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2.xml" ContentType="application/vnd.ms-excel.slicer+xml"/>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1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tables/table64.xml" ContentType="application/vnd.openxmlformats-officedocument.spreadsheetml.table+xml"/>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tables/table65.xml" ContentType="application/vnd.openxmlformats-officedocument.spreadsheetml.table+xml"/>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xml" ContentType="application/vnd.openxmlformats-officedocument.spreadsheetml.pivotTable+xml"/>
  <Override PartName="/xl/drawings/drawing15.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tables/table66.xml" ContentType="application/vnd.openxmlformats-officedocument.spreadsheetml.table+xml"/>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tables/table70.xml" ContentType="application/vnd.openxmlformats-officedocument.spreadsheetml.table+xml"/>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xml" ContentType="application/vnd.openxmlformats-officedocument.spreadsheetml.pivotTable+xml"/>
  <Override PartName="/xl/drawings/drawing1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tables/table71.xml" ContentType="application/vnd.openxmlformats-officedocument.spreadsheetml.table+xml"/>
  <Override PartName="/xl/tables/table72.xml" ContentType="application/vnd.openxmlformats-officedocument.spreadsheetml.table+xml"/>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tables/table73.xml" ContentType="application/vnd.openxmlformats-officedocument.spreadsheetml.table+xml"/>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0.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74.xml" ContentType="application/vnd.openxmlformats-officedocument.spreadsheetml.table+xml"/>
  <Override PartName="/xl/drawings/drawing2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drawings/drawing22.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tables/table81.xml" ContentType="application/vnd.openxmlformats-officedocument.spreadsheetml.table+xml"/>
  <Override PartName="/xl/tables/table82.xml" ContentType="application/vnd.openxmlformats-officedocument.spreadsheetml.table+xml"/>
  <Override PartName="/xl/pivotTables/pivotTable22.xml" ContentType="application/vnd.openxmlformats-officedocument.spreadsheetml.pivotTable+xml"/>
  <Override PartName="/xl/drawings/drawing23.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tables/table83.xml" ContentType="application/vnd.openxmlformats-officedocument.spreadsheetml.table+xml"/>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4.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tables/table84.xml" ContentType="application/vnd.openxmlformats-officedocument.spreadsheetml.table+xml"/>
  <Override PartName="/xl/tables/table85.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tables/table86.xml" ContentType="application/vnd.openxmlformats-officedocument.spreadsheetml.table+xml"/>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tables/table87.xml" ContentType="application/vnd.openxmlformats-officedocument.spreadsheetml.table+xml"/>
  <Override PartName="/xl/drawings/drawing27.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88.xml" ContentType="application/vnd.openxmlformats-officedocument.spreadsheetml.table+xml"/>
  <Override PartName="/xl/drawings/drawing28.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tables/table89.xml" ContentType="application/vnd.openxmlformats-officedocument.spreadsheetml.table+xml"/>
  <Override PartName="/xl/tables/table90.xml" ContentType="application/vnd.openxmlformats-officedocument.spreadsheetml.table+xml"/>
  <Override PartName="/xl/drawings/drawing2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tables/table91.xml" ContentType="application/vnd.openxmlformats-officedocument.spreadsheetml.table+xml"/>
  <Override PartName="/xl/tables/table92.xml" ContentType="application/vnd.openxmlformats-officedocument.spreadsheetml.table+xml"/>
  <Override PartName="/xl/drawings/drawing3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tables/table93.xml" ContentType="application/vnd.openxmlformats-officedocument.spreadsheetml.table+xml"/>
  <Override PartName="/xl/tables/table94.xml" ContentType="application/vnd.openxmlformats-officedocument.spreadsheetml.table+xml"/>
  <Override PartName="/xl/drawings/drawing31.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tables/table95.xml" ContentType="application/vnd.openxmlformats-officedocument.spreadsheetml.table+xml"/>
  <Override PartName="/xl/drawings/drawing32.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tables/table96.xml" ContentType="application/vnd.openxmlformats-officedocument.spreadsheetml.table+xml"/>
  <Override PartName="/xl/tables/table97.xml" ContentType="application/vnd.openxmlformats-officedocument.spreadsheetml.table+xml"/>
  <Override PartName="/xl/drawings/drawing33.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tables/table98.xml" ContentType="application/vnd.openxmlformats-officedocument.spreadsheetml.table+xml"/>
  <Override PartName="/xl/tables/table99.xml" ContentType="application/vnd.openxmlformats-officedocument.spreadsheetml.table+xml"/>
  <Override PartName="/xl/drawings/drawing34.xml" ContentType="application/vnd.openxmlformats-officedocument.drawing+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tables/table100.xml" ContentType="application/vnd.openxmlformats-officedocument.spreadsheetml.table+xml"/>
  <Override PartName="/xl/drawings/drawing35.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tables/table101.xml" ContentType="application/vnd.openxmlformats-officedocument.spreadsheetml.table+xml"/>
  <Override PartName="/xl/drawings/drawing3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tables/table102.xml" ContentType="application/vnd.openxmlformats-officedocument.spreadsheetml.table+xml"/>
  <Override PartName="/xl/drawings/drawing37.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tables/table103.xml" ContentType="application/vnd.openxmlformats-officedocument.spreadsheetml.table+xml"/>
  <Override PartName="/xl/drawings/drawing38.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tables/table104.xml" ContentType="application/vnd.openxmlformats-officedocument.spreadsheetml.table+xml"/>
  <Override PartName="/xl/tables/table105.xml" ContentType="application/vnd.openxmlformats-officedocument.spreadsheetml.table+xml"/>
  <Override PartName="/xl/drawings/drawing39.xml" ContentType="application/vnd.openxmlformats-officedocument.drawing+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drawings/drawing40.xml" ContentType="application/vnd.openxmlformats-officedocument.drawing+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tables/table106.xml" ContentType="application/vnd.openxmlformats-officedocument.spreadsheetml.table+xml"/>
  <Override PartName="/xl/drawings/drawing41.xml" ContentType="application/vnd.openxmlformats-officedocument.drawing+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pivotTables/pivotTable25.xml" ContentType="application/vnd.openxmlformats-officedocument.spreadsheetml.pivotTable+xml"/>
  <Override PartName="/xl/drawings/drawing42.xml" ContentType="application/vnd.openxmlformats-officedocument.drawing+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tables/table111.xml" ContentType="application/vnd.openxmlformats-officedocument.spreadsheetml.table+xml"/>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tables/table112.xml" ContentType="application/vnd.openxmlformats-officedocument.spreadsheetml.table+xml"/>
  <Override PartName="/xl/drawings/drawing44.xml" ContentType="application/vnd.openxmlformats-officedocument.drawing+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tables/table113.xml" ContentType="application/vnd.openxmlformats-officedocument.spreadsheetml.table+xml"/>
  <Override PartName="/xl/drawings/drawing45.xml" ContentType="application/vnd.openxmlformats-officedocument.drawing+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tables/table114.xml" ContentType="application/vnd.openxmlformats-officedocument.spreadsheetml.table+xml"/>
  <Override PartName="/xl/drawings/drawing46.xml" ContentType="application/vnd.openxmlformats-officedocument.drawing+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tables/table115.xml" ContentType="application/vnd.openxmlformats-officedocument.spreadsheetml.table+xml"/>
  <Override PartName="/xl/drawings/drawing47.xml" ContentType="application/vnd.openxmlformats-officedocument.drawing+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tables/table116.xml" ContentType="application/vnd.openxmlformats-officedocument.spreadsheetml.table+xml"/>
  <Override PartName="/xl/drawings/drawing48.xml" ContentType="application/vnd.openxmlformats-officedocument.drawing+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tables/table117.xml" ContentType="application/vnd.openxmlformats-officedocument.spreadsheetml.table+xml"/>
  <Override PartName="/xl/drawings/drawing49.xml" ContentType="application/vnd.openxmlformats-officedocument.drawing+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tables/table118.xml" ContentType="application/vnd.openxmlformats-officedocument.spreadsheetml.table+xml"/>
  <Override PartName="/xl/tables/table119.xml" ContentType="application/vnd.openxmlformats-officedocument.spreadsheetml.table+xml"/>
  <Override PartName="/xl/drawings/drawing50.xml" ContentType="application/vnd.openxmlformats-officedocument.drawing+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tables/table1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ownloads\"/>
    </mc:Choice>
  </mc:AlternateContent>
  <xr:revisionPtr revIDLastSave="0" documentId="8_{46755BC6-B892-49F6-826F-3E8D05775B79}" xr6:coauthVersionLast="47" xr6:coauthVersionMax="47" xr10:uidLastSave="{00000000-0000-0000-0000-000000000000}"/>
  <workbookProtection workbookAlgorithmName="SHA-512" workbookHashValue="gG9xjSUilnJyFHUBtozNURaFYOk1uvQ1jI6+gzPPuj4Fg4hnVS7sQnT1R6QgOt58VbVql/2B/L2mt6LG5a1YCA==" workbookSaltValue="pz63PKicCGx3RSed5cPXBg==" workbookSpinCount="100000" lockStructure="1"/>
  <bookViews>
    <workbookView xWindow="-120" yWindow="-120" windowWidth="29040" windowHeight="15720" tabRatio="717" firstSheet="3" activeTab="3" xr2:uid="{B2DA85E2-969C-4F09-941C-CE16CCFE9D56}"/>
  </bookViews>
  <sheets>
    <sheet name="Security" sheetId="79" state="veryHidden" r:id="rId1"/>
    <sheet name="HDSD" sheetId="78" state="veryHidden" r:id="rId2"/>
    <sheet name="EULA" sheetId="77" r:id="rId3"/>
    <sheet name="Contents" sheetId="26" r:id="rId4"/>
    <sheet name="Pivot" sheetId="74" state="veryHidden" r:id="rId5"/>
    <sheet name="Dashboard_BCQT" sheetId="71" state="veryHidden" r:id="rId6"/>
    <sheet name="Dashboard_ThiTruong" sheetId="72" state="veryHidden" r:id="rId7"/>
    <sheet name="Dashboard_SanPham" sheetId="73" state="veryHidden" r:id="rId8"/>
    <sheet name="Dashboard_KPI" sheetId="76" state="veryHidden" r:id="rId9"/>
    <sheet name="Dashboard_ChuongTrinh" sheetId="57" state="veryHidden" r:id="rId10"/>
    <sheet name="Sheet_KeHoach" sheetId="40" state="veryHidden" r:id="rId11"/>
    <sheet name="Sheet_BaoCaoQuanTri" sheetId="68" state="veryHidden" r:id="rId12"/>
    <sheet name="Sheet_BaoCaoTaiChinh" sheetId="32" state="veryHidden" r:id="rId13"/>
    <sheet name="Sheet_DuPhongPhaiThu" sheetId="49" state="veryHidden" r:id="rId14"/>
    <sheet name="Sheet_PhaiThu" sheetId="46" state="veryHidden" r:id="rId15"/>
    <sheet name="Sheet_PhaiTra" sheetId="47" state="veryHidden" r:id="rId16"/>
    <sheet name="Sheet_DiemDatHang" sheetId="58" r:id="rId17"/>
    <sheet name="Sheet_KHTieuThu" sheetId="59" r:id="rId18"/>
    <sheet name="Sheet_NguonHang" sheetId="83" r:id="rId19"/>
    <sheet name="Sheet_DuPhongTonKho" sheetId="60" r:id="rId20"/>
    <sheet name="Sheet_TonKho" sheetId="34" r:id="rId21"/>
    <sheet name="Sheet_ChiPhiNV" sheetId="53" state="veryHidden" r:id="rId22"/>
    <sheet name="Sheet_ChamCong" sheetId="61" state="veryHidden" r:id="rId23"/>
    <sheet name="Sheet_KPIBanHang" sheetId="52" state="veryHidden" r:id="rId24"/>
    <sheet name="Sheet_KhauHao" sheetId="63" state="veryHidden" r:id="rId25"/>
    <sheet name="Sheet_NopNS" sheetId="54" state="veryHidden" r:id="rId26"/>
    <sheet name="Sheet_LaiVay" sheetId="64" state="veryHidden" r:id="rId27"/>
    <sheet name="Sheet_PhaiThuDauTu" sheetId="65" state="veryHidden" r:id="rId28"/>
    <sheet name="Sheet_Main" sheetId="29" r:id="rId29"/>
    <sheet name="Sheet_DonMua" sheetId="10" r:id="rId30"/>
    <sheet name="Sheet_DonBan" sheetId="6" state="veryHidden" r:id="rId31"/>
    <sheet name="Sheet_VanDon" sheetId="13" state="veryHidden" r:id="rId32"/>
    <sheet name="Sheet_LaiKhac" sheetId="39" state="veryHidden" r:id="rId33"/>
    <sheet name="Sheet_ThuChiKD" sheetId="7" state="veryHidden" r:id="rId34"/>
    <sheet name="Sheet_ThuChiTC" sheetId="45" state="veryHidden" r:id="rId35"/>
    <sheet name="Sheet_TaiKhoan" sheetId="8" state="veryHidden" r:id="rId36"/>
    <sheet name="Sheet_DauTu" sheetId="48" state="veryHidden" r:id="rId37"/>
    <sheet name="Sheet_VayNo" sheetId="38" state="veryHidden" r:id="rId38"/>
    <sheet name="Sheet_CoDong" sheetId="62" state="veryHidden" r:id="rId39"/>
    <sheet name="Sheet_ChiPhiKD" sheetId="35" state="veryHidden" r:id="rId40"/>
    <sheet name="Code" sheetId="81" r:id="rId41"/>
    <sheet name="Sheet_DoiTac" sheetId="9" r:id="rId42"/>
    <sheet name="Sheet_CauTruc" sheetId="55" state="veryHidden" r:id="rId43"/>
    <sheet name="Sheet_TSCD" sheetId="37" state="veryHidden" r:id="rId44"/>
    <sheet name="Sheet_NguyenLieu" sheetId="30" r:id="rId45"/>
    <sheet name="Sheet_ChuongTrinh" sheetId="14" state="veryHidden" r:id="rId46"/>
    <sheet name="Sheet_HoaHong" sheetId="80" state="veryHidden" r:id="rId47"/>
    <sheet name="Sheet_Kenh" sheetId="5" state="veryHidden" r:id="rId48"/>
    <sheet name="Sheet_KHThanThiet" sheetId="82" state="veryHidden" r:id="rId49"/>
    <sheet name="Sheet_KhachHang" sheetId="3" state="veryHidden" r:id="rId50"/>
    <sheet name="Sheet_SKU" sheetId="2" r:id="rId51"/>
    <sheet name="Sheet_Kho" sheetId="11" r:id="rId52"/>
  </sheets>
  <functionGroups builtInGroupCount="19"/>
  <definedNames>
    <definedName name="_xlchart.v1.10" hidden="1">Dashboard_SanPham!$BJ$8:$BJ$9</definedName>
    <definedName name="_xlchart.v1.11" hidden="1">Dashboard_SanPham!$BK$7</definedName>
    <definedName name="_xlchart.v1.12" hidden="1">Dashboard_SanPham!$BL$8:$BL$9</definedName>
    <definedName name="_xlchart.v1.13" hidden="1">Dashboard_KPI!$BM$5:$BM$7</definedName>
    <definedName name="_xlchart.v1.14" hidden="1">Dashboard_KPI!$BN$4</definedName>
    <definedName name="_xlchart.v1.15" hidden="1">Dashboard_KPI!$BN$5:$BN$7</definedName>
    <definedName name="_xlchart.v1.16" hidden="1">Dashboard_KPI!$BH$5:$BH$6</definedName>
    <definedName name="_xlchart.v1.17" hidden="1">Dashboard_KPI!$BI$4</definedName>
    <definedName name="_xlchart.v1.18" hidden="1">Dashboard_KPI!$BI$5:$BI$6</definedName>
    <definedName name="_xlchart.v1.19" hidden="1">Dashboard_KPI!$BM$5:$BM$7</definedName>
    <definedName name="_xlchart.v1.20" hidden="1">Dashboard_KPI!$BO$4</definedName>
    <definedName name="_xlchart.v1.21" hidden="1">Dashboard_KPI!$BO$5:$BO$7</definedName>
    <definedName name="_xlchart.v1.22" hidden="1">Dashboard_KPI!$BH$5:$BH$6</definedName>
    <definedName name="_xlchart.v1.23" hidden="1">Dashboard_KPI!$BJ$5:$BJ$6</definedName>
    <definedName name="_xlchart.v1.24" hidden="1">Dashboard_ChuongTrinh!$AY$6:$AY$6</definedName>
    <definedName name="_xlchart.v1.25" hidden="1">Dashboard_ChuongTrinh!$BA$6:$BA$6</definedName>
    <definedName name="_xlchart.v1.26" hidden="1">Dashboard_ChuongTrinh!$BD$6:$BD$6</definedName>
    <definedName name="_xlchart.v1.27" hidden="1">Dashboard_ChuongTrinh!$BF$6:$BF$6</definedName>
    <definedName name="_xlchart.v1.4" hidden="1">Dashboard_ThiTruong!$BJ$8:$BJ$10</definedName>
    <definedName name="_xlchart.v1.5" hidden="1">Dashboard_ThiTruong!$BK$8:$BK$10</definedName>
    <definedName name="_xlchart.v5.0" hidden="1">Dashboard_ThiTruong!$BF$7</definedName>
    <definedName name="_xlchart.v5.1" hidden="1">Dashboard_ThiTruong!$BF$8:$BF$14</definedName>
    <definedName name="_xlchart.v5.2" hidden="1">Dashboard_ThiTruong!$BG$8:$BG$14</definedName>
    <definedName name="_xlchart.v5.3" hidden="1">Dashboard_ThiTruong!$H$37</definedName>
    <definedName name="_xlchart.v5.6" hidden="1">Dashboard_SanPham!$BF$7</definedName>
    <definedName name="_xlchart.v5.7" hidden="1">Dashboard_SanPham!$BF$8:$BF$14</definedName>
    <definedName name="_xlchart.v5.8" hidden="1">Dashboard_SanPham!$BG$8:$BG$14</definedName>
    <definedName name="_xlchart.v5.9" hidden="1">Dashboard_SanPham!$H$37</definedName>
    <definedName name="_xlcn.WorksheetConnection_Dashboard.xlsxRef_Dates1" hidden="1">Ref_Dates[]</definedName>
    <definedName name="_xlcn.WorksheetConnection_Dashboard.xlsxRef_Periods1" hidden="1">Ref_Periods[]</definedName>
    <definedName name="_xlcn.WorksheetConnection_Dashboard.xlsxTable_ChuongTrinh1" hidden="1">Table_ChuongTrinh[]</definedName>
    <definedName name="_xlcn.WorksheetConnection_Dashboard.xlsxTable_Datafeed1" hidden="1">Table_Datafeed[]</definedName>
    <definedName name="_xlcn.WorksheetConnection_Dashboard.xlsxTable_DonBan1" hidden="1">Table_DonBan[]</definedName>
    <definedName name="_xlcn.WorksheetConnection_Dashboard.xlsxTable_Kenh1" hidden="1">Table_Kenh[]</definedName>
    <definedName name="_xlcn.WorksheetConnection_Dashboard.xlsxTable_KhachHang1" hidden="1">Table_KhachHang[]</definedName>
    <definedName name="_xlcn.WorksheetConnection_Dashboard.xlsxTable_KPI1" hidden="1">Table_KPI[]</definedName>
    <definedName name="_xlcn.WorksheetConnection_Dashboard.xlsxTable_Main1" hidden="1">Table_Main[]</definedName>
    <definedName name="_xlcn.WorksheetConnection_Dashboard.xlsxTable_NhanVien1" hidden="1">Table_NhanVien[]</definedName>
    <definedName name="_xlcn.WorksheetConnection_Dashboard.xlsxTable_SKU1" hidden="1">Table_SKU[]</definedName>
    <definedName name="_xleta.DAY" hidden="1" xlm="1">#NAME?</definedName>
    <definedName name="_xleta.IF" hidden="1" xlm="1">#NAME?</definedName>
    <definedName name="_xleta.LEN" hidden="1" xlm="1">#NAME?</definedName>
    <definedName name="_xleta.N" hidden="1" xlm="1">#NAME?</definedName>
    <definedName name="_xleta.PHI" hidden="1" xlm="1">#NAME?</definedName>
    <definedName name="_xleta.PRODUCT" hidden="1" xlm="1">#NAME?</definedName>
    <definedName name="_xleta.SUM" hidden="1" xlm="1">#NAME?</definedName>
    <definedName name="_xleta.SUMPRODUCT" hidden="1" xlm="1">#NAME?</definedName>
    <definedName name="_xleta.VLOOKUP" hidden="1" xlm="1">#NAME?</definedName>
    <definedName name="BangLuong_Nam">Sheet_ChamCong!$Z$2</definedName>
    <definedName name="BangLuong_Thang">Sheet_ChamCong!$X$2</definedName>
    <definedName name="BCQT_BatDau">Sheet_KeHoach!$C$1</definedName>
    <definedName name="BCQT_KetThuc">Sheet_KeHoach!$C$2</definedName>
    <definedName name="BCTC_BatDau">Sheet_BaoCaoTaiChinh!$D$2</definedName>
    <definedName name="BCTC_Nam">Sheet_BaoCaoTaiChinh!$F$1</definedName>
    <definedName name="BCTC_Thang">Sheet_BaoCaoTaiChinh!$E$1</definedName>
    <definedName name="BHTN_LuongMax">Sheet_ChamCong!$H$5</definedName>
    <definedName name="BHTN_TyLeDN">Sheet_ChamCong!$H$6</definedName>
    <definedName name="BHTN_TyLeNV">Sheet_ChamCong!$H$7</definedName>
    <definedName name="BHXH_LuongMax">Sheet_ChamCong!$F$5</definedName>
    <definedName name="BHXH_TyLeDN">Sheet_ChamCong!$F$6</definedName>
    <definedName name="BHXH_TyLeNV">Sheet_ChamCong!$F$7</definedName>
    <definedName name="BHYT_LuongMax">Sheet_ChamCong!$G$5</definedName>
    <definedName name="BHYT_TyLeDN">Sheet_ChamCong!$G$6</definedName>
    <definedName name="BHYT_TyLeNV">Sheet_ChamCong!$G$7</definedName>
    <definedName name="ChamCong_DonViGio">Sheet_ChamCong!$Z$4</definedName>
    <definedName name="ChamCong_GioTieuChuan">Sheet_ChamCong!$Z$3</definedName>
    <definedName name="ChamCong_LuongHD">Sheet_ChamCong!$X$5</definedName>
    <definedName name="ChamCong_LuongTT">Sheet_ChamCong!$X$6</definedName>
    <definedName name="ChamCong_MienThueOT">Sheet_ChamCong!$X$7</definedName>
    <definedName name="ChamCong_NopHoBaoHiem">Sheet_ChamCong!$Z$5</definedName>
    <definedName name="ChiPhiNV_GiamTruBanThan">Sheet_ChamCong!$X$3</definedName>
    <definedName name="ChiPhiNV_GiamTruPhuThuoc">Sheet_ChamCong!$X$4</definedName>
    <definedName name="Dashboard_ChuongTrinh_Ma">Dashboard_ChuongTrinh!$Z$3</definedName>
    <definedName name="DatHang_NgayBatDau">Sheet_DiemDatHang!$N$1</definedName>
    <definedName name="DatHang_NgayKetThuc">Sheet_DiemDatHang!$O$1</definedName>
    <definedName name="DatHang_NgayTheoDoi">Sheet_DiemDatHang!$N$3</definedName>
    <definedName name="DatHang_SoNgayThamChieu">Sheet_DiemDatHang!$O$3</definedName>
    <definedName name="DiemHoaVon_NamKeHoach">Sheet_KeHoach!$C$4</definedName>
    <definedName name="HieuQuaSX_MucTieu">Sheet_KHTieuThu!#REF!</definedName>
    <definedName name="HieuQuaSX_Ngay">Sheet_KHTieuThu!$AH$1</definedName>
    <definedName name="HieuQuaSX_SKU">Sheet_KHTieuThu!#REF!</definedName>
    <definedName name="KHThanThiet_HieuLuc">Sheet_KHThanThiet!$G$3</definedName>
    <definedName name="KHThanThiet_SoNgay">Sheet_KHThanThiet!$G$2</definedName>
    <definedName name="Ma_SKU" localSheetId="48">Table_SKU[Mã SKU]</definedName>
    <definedName name="Ma_SKU">Table_SKU[Mã SKU]</definedName>
    <definedName name="MaChuongTrinh" localSheetId="48">Table_ChuongTrinh[Mã Chương trình]</definedName>
    <definedName name="MaChuongTrinh">Table_ChuongTrinh[Mã Chương trình]</definedName>
    <definedName name="MaCoDong" localSheetId="48">Table_CoDong[Mã Cổ đông]</definedName>
    <definedName name="MaCoDong">Table_CoDong[Mã Cổ đông]</definedName>
    <definedName name="MaDauTu" localSheetId="48">Table_DauTu[Mã khoản đầu tư]</definedName>
    <definedName name="MaDauTu">Table_DauTu[Mã khoản đầu tư]</definedName>
    <definedName name="MaDonBan" localSheetId="48">Table_DonBan[Mã Đơn bán]</definedName>
    <definedName name="MaDonBan">Table_DonBan[Mã Đơn bán]</definedName>
    <definedName name="MaDonMua" localSheetId="48">Table_DonMua[Mã Đơn mua]</definedName>
    <definedName name="MaDonMua">Table_DonMua[Mã Đơn mua]</definedName>
    <definedName name="MaIn">Code!$B$4</definedName>
    <definedName name="MaKenh" localSheetId="48">Table_Kenh[Mã Kênh]</definedName>
    <definedName name="MaKenh">Table_Kenh[Mã Kênh]</definedName>
    <definedName name="MaKhachHang" localSheetId="48">Table_KhachHang[Mã KH]</definedName>
    <definedName name="MaKhachHang">Table_KhachHang[Mã KH]</definedName>
    <definedName name="MaKho" localSheetId="48">Table_Kho[Mã Kho]</definedName>
    <definedName name="MaKho">Table_Kho[Mã Kho]</definedName>
    <definedName name="MaKhoanVay" localSheetId="48">Table_VayNo[Mã khoản vay]</definedName>
    <definedName name="MaKhoanVay">Table_VayNo[Mã khoản vay]</definedName>
    <definedName name="MaNguyenLieu" localSheetId="48">Table_NguyenLieu[Mã Nguyên liệu]</definedName>
    <definedName name="MaNguyenLieu">Table_NguyenLieu[Mã Nguyên liệu]</definedName>
    <definedName name="MaNhaCungCap" localSheetId="48">Table_NhaCungCap[Mã Đối tác]</definedName>
    <definedName name="MaNhaCungCap">Table_NhaCungCap[Mã Đối tác]</definedName>
    <definedName name="MaNhanVien" localSheetId="48">Table_NhanVien[Mã NV]</definedName>
    <definedName name="MaNhanVien">Table_NhanVien[Mã NV]</definedName>
    <definedName name="MaTaiKhoan" localSheetId="48">Table_TaiKhoan[Mã Tài khoản]</definedName>
    <definedName name="MaTaiKhoan">Table_TaiKhoan[Mã Tài khoản]</definedName>
    <definedName name="MaTaiSan" localSheetId="48">Table_TSCD[Mã Tài sản]</definedName>
    <definedName name="MaTaiSan">Table_TSCD[Mã Tài sản]</definedName>
    <definedName name="MaThuChi" localSheetId="48">Table_ThuChiKD[Mã phiếu thu chi]</definedName>
    <definedName name="MaThuChi">Table_ThuChiKD[Mã phiếu thu chi]</definedName>
    <definedName name="MaVanDon" localSheetId="48">Table_VanDon[Mã Vận đơn]</definedName>
    <definedName name="MaVanDon">Table_VanDon[Mã Vận đơn]</definedName>
    <definedName name="MaViTri">Table_CauTruc_ViTri[Vị trí]</definedName>
    <definedName name="NativeTimeline_Ngày_xuất_nhập">#N/A</definedName>
    <definedName name="NgayLuuKho_Max">Sheet_DiemDatHang!$O$2</definedName>
    <definedName name="NgayLuuKho_Min">Sheet_DiemDatHang!$N$2</definedName>
    <definedName name="NguonHang_NgayBatDau">Sheet_NguonHang!$AL$6</definedName>
    <definedName name="NguonHang_NgayKetThuc">Sheet_NguonHang!$AM$6</definedName>
    <definedName name="NhomChiPhi" localSheetId="48">Table_ChiPhiKD_PhanNhom[Nhóm chi phí]</definedName>
    <definedName name="NhomChiPhi">Table_ChiPhiKD_PhanNhom[Nhóm chi phí]</definedName>
    <definedName name="NoiDungGDKD" localSheetId="48">Table_ThuChiKD_NoiDungGD[Nội dung GD]</definedName>
    <definedName name="NoiDungGDKD">Table_ThuChiKD_NoiDungGD[Nội dung GD]</definedName>
    <definedName name="NoiDungGDTC" localSheetId="48">Table_ThuChiTC_NoiDungGD[Các hạng mục giao dịch]</definedName>
    <definedName name="NoiDungGDTC">Table_ThuChiTC_NoiDungGD[Các hạng mục giao dịch]</definedName>
    <definedName name="NoXau_MaKH">Sheet_DuPhongPhaiThu!$U$21</definedName>
    <definedName name="NoXau_MaNCC">Sheet_DuPhongPhaiThu!$AB$21</definedName>
    <definedName name="NoXau_NgayTheoDoi">Sheet_DuPhongPhaiThu!$N$21</definedName>
    <definedName name="NoXau_NhanCungUng">Sheet_DuPhongPhaiThu!$AC$21</definedName>
    <definedName name="NoXau_NhanThanhToan">Sheet_DuPhongPhaiThu!$V$21</definedName>
    <definedName name="Pivot_Ctr_CKDon">OFFSET(Pivot!$AZ$6,0,0,COUNTA(Pivot!$AS:$AS)-3,1)</definedName>
    <definedName name="Pivot_Ctr_CKSKU">OFFSET(Pivot!$BE$6,0,0,COUNTA(Pivot!$AS:$AS)-3,1)</definedName>
    <definedName name="Pivot_Ctr_CtrDon">OFFSET(Pivot!$AY$6,0,0,COUNTA(Pivot!$AS:$AS)-3,1)</definedName>
    <definedName name="Pivot_Ctr_CtrSKU">OFFSET(Pivot!$BD$6,0,0,COUNTA(Pivot!$AS:$AS)-3,1)</definedName>
    <definedName name="Pivot_Ctr_DthuDon">OFFSET(Pivot!$BA$6,0,0,COUNTA(Pivot!$AS:$AS)-3,1)</definedName>
    <definedName name="Pivot_Ctr_DthuSKU">OFFSET(Pivot!$BF$6,0,0,COUNTA(Pivot!$AS:$AS)-3,1)</definedName>
    <definedName name="Pivot_Ctr_Kenh">OFFSET(Pivot!$AT$6,0,0,COUNTA(Pivot!$AS:$AS)-3,1)</definedName>
    <definedName name="Pivot_Ctr_Khach">OFFSET(Pivot!$AW$6,0,0,COUNTA(Pivot!$AS:$AS)-3,1)</definedName>
    <definedName name="Pivot_Ctr_Ngay">OFFSET(Pivot!$AS$6,0,0,COUNTA(Pivot!$AS:$AS)-3,1)</definedName>
    <definedName name="Pivot_Ctr_NhanVien">OFFSET(Pivot!$AU$6,0,0,COUNTA(Pivot!$AS:$AS)-3,1)</definedName>
    <definedName name="Pivot_Ctr_PhanKhuc">OFFSET(Pivot!$AV$6,0,0,COUNTA(Pivot!$AS:$AS)-3,1)</definedName>
    <definedName name="Pivot_Ctr_PhanNhom">OFFSET(Pivot!$BB$6,0,0,COUNTA(Pivot!$AS:$AS)-3,1)</definedName>
    <definedName name="Pivot_Ctr_SKU">OFFSET(Pivot!$BC$6,0,0,COUNTA(Pivot!$AS:$AS)-3,1)</definedName>
    <definedName name="Pivot_Ctr_TTKhach">OFFSET(Pivot!$AX$6,0,0,COUNTA(Pivot!$AS:$AS)-3,1)</definedName>
    <definedName name="Pivot_KPI_DthuCP">OFFSET(Pivot!$AP$6,0,0,COUNTA(Pivot!$AK:$AK)-3,1)</definedName>
    <definedName name="Pivot_KPI_DthuDon">OFFSET(Pivot!$AF$6,0,0,COUNTA(Pivot!$AC:$AC)-3,1)</definedName>
    <definedName name="Pivot_KPI_DthuSKU">OFFSET(Pivot!$AI$6,0,0,COUNTA(Pivot!$AC:$AC)-3,1)</definedName>
    <definedName name="Pivot_KPI_Kenh">OFFSET(Pivot!$AD$6,0,0,COUNTA(Pivot!$AC:$AC)-3,1)</definedName>
    <definedName name="Pivot_KPI_KenhCP">OFFSET(Pivot!$AN$6,0,0,COUNTA(Pivot!$AK:$AK)-3,1)</definedName>
    <definedName name="Pivot_KPI_KPICP">OFFSET(Pivot!$AO$6,0,0,COUNTA(Pivot!$AK:$AK)-3,1)</definedName>
    <definedName name="Pivot_KPI_NamCP">OFFSET(Pivot!$AK$6,0,0,COUNTA(Pivot!$AK:$AK)-3,1)</definedName>
    <definedName name="Pivot_KPI_Ngay">OFFSET(Pivot!$AC$6,0,0,COUNTA(Pivot!$AC:$AC)-3,1)</definedName>
    <definedName name="Pivot_KPI_NhanVien">OFFSET(Pivot!$AG$6,0,0,COUNTA(Pivot!$AC:$AC)-3,1)</definedName>
    <definedName name="Pivot_KPI_NhanVienCP">OFFSET(Pivot!$AM$6,0,0,COUNTA(Pivot!$AK:$AK)-3,1)</definedName>
    <definedName name="Pivot_KPI_PhanKhuc">OFFSET(Pivot!$AE$6,0,0,COUNTA(Pivot!$AC:$AC)-3,1)</definedName>
    <definedName name="Pivot_KPI_PhanNhom">OFFSET(Pivot!$AH$6,0,0,COUNTA(Pivot!$AC:$AC)-3,1)</definedName>
    <definedName name="PIvot_KPI_ThangCP">OFFSET(Pivot!$AL$6,0,0,COUNTA(Pivot!$AK:$AK)-3,1)</definedName>
    <definedName name="Pivot_KPI_TyLeCP">OFFSET(Pivot!$AQ$6,0,0,COUNTA(Pivot!$AK:$AK)-3,1)</definedName>
    <definedName name="Pivot_SanPham_DoanhThu">OFFSET(Pivot!$Z$6,0,0,COUNTA(Pivot!$S:$S)-3,1)</definedName>
    <definedName name="Pivot_SanPham_Loai">OFFSET(Pivot!$Y$6,0,0,COUNTA(Pivot!$S:$S)-3,1)</definedName>
    <definedName name="Pivot_SanPham_MaDon">OFFSET(Pivot!$U$6,0,0,COUNTA(Pivot!$S:$S)-3,1)</definedName>
    <definedName name="Pivot_SanPham_Ngay">OFFSET(Pivot!$S$6,0,0,COUNTA(Pivot!$S:$S)-3,1)</definedName>
    <definedName name="Pivot_SanPham_Nhom">OFFSET(Pivot!$W$6,0,0,COUNTA(Pivot!$S:$S)-3,1)</definedName>
    <definedName name="Pivot_SanPham_PhanKhuc">OFFSET(Pivot!$T$6,0,0,COUNTA(Pivot!$S:$S)-3,1)</definedName>
    <definedName name="Pivot_SanPham_SKU">OFFSET(Pivot!$X$6,0,0,COUNTA(Pivot!$S:$S)-3,1)</definedName>
    <definedName name="Pivot_SanPham_SoLuong">OFFSET(Pivot!$AA$6,0,0,COUNTA(Pivot!$S:$S)-3,1)</definedName>
    <definedName name="Pivot_SanPham_TinhThanh">OFFSET(Pivot!$V$6,0,0,COUNTA(Pivot!$S:$S)-3,1)</definedName>
    <definedName name="Pivot_ThiTruong_DoanhThu">OFFSET(Pivot!$N$6,0,0,COUNTA(Pivot!$H:$H)-3,1)</definedName>
    <definedName name="Pivot_ThiTruong_MaDon">OFFSET(Pivot!$L$6,0,0,COUNTA(Pivot!$H:$H)-3,1)</definedName>
    <definedName name="Pivot_ThiTruong_MaKhach">OFFSET(Pivot!$I$6,0,0,COUNTA(Pivot!$H:$H)-3,1)</definedName>
    <definedName name="Pivot_ThiTruong_Ngay">OFFSET(Pivot!$H$6,0,0,COUNTA(Pivot!$H:$H)-3,1)</definedName>
    <definedName name="Pivot_ThiTruong_NhomSP">OFFSET(Pivot!$O$6,0,0,COUNTA(Pivot!$H:$H)-3,1)</definedName>
    <definedName name="PIvot_ThiTruong_SoLuongSP">OFFSET(Pivot!$P$6,0,0,COUNTA(Pivot!$H:$H)-3,1)</definedName>
    <definedName name="Pivot_ThiTruong_TtDon">OFFSET(Pivot!$M$6,0,0,COUNTA(Pivot!$H:$H)-3,1)</definedName>
    <definedName name="SKU_Nhom1" localSheetId="48">Table_SKU_PhanNhom[Nhóm 1]</definedName>
    <definedName name="SKU_Nhom1">Table_SKU_PhanNhom[Nhóm 1]</definedName>
    <definedName name="SKU_Nhom2" localSheetId="48">Table_SKU_PhanNhom[Nhóm 2]</definedName>
    <definedName name="SKU_Nhom2">Table_SKU_PhanNhom[Nhóm 2]</definedName>
    <definedName name="SKU_Nhom3" localSheetId="48">Table_SKU_PhanNhom[Nhóm 3]</definedName>
    <definedName name="SKU_Nhom3">Table_SKU_PhanNhom[Nhóm 3]</definedName>
    <definedName name="Slicer_Nhóm_1">#N/A</definedName>
    <definedName name="Slicer_Phân_khúc">#N/A</definedName>
    <definedName name="Slicer_Tỉnh">#N/A</definedName>
    <definedName name="Slicer_Tỉnh1">#N/A</definedName>
    <definedName name="ThanhPham_Nhom">Sheet_SKU!$B$4:$B$1048576</definedName>
    <definedName name="ThanhPham_PhanLoai">Sheet_SKU!$H$5:$H$1048576</definedName>
    <definedName name="ThanhPham_PhanNhom">Sheet_SKU!$D$6:$D$1048576</definedName>
    <definedName name="Timeline_Kỳ">#N/A</definedName>
    <definedName name="Timeline_Ngày_lập">#N/A</definedName>
    <definedName name="Timeline_Ngày_lập1">#N/A</definedName>
    <definedName name="Timeline_Ngày_lập2">#N/A</definedName>
    <definedName name="Timeline_Ngày_lập3">#N/A</definedName>
    <definedName name="TonKho_GTXuat">Sheet_DuPhongTonKho!$V$1</definedName>
    <definedName name="TonKho_Kho">Sheet_DuPhongTonKho!$N$3</definedName>
    <definedName name="TonKho_MaHang">Sheet_DuPhongTonKho!$O$2</definedName>
    <definedName name="TonKho_NgayTheoDoi">Sheet_DuPhongTonKho!$N$1</definedName>
    <definedName name="TonKho_TieuThu">Sheet_DuPhongTonKho!$V$2</definedName>
  </definedNames>
  <calcPr calcId="191029"/>
  <pivotCaches>
    <pivotCache cacheId="0" r:id="rId53"/>
    <pivotCache cacheId="1" r:id="rId54"/>
    <pivotCache cacheId="2" r:id="rId55"/>
    <pivotCache cacheId="3" r:id="rId56"/>
    <pivotCache cacheId="4" r:id="rId57"/>
    <pivotCache cacheId="5" r:id="rId58"/>
    <pivotCache cacheId="6" r:id="rId59"/>
    <pivotCache cacheId="7" r:id="rId60"/>
    <pivotCache cacheId="8" r:id="rId61"/>
    <pivotCache cacheId="9" r:id="rId62"/>
    <pivotCache cacheId="10" r:id="rId63"/>
    <pivotCache cacheId="11" r:id="rId64"/>
    <pivotCache cacheId="12" r:id="rId65"/>
    <pivotCache cacheId="13" r:id="rId66"/>
    <pivotCache cacheId="14" r:id="rId67"/>
    <pivotCache cacheId="15" r:id="rId68"/>
  </pivotCaches>
  <extLst>
    <ext xmlns:x14="http://schemas.microsoft.com/office/spreadsheetml/2009/9/main" uri="{876F7934-8845-4945-9796-88D515C7AA90}">
      <x14:pivotCaches>
        <pivotCache cacheId="16" r:id="rId69"/>
      </x14:pivotCaches>
    </ext>
    <ext xmlns:x14="http://schemas.microsoft.com/office/spreadsheetml/2009/9/main" uri="{BBE1A952-AA13-448e-AADC-164F8A28A991}">
      <x14:slicerCaches>
        <x14:slicerCache r:id="rId70"/>
        <x14:slicerCache r:id="rId71"/>
        <x14:slicerCache r:id="rId72"/>
        <x14:slicerCache r:id="rId7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7" r:id="rId74"/>
        <pivotCache cacheId="18" r:id="rId75"/>
        <pivotCache cacheId="19" r:id="rId76"/>
      </x15:timelineCachePivotCaches>
    </ext>
    <ext xmlns:x15="http://schemas.microsoft.com/office/spreadsheetml/2010/11/main" uri="{D0CA8CA8-9F24-4464-BF8E-62219DCF47F9}">
      <x15:timelineCacheRefs>
        <x15:timelineCacheRef r:id="rId77"/>
        <x15:timelineCacheRef r:id="rId78"/>
        <x15:timelineCacheRef r:id="rId79"/>
        <x15:timelineCacheRef r:id="rId80"/>
        <x15:timelineCacheRef r:id="rId81"/>
        <x15:timelineCacheRef r:id="rId8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KU" name="Table_SKU" connection="WorksheetConnection_Dashboard.xlsx!Table_SKU"/>
          <x15:modelTable id="Table_NhanVien" name="Table_NhanVien" connection="WorksheetConnection_Dashboard.xlsx!Table_NhanVien"/>
          <x15:modelTable id="Table_Main" name="Table_Main" connection="WorksheetConnection_Dashboard.xlsx!Table_Main"/>
          <x15:modelTable id="Table_KPI" name="Table_KPI" connection="WorksheetConnection_Dashboard.xlsx!Table_KPI"/>
          <x15:modelTable id="Table_KhachHang" name="Table_KhachHang" connection="WorksheetConnection_Dashboard.xlsx!Table_KhachHang"/>
          <x15:modelTable id="Table_Kenh" name="Table_Kenh" connection="WorksheetConnection_Dashboard.xlsx!Table_Kenh"/>
          <x15:modelTable id="Table_DonBan" name="Table_DonBan" connection="WorksheetConnection_Dashboard.xlsx!Table_DonBan"/>
          <x15:modelTable id="Table_Datafeed" name="Table_Datafeed" connection="WorksheetConnection_Dashboard.xlsx!Table_Datafeed"/>
          <x15:modelTable id="Table_ChuongTrinh" name="Table_ChuongTrinh" connection="WorksheetConnection_Dashboard.xlsx!Table_ChuongTrinh"/>
          <x15:modelTable id="Ref_Periods" name="Ref_Periods" connection="WorksheetConnection_Dashboard.xlsx!Ref_Periods"/>
          <x15:modelTable id="Ref_Dates" name="Ref_Dates" connection="WorksheetConnection_Dashboard.xlsx!Ref_Dates"/>
        </x15:modelTables>
        <x15:modelRelationships>
          <x15:modelRelationship fromTable="Table_DonBan" fromColumn="Mã NV" toTable="Table_NhanVien" toColumn="Mã NV"/>
          <x15:modelRelationship fromTable="Table_DonBan" fromColumn="Kênh" toTable="Table_Kenh" toColumn="Mã Kênh"/>
          <x15:modelRelationship fromTable="Table_DonBan" fromColumn="Chương trình" toTable="Table_ChuongTrinh" toColumn="Mã Chương trình"/>
          <x15:modelRelationship fromTable="Table_DonBan" fromColumn="Mã Khách" toTable="Table_KhachHang" toColumn="Mã KH"/>
          <x15:modelRelationship fromTable="Table_Main" fromColumn="Mã SKU" toTable="Table_SKU" toColumn="Mã SKU"/>
          <x15:modelRelationship fromTable="Table_Main" fromColumn="Đơn bán" toTable="Table_DonBan" toColumn="Mã Đơn bán"/>
          <x15:modelRelationship fromTable="Table_KPI" fromColumn="Nhân viên" toTable="Table_NhanVien" toColumn="Mã NV"/>
          <x15:modelRelationship fromTable="Table_KPI" fromColumn="Kênh" toTable="Table_Kenh" toColumn="Mã Kênh"/>
        </x15:modelRelationship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Ref_Periods"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Table_DonBan" columnName="Ngày lập" columnId="Ngày lập">
                <x16:calculatedTimeColumn columnName="Ngày lập (Year)" columnId="Ngày lập (Year)" contentType="years" isSelected="1"/>
                <x16:calculatedTimeColumn columnName="Ngày lập (Quarter)" columnId="Ngày lập (Quarter)" contentType="quarters" isSelected="1"/>
                <x16:calculatedTimeColumn columnName="Ngày lập (Month Index)" columnId="Ngày lập (Month Index)" contentType="monthsindex" isSelected="1"/>
                <x16:calculatedTimeColumn columnName="Ngày lập (Month)" columnId="Ngày lập (Month)" contentType="months" isSelected="1"/>
              </x16:modelTimeGrouping>
              <x16:modelTimeGrouping tableName="Ref_Dates" columnName="Ngày" columnId="Ngày">
                <x16:calculatedTimeColumn columnName="Ngày (Year)" columnId="Ngày (Year)" contentType="years" isSelected="1"/>
                <x16:calculatedTimeColumn columnName="Ngày (Quarter)" columnId="Ngày (Quarter)" contentType="quarters" isSelected="1"/>
                <x16:calculatedTimeColumn columnName="Ngày (Month Index)" columnId="Ngày (Month Index)" contentType="monthsindex" isSelected="1"/>
                <x16:calculatedTimeColumn columnName="Ngày (Month)" columnId="Ngày (Month)" contentType="months" isSelected="1"/>
              </x16:modelTimeGrouping>
              <x16:modelTimeGrouping tableName="Table_KPI" columnName="Kỳ" columnId="Kỳ">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5" i="29" l="1"/>
  <c r="AG7" i="29"/>
  <c r="AG8" i="29"/>
  <c r="AG9" i="29"/>
  <c r="AG10" i="29"/>
  <c r="AG11" i="29"/>
  <c r="AG12" i="29"/>
  <c r="AG13" i="29"/>
  <c r="AG14" i="29"/>
  <c r="AG15" i="29"/>
  <c r="AG19" i="29"/>
  <c r="AG20" i="29"/>
  <c r="AG21" i="29"/>
  <c r="AG25" i="29"/>
  <c r="AG26" i="29"/>
  <c r="AG28" i="29"/>
  <c r="AG29" i="29"/>
  <c r="AG32" i="29"/>
  <c r="AG34" i="29"/>
  <c r="AG35" i="29"/>
  <c r="AG36" i="29"/>
  <c r="AG37" i="29"/>
  <c r="AG38" i="29"/>
  <c r="AG40" i="29"/>
  <c r="AG41" i="29"/>
  <c r="AG45" i="29"/>
  <c r="AG46" i="29"/>
  <c r="AG49" i="29"/>
  <c r="AG51" i="29"/>
  <c r="AG52" i="29"/>
  <c r="AG53" i="29"/>
  <c r="AG54" i="29"/>
  <c r="AG57" i="29"/>
  <c r="AG59" i="29"/>
  <c r="AG60" i="29"/>
  <c r="AG62" i="29"/>
  <c r="AG65" i="29"/>
  <c r="AG66" i="29"/>
  <c r="AG67" i="29"/>
  <c r="AG68" i="29"/>
  <c r="AG69" i="29"/>
  <c r="AG71" i="29"/>
  <c r="AG72" i="29"/>
  <c r="AG73" i="29"/>
  <c r="AG74" i="29"/>
  <c r="AG75" i="29"/>
  <c r="AG76" i="29"/>
  <c r="AG77" i="29"/>
  <c r="AG78" i="29"/>
  <c r="AG79" i="29"/>
  <c r="AG80" i="29"/>
  <c r="AG81" i="29"/>
  <c r="AF5" i="29"/>
  <c r="AF6" i="29"/>
  <c r="AF7" i="29"/>
  <c r="AF8" i="29"/>
  <c r="AF9" i="29"/>
  <c r="AF10" i="29"/>
  <c r="AF11" i="29"/>
  <c r="AF12" i="29"/>
  <c r="AF13" i="29"/>
  <c r="AF14" i="29"/>
  <c r="AF15" i="29"/>
  <c r="AF16" i="29"/>
  <c r="AF17" i="29"/>
  <c r="AF18" i="29"/>
  <c r="AF19" i="29"/>
  <c r="AF20" i="29"/>
  <c r="AF21" i="29"/>
  <c r="AF22" i="29"/>
  <c r="AF23" i="29"/>
  <c r="AF24" i="29"/>
  <c r="AF25" i="29"/>
  <c r="AF26" i="29"/>
  <c r="AF27" i="29"/>
  <c r="AF28" i="29"/>
  <c r="AF29" i="29"/>
  <c r="AF30" i="29"/>
  <c r="AF31" i="29"/>
  <c r="AF32" i="29"/>
  <c r="AF33" i="29"/>
  <c r="AF34" i="29"/>
  <c r="AF35" i="29"/>
  <c r="AF36" i="29"/>
  <c r="AF37" i="29"/>
  <c r="AF38" i="29"/>
  <c r="AF39" i="29"/>
  <c r="AF40" i="29"/>
  <c r="AF41" i="29"/>
  <c r="AF42" i="29"/>
  <c r="AF43" i="29"/>
  <c r="AF44" i="29"/>
  <c r="AF45" i="29"/>
  <c r="AF46" i="29"/>
  <c r="AF47" i="29"/>
  <c r="AF48" i="29"/>
  <c r="AF49" i="29"/>
  <c r="AF50" i="29"/>
  <c r="AF51" i="29"/>
  <c r="AF52" i="29"/>
  <c r="AF53" i="29"/>
  <c r="AF54" i="29"/>
  <c r="AF55" i="29"/>
  <c r="AF56" i="29"/>
  <c r="AF57" i="29"/>
  <c r="AF58" i="29"/>
  <c r="AF59" i="29"/>
  <c r="AF60" i="29"/>
  <c r="AF61" i="29"/>
  <c r="AF62" i="29"/>
  <c r="AF63" i="29"/>
  <c r="AF64" i="29"/>
  <c r="AF65" i="29"/>
  <c r="AF66" i="29"/>
  <c r="AF67" i="29"/>
  <c r="AF68" i="29"/>
  <c r="AF69" i="29"/>
  <c r="AF70" i="29"/>
  <c r="AF71" i="29"/>
  <c r="AF72" i="29"/>
  <c r="AF73" i="29"/>
  <c r="AF74" i="29"/>
  <c r="AF75" i="29"/>
  <c r="AF76" i="29"/>
  <c r="AF77" i="29"/>
  <c r="AF78" i="29"/>
  <c r="AF79" i="29"/>
  <c r="AF80" i="29"/>
  <c r="AF81" i="29"/>
  <c r="AG3" i="29"/>
  <c r="AF3" i="29"/>
  <c r="F116" i="32" l="1" a="1"/>
  <c r="F116" i="32" s="1"/>
  <c r="E116" i="32" a="1"/>
  <c r="E116" i="32" s="1"/>
  <c r="P116" i="32" a="1"/>
  <c r="P116" i="32" s="1"/>
  <c r="O116" i="32" a="1"/>
  <c r="O116" i="32" s="1"/>
  <c r="K116" i="32" a="1"/>
  <c r="K116" i="32" s="1"/>
  <c r="J116" i="32" a="1"/>
  <c r="J116" i="32" s="1"/>
  <c r="T46" i="40" l="1" a="1"/>
  <c r="T46" i="40" s="1"/>
  <c r="G13" i="54" a="1"/>
  <c r="G13" i="54" s="1"/>
  <c r="V23" i="49" a="1"/>
  <c r="V23" i="49" s="1"/>
  <c r="C20" i="35" l="1"/>
  <c r="D20" i="35"/>
  <c r="Q20" i="35"/>
  <c r="R20" i="35" s="1"/>
  <c r="O20" i="35"/>
  <c r="T20" i="35" l="1"/>
  <c r="I19" i="9"/>
  <c r="I15" i="9"/>
  <c r="I16" i="9"/>
  <c r="I17" i="9"/>
  <c r="I18" i="9"/>
  <c r="I20" i="9"/>
  <c r="I21" i="9"/>
  <c r="I22" i="9"/>
  <c r="C13" i="68" l="1" a="1"/>
  <c r="C13" i="68" s="1"/>
  <c r="S13" i="68" a="1"/>
  <c r="S13" i="68" s="1"/>
  <c r="E12" i="32" a="1"/>
  <c r="E12" i="32" s="1"/>
  <c r="J12" i="32" a="1"/>
  <c r="J12" i="32" s="1"/>
  <c r="K12" i="32" a="1"/>
  <c r="K12" i="32" s="1"/>
  <c r="K31" i="32" a="1"/>
  <c r="K31" i="32" s="1"/>
  <c r="O18" i="35"/>
  <c r="J31" i="32" l="1" a="1"/>
  <c r="J31" i="32" s="1"/>
  <c r="E31" i="32" a="1"/>
  <c r="E31" i="32" s="1"/>
  <c r="S49" i="68" a="1"/>
  <c r="S49" i="68" s="1"/>
  <c r="O3" i="52" l="1" a="1"/>
  <c r="O3" i="52" s="1"/>
  <c r="O5" i="52" a="1"/>
  <c r="O5" i="52" s="1"/>
  <c r="AC3" i="29"/>
  <c r="AC5" i="29"/>
  <c r="AC6" i="29"/>
  <c r="AC7" i="29"/>
  <c r="AC8" i="29"/>
  <c r="AC9" i="29"/>
  <c r="AC10" i="29"/>
  <c r="AC11"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7"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Z3"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V3" i="29"/>
  <c r="H3" i="29" a="1"/>
  <c r="H3" i="29" s="1"/>
  <c r="G3" i="29" a="1"/>
  <c r="G3" i="29" s="1"/>
  <c r="F3" i="29" a="1"/>
  <c r="F3" i="29" s="1"/>
  <c r="E3" i="29" a="1"/>
  <c r="E3" i="29" s="1"/>
  <c r="V5" i="29"/>
  <c r="V6" i="29"/>
  <c r="V7" i="29"/>
  <c r="V8" i="29"/>
  <c r="V9" i="29"/>
  <c r="V10" i="29"/>
  <c r="V11" i="29"/>
  <c r="V12" i="29"/>
  <c r="V13" i="29"/>
  <c r="V14" i="29"/>
  <c r="V15" i="29"/>
  <c r="V16" i="29"/>
  <c r="V17" i="29"/>
  <c r="V18" i="29"/>
  <c r="V19" i="29"/>
  <c r="V20" i="29"/>
  <c r="V21" i="29"/>
  <c r="V22" i="29"/>
  <c r="V23" i="29"/>
  <c r="V24" i="29"/>
  <c r="V25" i="29"/>
  <c r="V26" i="29"/>
  <c r="V27" i="29"/>
  <c r="V28" i="29"/>
  <c r="V29" i="29"/>
  <c r="V30" i="29"/>
  <c r="V31" i="29"/>
  <c r="V32" i="29"/>
  <c r="V33" i="29"/>
  <c r="V34" i="29"/>
  <c r="V35" i="29"/>
  <c r="V36" i="29"/>
  <c r="V37" i="29"/>
  <c r="V38" i="29"/>
  <c r="V39" i="29"/>
  <c r="V40" i="29"/>
  <c r="V41" i="29"/>
  <c r="V42" i="29"/>
  <c r="V43" i="29"/>
  <c r="V44" i="29"/>
  <c r="V45" i="29"/>
  <c r="V46" i="29"/>
  <c r="V47" i="29"/>
  <c r="V48" i="29"/>
  <c r="V49" i="29"/>
  <c r="V50" i="29"/>
  <c r="V51" i="29"/>
  <c r="V52" i="29"/>
  <c r="V53" i="29"/>
  <c r="V54" i="29"/>
  <c r="V55" i="29"/>
  <c r="V56" i="29"/>
  <c r="V57" i="29"/>
  <c r="V58" i="29"/>
  <c r="V59" i="29"/>
  <c r="V60" i="29"/>
  <c r="V61" i="29"/>
  <c r="V62" i="29"/>
  <c r="V63" i="29"/>
  <c r="V64" i="29"/>
  <c r="V65" i="29"/>
  <c r="V66" i="29"/>
  <c r="V67" i="29"/>
  <c r="V68" i="29"/>
  <c r="V69" i="29"/>
  <c r="V70" i="29"/>
  <c r="V71" i="29"/>
  <c r="V72" i="29"/>
  <c r="V73" i="29"/>
  <c r="V74" i="29"/>
  <c r="V75" i="29"/>
  <c r="V76" i="29"/>
  <c r="V77" i="29"/>
  <c r="V78" i="29"/>
  <c r="V79" i="29"/>
  <c r="V80" i="29"/>
  <c r="V81" i="29"/>
  <c r="H81" i="29" a="1"/>
  <c r="H81" i="29" s="1"/>
  <c r="G74" i="29" a="1"/>
  <c r="G74" i="29" s="1"/>
  <c r="G75" i="29" a="1"/>
  <c r="G75" i="29" s="1"/>
  <c r="G78" i="29" a="1"/>
  <c r="G78" i="29" s="1"/>
  <c r="G79" i="29" a="1"/>
  <c r="G79" i="29" s="1"/>
  <c r="G80" i="29" a="1"/>
  <c r="G80" i="29" s="1"/>
  <c r="G81" i="29" a="1"/>
  <c r="G81" i="29" s="1"/>
  <c r="F5" i="29" a="1"/>
  <c r="F5" i="29" s="1"/>
  <c r="F6" i="29" a="1"/>
  <c r="F6" i="29" s="1"/>
  <c r="F7" i="29" a="1"/>
  <c r="F7" i="29" s="1"/>
  <c r="F8" i="29" a="1"/>
  <c r="F8" i="29" s="1"/>
  <c r="F9" i="29" a="1"/>
  <c r="F9" i="29" s="1"/>
  <c r="F10" i="29" a="1"/>
  <c r="F10" i="29" s="1"/>
  <c r="F11" i="29" a="1"/>
  <c r="F11" i="29" s="1"/>
  <c r="F12" i="29" a="1"/>
  <c r="F12" i="29" s="1"/>
  <c r="F13" i="29" a="1"/>
  <c r="F13" i="29" s="1"/>
  <c r="F14" i="29" a="1"/>
  <c r="F14" i="29" s="1"/>
  <c r="F15" i="29" a="1"/>
  <c r="F15" i="29" s="1"/>
  <c r="F16" i="29" a="1"/>
  <c r="F16" i="29" s="1"/>
  <c r="F17" i="29" a="1"/>
  <c r="F17" i="29" s="1"/>
  <c r="F18" i="29" a="1"/>
  <c r="F18" i="29" s="1"/>
  <c r="F19" i="29" a="1"/>
  <c r="F19" i="29" s="1"/>
  <c r="F20" i="29" a="1"/>
  <c r="F20" i="29" s="1"/>
  <c r="F21" i="29" a="1"/>
  <c r="F21" i="29" s="1"/>
  <c r="F22" i="29" a="1"/>
  <c r="F22" i="29" s="1"/>
  <c r="F23" i="29" a="1"/>
  <c r="F23" i="29" s="1"/>
  <c r="F24" i="29" a="1"/>
  <c r="F24" i="29" s="1"/>
  <c r="F25" i="29" a="1"/>
  <c r="F25" i="29" s="1"/>
  <c r="F26" i="29" a="1"/>
  <c r="F26" i="29" s="1"/>
  <c r="F27" i="29" a="1"/>
  <c r="F27" i="29" s="1"/>
  <c r="F28" i="29" a="1"/>
  <c r="F28" i="29" s="1"/>
  <c r="F29" i="29" a="1"/>
  <c r="F29" i="29" s="1"/>
  <c r="F30" i="29" a="1"/>
  <c r="F30" i="29" s="1"/>
  <c r="F31" i="29" a="1"/>
  <c r="F31" i="29" s="1"/>
  <c r="F32" i="29" a="1"/>
  <c r="F32" i="29" s="1"/>
  <c r="F33" i="29" a="1"/>
  <c r="F33" i="29" s="1"/>
  <c r="F34" i="29" a="1"/>
  <c r="F34" i="29" s="1"/>
  <c r="F35" i="29" a="1"/>
  <c r="F35" i="29" s="1"/>
  <c r="F36" i="29" a="1"/>
  <c r="F36" i="29" s="1"/>
  <c r="F37" i="29" a="1"/>
  <c r="F37" i="29" s="1"/>
  <c r="F38" i="29" a="1"/>
  <c r="F38" i="29" s="1"/>
  <c r="F39" i="29" a="1"/>
  <c r="F39" i="29" s="1"/>
  <c r="F40" i="29" a="1"/>
  <c r="F40" i="29" s="1"/>
  <c r="F41" i="29" a="1"/>
  <c r="F41" i="29" s="1"/>
  <c r="F42" i="29" a="1"/>
  <c r="F42" i="29" s="1"/>
  <c r="F43" i="29" a="1"/>
  <c r="F43" i="29" s="1"/>
  <c r="F44" i="29" a="1"/>
  <c r="F44" i="29" s="1"/>
  <c r="F45" i="29" a="1"/>
  <c r="F45" i="29" s="1"/>
  <c r="F46" i="29" a="1"/>
  <c r="F46" i="29" s="1"/>
  <c r="F47" i="29" a="1"/>
  <c r="F47" i="29" s="1"/>
  <c r="F48" i="29" a="1"/>
  <c r="F48" i="29" s="1"/>
  <c r="F49" i="29" a="1"/>
  <c r="F49" i="29" s="1"/>
  <c r="F50" i="29" a="1"/>
  <c r="F50" i="29" s="1"/>
  <c r="F51" i="29" a="1"/>
  <c r="F51" i="29" s="1"/>
  <c r="F52" i="29" a="1"/>
  <c r="F52" i="29" s="1"/>
  <c r="F53" i="29" a="1"/>
  <c r="F53" i="29" s="1"/>
  <c r="F54" i="29" a="1"/>
  <c r="F54" i="29" s="1"/>
  <c r="F55" i="29" a="1"/>
  <c r="F55" i="29" s="1"/>
  <c r="F56" i="29" a="1"/>
  <c r="F56" i="29" s="1"/>
  <c r="F57" i="29" a="1"/>
  <c r="F57" i="29" s="1"/>
  <c r="F58" i="29" a="1"/>
  <c r="F58" i="29" s="1"/>
  <c r="F59" i="29" a="1"/>
  <c r="F59" i="29" s="1"/>
  <c r="F60" i="29" a="1"/>
  <c r="F60" i="29" s="1"/>
  <c r="F61" i="29" a="1"/>
  <c r="F61" i="29" s="1"/>
  <c r="F62" i="29" a="1"/>
  <c r="F62" i="29" s="1"/>
  <c r="F63" i="29" a="1"/>
  <c r="F63" i="29" s="1"/>
  <c r="F64" i="29" a="1"/>
  <c r="F64" i="29" s="1"/>
  <c r="F65" i="29" a="1"/>
  <c r="F65" i="29" s="1"/>
  <c r="F66" i="29" a="1"/>
  <c r="F66" i="29" s="1"/>
  <c r="F67" i="29" a="1"/>
  <c r="F67" i="29" s="1"/>
  <c r="F68" i="29" a="1"/>
  <c r="F68" i="29" s="1"/>
  <c r="F69" i="29" a="1"/>
  <c r="F69" i="29" s="1"/>
  <c r="F70" i="29" a="1"/>
  <c r="F70" i="29" s="1"/>
  <c r="F71" i="29" a="1"/>
  <c r="F71" i="29" s="1"/>
  <c r="F72" i="29" a="1"/>
  <c r="F72" i="29" s="1"/>
  <c r="F73" i="29" a="1"/>
  <c r="F73" i="29" s="1"/>
  <c r="F74" i="29" a="1"/>
  <c r="F74" i="29" s="1"/>
  <c r="F75" i="29" a="1"/>
  <c r="F75" i="29" s="1"/>
  <c r="F76" i="29" a="1"/>
  <c r="F76" i="29" s="1"/>
  <c r="F77" i="29" a="1"/>
  <c r="F77" i="29" s="1"/>
  <c r="F78" i="29" a="1"/>
  <c r="F78" i="29" s="1"/>
  <c r="F79" i="29" a="1"/>
  <c r="F79" i="29" s="1"/>
  <c r="F80" i="29" a="1"/>
  <c r="F80" i="29" s="1"/>
  <c r="F81" i="29" a="1"/>
  <c r="F81" i="29" s="1"/>
  <c r="E5" i="29" a="1"/>
  <c r="E5" i="29" s="1"/>
  <c r="E6" i="29" a="1"/>
  <c r="E6" i="29" s="1"/>
  <c r="E7" i="29" a="1"/>
  <c r="E7" i="29" s="1"/>
  <c r="E8" i="29" a="1"/>
  <c r="E8" i="29" s="1"/>
  <c r="E9" i="29" a="1"/>
  <c r="E9" i="29" s="1"/>
  <c r="E10" i="29" a="1"/>
  <c r="E10" i="29" s="1"/>
  <c r="E11" i="29" a="1"/>
  <c r="E11" i="29" s="1"/>
  <c r="E12" i="29" a="1"/>
  <c r="E12" i="29" s="1"/>
  <c r="E13" i="29" a="1"/>
  <c r="E13" i="29" s="1"/>
  <c r="E14" i="29" a="1"/>
  <c r="E14" i="29" s="1"/>
  <c r="E15" i="29" a="1"/>
  <c r="E15" i="29" s="1"/>
  <c r="E16" i="29" a="1"/>
  <c r="E16" i="29" s="1"/>
  <c r="E17" i="29" a="1"/>
  <c r="E17" i="29" s="1"/>
  <c r="E18" i="29" a="1"/>
  <c r="E18" i="29" s="1"/>
  <c r="E19" i="29" a="1"/>
  <c r="E19" i="29" s="1"/>
  <c r="E20" i="29" a="1"/>
  <c r="E20" i="29" s="1"/>
  <c r="E21" i="29" a="1"/>
  <c r="E21" i="29" s="1"/>
  <c r="E22" i="29" a="1"/>
  <c r="E22" i="29" s="1"/>
  <c r="E23" i="29" a="1"/>
  <c r="E23" i="29" s="1"/>
  <c r="E24" i="29" a="1"/>
  <c r="E24" i="29" s="1"/>
  <c r="E25" i="29" a="1"/>
  <c r="E25" i="29" s="1"/>
  <c r="E26" i="29" a="1"/>
  <c r="E26" i="29" s="1"/>
  <c r="E27" i="29" a="1"/>
  <c r="E27" i="29" s="1"/>
  <c r="E28" i="29" a="1"/>
  <c r="E28" i="29" s="1"/>
  <c r="E29" i="29" a="1"/>
  <c r="E29" i="29" s="1"/>
  <c r="E30" i="29" a="1"/>
  <c r="E30" i="29" s="1"/>
  <c r="E31" i="29" a="1"/>
  <c r="E31" i="29" s="1"/>
  <c r="E32" i="29" a="1"/>
  <c r="E32" i="29" s="1"/>
  <c r="E33" i="29" a="1"/>
  <c r="E33" i="29" s="1"/>
  <c r="E34" i="29" a="1"/>
  <c r="E34" i="29" s="1"/>
  <c r="E35" i="29" a="1"/>
  <c r="E35" i="29" s="1"/>
  <c r="E36" i="29" a="1"/>
  <c r="E36" i="29" s="1"/>
  <c r="E37" i="29" a="1"/>
  <c r="E37" i="29" s="1"/>
  <c r="E38" i="29" a="1"/>
  <c r="E38" i="29" s="1"/>
  <c r="E39" i="29" a="1"/>
  <c r="E39" i="29" s="1"/>
  <c r="E40" i="29" a="1"/>
  <c r="E40" i="29" s="1"/>
  <c r="E41" i="29" a="1"/>
  <c r="E41" i="29" s="1"/>
  <c r="E42" i="29" a="1"/>
  <c r="E42" i="29" s="1"/>
  <c r="E43" i="29" a="1"/>
  <c r="E43" i="29" s="1"/>
  <c r="E44" i="29" a="1"/>
  <c r="E44" i="29" s="1"/>
  <c r="E45" i="29" a="1"/>
  <c r="E45" i="29" s="1"/>
  <c r="E46" i="29" a="1"/>
  <c r="E46" i="29" s="1"/>
  <c r="E47" i="29" a="1"/>
  <c r="E47" i="29" s="1"/>
  <c r="E48" i="29" a="1"/>
  <c r="E48" i="29" s="1"/>
  <c r="E49" i="29" a="1"/>
  <c r="E49" i="29" s="1"/>
  <c r="E50" i="29" a="1"/>
  <c r="E50" i="29" s="1"/>
  <c r="E51" i="29" a="1"/>
  <c r="E51" i="29" s="1"/>
  <c r="E52" i="29" a="1"/>
  <c r="E52" i="29" s="1"/>
  <c r="E53" i="29" a="1"/>
  <c r="E53" i="29" s="1"/>
  <c r="E54" i="29" a="1"/>
  <c r="E54" i="29" s="1"/>
  <c r="E55" i="29" a="1"/>
  <c r="E55" i="29" s="1"/>
  <c r="E56" i="29" a="1"/>
  <c r="E56" i="29" s="1"/>
  <c r="E57" i="29" a="1"/>
  <c r="E57" i="29" s="1"/>
  <c r="E58" i="29" a="1"/>
  <c r="E58" i="29" s="1"/>
  <c r="E59" i="29" a="1"/>
  <c r="E59" i="29" s="1"/>
  <c r="E60" i="29" a="1"/>
  <c r="E60" i="29" s="1"/>
  <c r="E61" i="29" a="1"/>
  <c r="E61" i="29" s="1"/>
  <c r="E62" i="29" a="1"/>
  <c r="E62" i="29" s="1"/>
  <c r="E63" i="29" a="1"/>
  <c r="E63" i="29" s="1"/>
  <c r="E64" i="29" a="1"/>
  <c r="E64" i="29" s="1"/>
  <c r="E65" i="29" a="1"/>
  <c r="E65" i="29" s="1"/>
  <c r="E66" i="29" a="1"/>
  <c r="E66" i="29" s="1"/>
  <c r="E67" i="29" a="1"/>
  <c r="E67" i="29" s="1"/>
  <c r="E68" i="29" a="1"/>
  <c r="E68" i="29" s="1"/>
  <c r="E69" i="29" a="1"/>
  <c r="E69" i="29" s="1"/>
  <c r="E70" i="29" a="1"/>
  <c r="E70" i="29" s="1"/>
  <c r="E71" i="29" a="1"/>
  <c r="E71" i="29" s="1"/>
  <c r="E72" i="29" a="1"/>
  <c r="E72" i="29" s="1"/>
  <c r="E73" i="29" a="1"/>
  <c r="E73" i="29" s="1"/>
  <c r="E74" i="29" a="1"/>
  <c r="E74" i="29" s="1"/>
  <c r="E75" i="29" a="1"/>
  <c r="E75" i="29" s="1"/>
  <c r="E76" i="29" a="1"/>
  <c r="E76" i="29" s="1"/>
  <c r="E77" i="29" a="1"/>
  <c r="E77" i="29" s="1"/>
  <c r="E78" i="29" a="1"/>
  <c r="E78" i="29" s="1"/>
  <c r="E79" i="29" a="1"/>
  <c r="E79" i="29" s="1"/>
  <c r="E80" i="29" a="1"/>
  <c r="E80" i="29" s="1"/>
  <c r="E81" i="29" a="1"/>
  <c r="E81" i="29" s="1"/>
  <c r="S44" i="13"/>
  <c r="S46" i="13"/>
  <c r="AJ11" i="83" l="1"/>
  <c r="AJ12" i="83"/>
  <c r="AJ13" i="83"/>
  <c r="AL24" i="59" l="1" a="1"/>
  <c r="AL24" i="59" s="1"/>
  <c r="AL25" i="59" a="1"/>
  <c r="AL25" i="59" s="1"/>
  <c r="AJ10" i="83"/>
  <c r="Z7" i="61" l="1"/>
  <c r="AA7" i="61" s="1" a="1"/>
  <c r="AA7" i="61" s="1"/>
  <c r="AC5" i="61"/>
  <c r="AC4" i="61"/>
  <c r="M3" i="53" l="1"/>
  <c r="AG23" i="49"/>
  <c r="AG24" i="49"/>
  <c r="AG25" i="49"/>
  <c r="AG26" i="49"/>
  <c r="AG27" i="49"/>
  <c r="D8" i="47"/>
  <c r="D6" i="47"/>
  <c r="D4" i="47"/>
  <c r="D2" i="47"/>
  <c r="C29" i="7"/>
  <c r="K29" i="7"/>
  <c r="L29" i="7" s="1"/>
  <c r="M29" i="7" s="1"/>
  <c r="C30" i="7"/>
  <c r="K30" i="7"/>
  <c r="L30" i="7" s="1"/>
  <c r="M30" i="7" s="1"/>
  <c r="C31" i="7"/>
  <c r="K31" i="7"/>
  <c r="L31" i="7" s="1"/>
  <c r="M31" i="7" s="1"/>
  <c r="C32" i="7"/>
  <c r="K32" i="7"/>
  <c r="L32" i="7" s="1"/>
  <c r="M32" i="7" s="1"/>
  <c r="C33" i="7"/>
  <c r="K33" i="7"/>
  <c r="L33" i="7" s="1"/>
  <c r="M33" i="7" s="1"/>
  <c r="C34" i="7"/>
  <c r="K34" i="7"/>
  <c r="L34" i="7" s="1"/>
  <c r="M34" i="7" s="1"/>
  <c r="C35" i="7"/>
  <c r="K35" i="7"/>
  <c r="L35" i="7" s="1"/>
  <c r="M35" i="7" s="1"/>
  <c r="C36" i="7"/>
  <c r="K36" i="7"/>
  <c r="L36" i="7" s="1"/>
  <c r="M36" i="7" s="1"/>
  <c r="C37" i="7"/>
  <c r="K37" i="7"/>
  <c r="L37" i="7" s="1"/>
  <c r="M37" i="7" s="1"/>
  <c r="C43" i="7"/>
  <c r="K43" i="7"/>
  <c r="L43" i="7" s="1"/>
  <c r="M43" i="7" s="1"/>
  <c r="C44" i="7"/>
  <c r="K44" i="7"/>
  <c r="L44" i="7" s="1"/>
  <c r="M44" i="7" s="1"/>
  <c r="C45" i="7"/>
  <c r="K45" i="7"/>
  <c r="L45" i="7" s="1"/>
  <c r="M45" i="7" s="1"/>
  <c r="C38" i="7"/>
  <c r="K38" i="7"/>
  <c r="L38" i="7" s="1"/>
  <c r="M38" i="7" s="1"/>
  <c r="C39" i="7"/>
  <c r="K39" i="7"/>
  <c r="L39" i="7" s="1"/>
  <c r="M39" i="7" s="1"/>
  <c r="C40" i="7"/>
  <c r="K40" i="7"/>
  <c r="L40" i="7" s="1"/>
  <c r="M40" i="7" s="1"/>
  <c r="C41" i="7"/>
  <c r="K41" i="7"/>
  <c r="L41" i="7" s="1"/>
  <c r="M41" i="7" s="1"/>
  <c r="C42" i="7"/>
  <c r="K42" i="7"/>
  <c r="L42" i="7" s="1"/>
  <c r="M42" i="7" s="1"/>
  <c r="AP49" i="6"/>
  <c r="AP48" i="6"/>
  <c r="AP53" i="6"/>
  <c r="AP52" i="6"/>
  <c r="U55" i="6"/>
  <c r="U56" i="6"/>
  <c r="AP57" i="6"/>
  <c r="U58" i="6"/>
  <c r="AP61" i="6"/>
  <c r="U64" i="6"/>
  <c r="AP65" i="6"/>
  <c r="U67" i="6"/>
  <c r="U68" i="6"/>
  <c r="AP69" i="6"/>
  <c r="U70" i="6"/>
  <c r="U48" i="6"/>
  <c r="AG48" i="6"/>
  <c r="AS48" i="6"/>
  <c r="AT48" i="6"/>
  <c r="AU48" i="6"/>
  <c r="AV48" i="6"/>
  <c r="AW48" i="6"/>
  <c r="AX48" i="6"/>
  <c r="U49" i="6"/>
  <c r="AG49" i="6"/>
  <c r="AS49" i="6"/>
  <c r="AT49" i="6"/>
  <c r="AU49" i="6"/>
  <c r="AV49" i="6"/>
  <c r="AW49" i="6"/>
  <c r="AX49" i="6"/>
  <c r="U50" i="6"/>
  <c r="AG50" i="6"/>
  <c r="AP50" i="6"/>
  <c r="AS50" i="6"/>
  <c r="AT50" i="6"/>
  <c r="AU50" i="6"/>
  <c r="AV50" i="6"/>
  <c r="AW50" i="6"/>
  <c r="AX50" i="6"/>
  <c r="U51" i="6"/>
  <c r="AG51" i="6"/>
  <c r="AS51" i="6"/>
  <c r="AT51" i="6"/>
  <c r="AU51" i="6"/>
  <c r="AV51" i="6"/>
  <c r="AW51" i="6"/>
  <c r="AX51" i="6"/>
  <c r="U52" i="6"/>
  <c r="AG52" i="6"/>
  <c r="AS52" i="6"/>
  <c r="AT52" i="6"/>
  <c r="AU52" i="6"/>
  <c r="AV52" i="6"/>
  <c r="AW52" i="6"/>
  <c r="AX52" i="6"/>
  <c r="U53" i="6"/>
  <c r="AG53" i="6"/>
  <c r="AS53" i="6"/>
  <c r="AT53" i="6"/>
  <c r="AU53" i="6"/>
  <c r="AV53" i="6"/>
  <c r="AW53" i="6"/>
  <c r="AX53" i="6"/>
  <c r="U54" i="6"/>
  <c r="AG54" i="6"/>
  <c r="AS54" i="6"/>
  <c r="AT54" i="6"/>
  <c r="AU54" i="6"/>
  <c r="AV54" i="6"/>
  <c r="AW54" i="6"/>
  <c r="AX54" i="6"/>
  <c r="AG55" i="6"/>
  <c r="AS55" i="6"/>
  <c r="AT55" i="6"/>
  <c r="AU55" i="6"/>
  <c r="AV55" i="6"/>
  <c r="AW55" i="6"/>
  <c r="AX55" i="6"/>
  <c r="AG56" i="6"/>
  <c r="AS56" i="6"/>
  <c r="AT56" i="6"/>
  <c r="AU56" i="6"/>
  <c r="AV56" i="6"/>
  <c r="AW56" i="6"/>
  <c r="AX56" i="6"/>
  <c r="U57" i="6"/>
  <c r="AG57" i="6"/>
  <c r="AS57" i="6"/>
  <c r="AT57" i="6"/>
  <c r="AU57" i="6"/>
  <c r="AV57" i="6"/>
  <c r="AW57" i="6"/>
  <c r="AX57" i="6"/>
  <c r="AG58" i="6"/>
  <c r="AS58" i="6"/>
  <c r="AT58" i="6"/>
  <c r="AU58" i="6"/>
  <c r="AV58" i="6"/>
  <c r="AW58" i="6"/>
  <c r="AX58" i="6"/>
  <c r="U59" i="6"/>
  <c r="AG59" i="6"/>
  <c r="AS59" i="6"/>
  <c r="AT59" i="6"/>
  <c r="AU59" i="6"/>
  <c r="AV59" i="6"/>
  <c r="AW59" i="6"/>
  <c r="AX59" i="6"/>
  <c r="U60" i="6"/>
  <c r="AG60" i="6"/>
  <c r="AS60" i="6"/>
  <c r="AT60" i="6"/>
  <c r="AU60" i="6"/>
  <c r="AV60" i="6"/>
  <c r="AW60" i="6"/>
  <c r="AX60" i="6"/>
  <c r="U61" i="6"/>
  <c r="AG61" i="6"/>
  <c r="AS61" i="6"/>
  <c r="AT61" i="6"/>
  <c r="AU61" i="6"/>
  <c r="AV61" i="6"/>
  <c r="AW61" i="6"/>
  <c r="AX61" i="6"/>
  <c r="U62" i="6"/>
  <c r="AG62" i="6"/>
  <c r="AS62" i="6"/>
  <c r="AT62" i="6"/>
  <c r="AU62" i="6"/>
  <c r="AV62" i="6"/>
  <c r="AW62" i="6"/>
  <c r="AX62" i="6"/>
  <c r="U63" i="6"/>
  <c r="AG63" i="6"/>
  <c r="AS63" i="6"/>
  <c r="AT63" i="6"/>
  <c r="AU63" i="6"/>
  <c r="AV63" i="6"/>
  <c r="AW63" i="6"/>
  <c r="AX63" i="6"/>
  <c r="AG64" i="6"/>
  <c r="AS64" i="6"/>
  <c r="AT64" i="6"/>
  <c r="AU64" i="6"/>
  <c r="AV64" i="6"/>
  <c r="AW64" i="6"/>
  <c r="AX64" i="6"/>
  <c r="U65" i="6"/>
  <c r="AG65" i="6"/>
  <c r="AS65" i="6"/>
  <c r="AT65" i="6"/>
  <c r="AU65" i="6"/>
  <c r="AV65" i="6"/>
  <c r="AW65" i="6"/>
  <c r="AX65" i="6"/>
  <c r="U66" i="6"/>
  <c r="AG66" i="6"/>
  <c r="AS66" i="6"/>
  <c r="AT66" i="6"/>
  <c r="AU66" i="6"/>
  <c r="AV66" i="6"/>
  <c r="AW66" i="6"/>
  <c r="AX66" i="6"/>
  <c r="AG67" i="6"/>
  <c r="AS67" i="6"/>
  <c r="AT67" i="6"/>
  <c r="AU67" i="6"/>
  <c r="AV67" i="6"/>
  <c r="AW67" i="6"/>
  <c r="AX67" i="6"/>
  <c r="AG68" i="6"/>
  <c r="AS68" i="6"/>
  <c r="AT68" i="6"/>
  <c r="AU68" i="6"/>
  <c r="AV68" i="6"/>
  <c r="AW68" i="6"/>
  <c r="AX68" i="6"/>
  <c r="U69" i="6"/>
  <c r="AG69" i="6"/>
  <c r="AS69" i="6"/>
  <c r="AT69" i="6"/>
  <c r="AU69" i="6"/>
  <c r="AV69" i="6"/>
  <c r="AW69" i="6"/>
  <c r="AX69" i="6"/>
  <c r="AG70" i="6"/>
  <c r="AS70" i="6"/>
  <c r="AT70" i="6"/>
  <c r="AU70" i="6"/>
  <c r="AV70" i="6"/>
  <c r="AW70" i="6"/>
  <c r="AX70" i="6"/>
  <c r="U71" i="6"/>
  <c r="AG71" i="6"/>
  <c r="AS71" i="6"/>
  <c r="AT71" i="6"/>
  <c r="AU71" i="6"/>
  <c r="AV71" i="6"/>
  <c r="AW71" i="6"/>
  <c r="AP71" i="6"/>
  <c r="AX71" i="6"/>
  <c r="H6" i="13"/>
  <c r="AK9" i="29" l="1"/>
  <c r="AK21" i="29"/>
  <c r="AK33" i="29"/>
  <c r="AK45" i="29"/>
  <c r="AK57" i="29"/>
  <c r="AK69" i="29"/>
  <c r="AK81" i="29"/>
  <c r="AH15" i="29"/>
  <c r="AH27" i="29"/>
  <c r="AH39" i="29"/>
  <c r="AH51" i="29"/>
  <c r="AH63" i="29"/>
  <c r="AH75" i="29"/>
  <c r="Y16" i="29"/>
  <c r="Y28" i="29"/>
  <c r="Y40" i="29"/>
  <c r="Y52" i="29"/>
  <c r="Y64" i="29"/>
  <c r="Y76" i="29"/>
  <c r="AK10" i="29"/>
  <c r="AK22" i="29"/>
  <c r="AK34" i="29"/>
  <c r="AK46" i="29"/>
  <c r="AK58" i="29"/>
  <c r="AK70" i="29"/>
  <c r="AH3" i="29"/>
  <c r="AH16" i="29"/>
  <c r="AH28" i="29"/>
  <c r="AH40" i="29"/>
  <c r="AH52" i="29"/>
  <c r="AH64" i="29"/>
  <c r="AH76" i="29"/>
  <c r="Y5" i="29"/>
  <c r="Y17" i="29"/>
  <c r="Y29" i="29"/>
  <c r="Y41" i="29"/>
  <c r="Y53" i="29"/>
  <c r="Y65" i="29"/>
  <c r="Y77" i="29"/>
  <c r="AK11" i="29"/>
  <c r="AK23" i="29"/>
  <c r="AK35" i="29"/>
  <c r="AK47" i="29"/>
  <c r="AK59" i="29"/>
  <c r="AK71" i="29"/>
  <c r="AH5" i="29"/>
  <c r="AH17" i="29"/>
  <c r="AH29" i="29"/>
  <c r="AH41" i="29"/>
  <c r="AH53" i="29"/>
  <c r="AH65" i="29"/>
  <c r="AH77" i="29"/>
  <c r="Y6" i="29"/>
  <c r="Y18" i="29"/>
  <c r="Y30" i="29"/>
  <c r="Y42" i="29"/>
  <c r="Y54" i="29"/>
  <c r="Y66" i="29"/>
  <c r="Y78" i="29"/>
  <c r="AK12" i="29"/>
  <c r="AK24" i="29"/>
  <c r="AK36" i="29"/>
  <c r="AK48" i="29"/>
  <c r="AK60" i="29"/>
  <c r="AK72" i="29"/>
  <c r="AH6" i="29"/>
  <c r="AH18" i="29"/>
  <c r="AH30" i="29"/>
  <c r="AH42" i="29"/>
  <c r="AH54" i="29"/>
  <c r="AH66" i="29"/>
  <c r="AH78" i="29"/>
  <c r="Y7" i="29"/>
  <c r="Y19" i="29"/>
  <c r="Y31" i="29"/>
  <c r="Y43" i="29"/>
  <c r="Y55" i="29"/>
  <c r="Y67" i="29"/>
  <c r="Y79" i="29"/>
  <c r="AK13" i="29"/>
  <c r="AK25" i="29"/>
  <c r="AK37" i="29"/>
  <c r="AK49" i="29"/>
  <c r="AK61" i="29"/>
  <c r="AK73" i="29"/>
  <c r="AH7" i="29"/>
  <c r="AH19" i="29"/>
  <c r="AH31" i="29"/>
  <c r="AH43" i="29"/>
  <c r="AH55" i="29"/>
  <c r="AH67" i="29"/>
  <c r="AH79" i="29"/>
  <c r="Y8" i="29"/>
  <c r="Y20" i="29"/>
  <c r="Y32" i="29"/>
  <c r="Y44" i="29"/>
  <c r="Y56" i="29"/>
  <c r="Y68" i="29"/>
  <c r="Y80" i="29"/>
  <c r="AK14" i="29"/>
  <c r="AK26" i="29"/>
  <c r="AK38" i="29"/>
  <c r="AK50" i="29"/>
  <c r="AK62" i="29"/>
  <c r="AK74" i="29"/>
  <c r="AH8" i="29"/>
  <c r="AH20" i="29"/>
  <c r="AH32" i="29"/>
  <c r="AH44" i="29"/>
  <c r="AH56" i="29"/>
  <c r="AH68" i="29"/>
  <c r="AH80" i="29"/>
  <c r="Y9" i="29"/>
  <c r="Y21" i="29"/>
  <c r="Y33" i="29"/>
  <c r="Y45" i="29"/>
  <c r="Y57" i="29"/>
  <c r="Y69" i="29"/>
  <c r="Y81" i="29"/>
  <c r="AK15" i="29"/>
  <c r="AK27" i="29"/>
  <c r="AK39" i="29"/>
  <c r="AK51" i="29"/>
  <c r="AK63" i="29"/>
  <c r="AK75" i="29"/>
  <c r="AH9" i="29"/>
  <c r="AH21" i="29"/>
  <c r="AH33" i="29"/>
  <c r="AH45" i="29"/>
  <c r="AH57" i="29"/>
  <c r="AH69" i="29"/>
  <c r="AH81" i="29"/>
  <c r="Y10" i="29"/>
  <c r="Y22" i="29"/>
  <c r="Y34" i="29"/>
  <c r="Y46" i="29"/>
  <c r="Y58" i="29"/>
  <c r="Y70" i="29"/>
  <c r="AK3" i="29"/>
  <c r="AK16" i="29"/>
  <c r="AK28" i="29"/>
  <c r="AK40" i="29"/>
  <c r="AK52" i="29"/>
  <c r="AK64" i="29"/>
  <c r="AK76" i="29"/>
  <c r="AH10" i="29"/>
  <c r="AH22" i="29"/>
  <c r="AH34" i="29"/>
  <c r="AH46" i="29"/>
  <c r="AH58" i="29"/>
  <c r="AH70" i="29"/>
  <c r="Y3" i="29"/>
  <c r="Y11" i="29"/>
  <c r="Y23" i="29"/>
  <c r="Y35" i="29"/>
  <c r="Y47" i="29"/>
  <c r="Y59" i="29"/>
  <c r="Y71" i="29"/>
  <c r="AK5" i="29"/>
  <c r="AK17" i="29"/>
  <c r="AK29" i="29"/>
  <c r="AK41" i="29"/>
  <c r="AK53" i="29"/>
  <c r="AK65" i="29"/>
  <c r="AK77" i="29"/>
  <c r="AH11" i="29"/>
  <c r="AH23" i="29"/>
  <c r="AH35" i="29"/>
  <c r="AH47" i="29"/>
  <c r="AH59" i="29"/>
  <c r="AH71" i="29"/>
  <c r="Y12" i="29"/>
  <c r="Y24" i="29"/>
  <c r="Y36" i="29"/>
  <c r="Y48" i="29"/>
  <c r="Y60" i="29"/>
  <c r="Y72" i="29"/>
  <c r="AK6" i="29"/>
  <c r="AK18" i="29"/>
  <c r="AK30" i="29"/>
  <c r="AK42" i="29"/>
  <c r="AK54" i="29"/>
  <c r="AK66" i="29"/>
  <c r="AK78" i="29"/>
  <c r="AH12" i="29"/>
  <c r="AH24" i="29"/>
  <c r="AH36" i="29"/>
  <c r="AH48" i="29"/>
  <c r="AH60" i="29"/>
  <c r="AH72" i="29"/>
  <c r="Y13" i="29"/>
  <c r="Y25" i="29"/>
  <c r="Y37" i="29"/>
  <c r="Y49" i="29"/>
  <c r="Y61" i="29"/>
  <c r="Y73" i="29"/>
  <c r="AK7" i="29"/>
  <c r="AK19" i="29"/>
  <c r="AK31" i="29"/>
  <c r="AK43" i="29"/>
  <c r="AK55" i="29"/>
  <c r="AK67" i="29"/>
  <c r="AK79" i="29"/>
  <c r="AH13" i="29"/>
  <c r="AH25" i="29"/>
  <c r="AH37" i="29"/>
  <c r="AH49" i="29"/>
  <c r="AH61" i="29"/>
  <c r="AH73" i="29"/>
  <c r="Y14" i="29"/>
  <c r="Y26" i="29"/>
  <c r="Y38" i="29"/>
  <c r="Y50" i="29"/>
  <c r="Y62" i="29"/>
  <c r="Y74" i="29"/>
  <c r="AK8" i="29"/>
  <c r="AK20" i="29"/>
  <c r="AK32" i="29"/>
  <c r="AK44" i="29"/>
  <c r="AK56" i="29"/>
  <c r="AK68" i="29"/>
  <c r="AK80" i="29"/>
  <c r="AH14" i="29"/>
  <c r="AH26" i="29"/>
  <c r="AH38" i="29"/>
  <c r="AH50" i="29"/>
  <c r="AH62" i="29"/>
  <c r="AH74" i="29"/>
  <c r="Y15" i="29"/>
  <c r="Y27" i="29"/>
  <c r="Y39" i="29"/>
  <c r="Y51" i="29"/>
  <c r="Y63" i="29"/>
  <c r="Y75" i="29"/>
  <c r="AP70" i="6"/>
  <c r="AP66" i="6"/>
  <c r="AP62" i="6"/>
  <c r="AP58" i="6"/>
  <c r="AP54" i="6"/>
  <c r="AP51" i="6"/>
  <c r="AP67" i="6"/>
  <c r="AP63" i="6"/>
  <c r="AP59" i="6"/>
  <c r="AP55" i="6"/>
  <c r="AP68" i="6"/>
  <c r="AP64" i="6"/>
  <c r="AP60" i="6"/>
  <c r="AP56" i="6"/>
  <c r="AR48" i="6"/>
  <c r="AR49" i="6"/>
  <c r="AR50" i="6"/>
  <c r="AR51" i="6"/>
  <c r="AR52" i="6"/>
  <c r="AR53" i="6"/>
  <c r="AR54" i="6"/>
  <c r="AR55" i="6"/>
  <c r="AR56" i="6"/>
  <c r="AR57" i="6"/>
  <c r="AR58" i="6"/>
  <c r="AR59" i="6"/>
  <c r="AR60" i="6"/>
  <c r="AR61" i="6"/>
  <c r="AR62" i="6"/>
  <c r="AR63" i="6"/>
  <c r="AR64" i="6"/>
  <c r="AR65" i="6"/>
  <c r="AR66" i="6"/>
  <c r="AR67" i="6"/>
  <c r="AR68" i="6"/>
  <c r="AR69" i="6"/>
  <c r="AR70" i="6"/>
  <c r="AR71" i="6"/>
  <c r="AP23" i="59" l="1"/>
  <c r="AP24" i="59"/>
  <c r="W22" i="59"/>
  <c r="W23" i="59"/>
  <c r="W24" i="59"/>
  <c r="W25" i="59"/>
  <c r="W26" i="59"/>
  <c r="W27" i="59"/>
  <c r="AI25" i="59"/>
  <c r="AI24" i="59"/>
  <c r="S27" i="59"/>
  <c r="AA27" i="59"/>
  <c r="AB27" i="59"/>
  <c r="S24" i="59"/>
  <c r="S25" i="59"/>
  <c r="S26" i="59"/>
  <c r="AA24" i="59"/>
  <c r="AA25" i="59"/>
  <c r="AA26" i="59"/>
  <c r="AB24" i="59"/>
  <c r="S23" i="59"/>
  <c r="AA23" i="59"/>
  <c r="AC27" i="59" l="1"/>
  <c r="AD27" i="59" s="1"/>
  <c r="AC24" i="59"/>
  <c r="AD24" i="59" s="1"/>
  <c r="I24" i="58"/>
  <c r="I25" i="58"/>
  <c r="D3" i="29" l="1"/>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M54" i="10"/>
  <c r="M55" i="10"/>
  <c r="M56" i="10"/>
  <c r="M57" i="10"/>
  <c r="M46" i="10"/>
  <c r="M47" i="10"/>
  <c r="M48" i="10"/>
  <c r="M49" i="10"/>
  <c r="M50" i="10"/>
  <c r="M51" i="10"/>
  <c r="M52" i="10"/>
  <c r="M53" i="10"/>
  <c r="M58" i="10"/>
  <c r="M59" i="10"/>
  <c r="M60" i="10"/>
  <c r="M61" i="10"/>
  <c r="M62" i="10"/>
  <c r="M63" i="10"/>
  <c r="M64" i="10"/>
  <c r="L5" i="29" l="1"/>
  <c r="L17" i="29"/>
  <c r="L29" i="29"/>
  <c r="L41" i="29"/>
  <c r="L53" i="29"/>
  <c r="L65" i="29"/>
  <c r="L77" i="29"/>
  <c r="L6" i="29"/>
  <c r="L18" i="29"/>
  <c r="L30" i="29"/>
  <c r="L42" i="29"/>
  <c r="L54" i="29"/>
  <c r="L66" i="29"/>
  <c r="L78" i="29"/>
  <c r="L7" i="29"/>
  <c r="L19" i="29"/>
  <c r="L31" i="29"/>
  <c r="L43" i="29"/>
  <c r="L55" i="29"/>
  <c r="L67" i="29"/>
  <c r="L79" i="29"/>
  <c r="L8" i="29"/>
  <c r="L20" i="29"/>
  <c r="L32" i="29"/>
  <c r="L44" i="29"/>
  <c r="L56" i="29"/>
  <c r="L68" i="29"/>
  <c r="L80" i="29"/>
  <c r="L9" i="29"/>
  <c r="L21" i="29"/>
  <c r="L33" i="29"/>
  <c r="L45" i="29"/>
  <c r="L57" i="29"/>
  <c r="L69" i="29"/>
  <c r="L81" i="29"/>
  <c r="L10" i="29"/>
  <c r="L22" i="29"/>
  <c r="L34" i="29"/>
  <c r="L46" i="29"/>
  <c r="L58" i="29"/>
  <c r="L70" i="29"/>
  <c r="L11" i="29"/>
  <c r="L23" i="29"/>
  <c r="L35" i="29"/>
  <c r="L47" i="29"/>
  <c r="L59" i="29"/>
  <c r="L71" i="29"/>
  <c r="L12" i="29"/>
  <c r="L24" i="29"/>
  <c r="L36" i="29"/>
  <c r="L48" i="29"/>
  <c r="L60" i="29"/>
  <c r="L72" i="29"/>
  <c r="L13" i="29"/>
  <c r="L25" i="29"/>
  <c r="L37" i="29"/>
  <c r="L49" i="29"/>
  <c r="L61" i="29"/>
  <c r="L73" i="29"/>
  <c r="L14" i="29"/>
  <c r="L26" i="29"/>
  <c r="L38" i="29"/>
  <c r="L50" i="29"/>
  <c r="L62" i="29"/>
  <c r="L74" i="29"/>
  <c r="L15" i="29"/>
  <c r="L27" i="29"/>
  <c r="L39" i="29"/>
  <c r="L51" i="29"/>
  <c r="L63" i="29"/>
  <c r="L75" i="29"/>
  <c r="L3" i="29"/>
  <c r="L16" i="29"/>
  <c r="L28" i="29"/>
  <c r="L40" i="29"/>
  <c r="L52" i="29"/>
  <c r="L64" i="29"/>
  <c r="L76" i="29"/>
  <c r="S3" i="29"/>
  <c r="S16" i="29"/>
  <c r="S28" i="29"/>
  <c r="S40" i="29"/>
  <c r="S52" i="29"/>
  <c r="S64" i="29"/>
  <c r="S76" i="29"/>
  <c r="S5" i="29"/>
  <c r="S17" i="29"/>
  <c r="S29" i="29"/>
  <c r="S41" i="29"/>
  <c r="S53" i="29"/>
  <c r="S65" i="29"/>
  <c r="S77" i="29"/>
  <c r="S6" i="29"/>
  <c r="S18" i="29"/>
  <c r="S30" i="29"/>
  <c r="S42" i="29"/>
  <c r="S54" i="29"/>
  <c r="S66" i="29"/>
  <c r="S78" i="29"/>
  <c r="S7" i="29"/>
  <c r="S19" i="29"/>
  <c r="S31" i="29"/>
  <c r="S43" i="29"/>
  <c r="S55" i="29"/>
  <c r="S67" i="29"/>
  <c r="S79" i="29"/>
  <c r="S8" i="29"/>
  <c r="S20" i="29"/>
  <c r="S32" i="29"/>
  <c r="S44" i="29"/>
  <c r="S56" i="29"/>
  <c r="S68" i="29"/>
  <c r="S80" i="29"/>
  <c r="S9" i="29"/>
  <c r="S21" i="29"/>
  <c r="S33" i="29"/>
  <c r="S45" i="29"/>
  <c r="S57" i="29"/>
  <c r="S69" i="29"/>
  <c r="S81" i="29"/>
  <c r="S10" i="29"/>
  <c r="S22" i="29"/>
  <c r="S34" i="29"/>
  <c r="S46" i="29"/>
  <c r="S58" i="29"/>
  <c r="S70" i="29"/>
  <c r="S11" i="29"/>
  <c r="S23" i="29"/>
  <c r="S35" i="29"/>
  <c r="S47" i="29"/>
  <c r="S59" i="29"/>
  <c r="S71" i="29"/>
  <c r="S12" i="29"/>
  <c r="S24" i="29"/>
  <c r="S36" i="29"/>
  <c r="S48" i="29"/>
  <c r="S60" i="29"/>
  <c r="S72" i="29"/>
  <c r="S13" i="29"/>
  <c r="S25" i="29"/>
  <c r="S37" i="29"/>
  <c r="S49" i="29"/>
  <c r="S61" i="29"/>
  <c r="S73" i="29"/>
  <c r="S14" i="29"/>
  <c r="S26" i="29"/>
  <c r="S38" i="29"/>
  <c r="S50" i="29"/>
  <c r="S62" i="29"/>
  <c r="S74" i="29"/>
  <c r="S15" i="29"/>
  <c r="S27" i="29"/>
  <c r="S39" i="29"/>
  <c r="S51" i="29"/>
  <c r="S63" i="29"/>
  <c r="S75" i="29"/>
  <c r="BA22" i="34"/>
  <c r="BA23" i="34"/>
  <c r="BA24" i="34"/>
  <c r="BA25" i="34"/>
  <c r="BA26" i="34"/>
  <c r="BA27" i="34"/>
  <c r="BA28" i="34"/>
  <c r="BA29" i="34"/>
  <c r="BA30" i="34"/>
  <c r="BA31" i="34"/>
  <c r="BA32" i="34"/>
  <c r="BA33" i="34"/>
  <c r="BA34" i="34"/>
  <c r="BA35" i="34"/>
  <c r="BA36" i="34"/>
  <c r="AZ22" i="34"/>
  <c r="AZ23" i="34"/>
  <c r="AZ24" i="34"/>
  <c r="AZ27" i="34"/>
  <c r="AZ28" i="34"/>
  <c r="AZ29" i="34"/>
  <c r="AZ32" i="34"/>
  <c r="AZ33" i="34"/>
  <c r="AZ34" i="34"/>
  <c r="AU23" i="34"/>
  <c r="BD23" i="34" s="1" a="1"/>
  <c r="BD23" i="34" s="1"/>
  <c r="AU24" i="34"/>
  <c r="BD24" i="34" s="1" a="1"/>
  <c r="BD24" i="34" s="1"/>
  <c r="AU25" i="34"/>
  <c r="BE25" i="34" s="1" a="1"/>
  <c r="BE25" i="34" s="1"/>
  <c r="AU26" i="34"/>
  <c r="BD26" i="34" s="1" a="1"/>
  <c r="BD26" i="34" s="1"/>
  <c r="AU27" i="34"/>
  <c r="BC27" i="34" s="1" a="1"/>
  <c r="BC27" i="34" s="1"/>
  <c r="AU28" i="34"/>
  <c r="AU29" i="34"/>
  <c r="BE29" i="34" s="1" a="1"/>
  <c r="BE29" i="34" s="1"/>
  <c r="BJ29" i="34" s="1" a="1"/>
  <c r="BJ29" i="34" s="1"/>
  <c r="AU30" i="34"/>
  <c r="BE30" i="34" s="1" a="1"/>
  <c r="BE30" i="34" s="1"/>
  <c r="AU31" i="34"/>
  <c r="BI31" i="34" s="1" a="1"/>
  <c r="BI31" i="34" s="1"/>
  <c r="AU32" i="34"/>
  <c r="BD32" i="34" s="1" a="1"/>
  <c r="BD32" i="34" s="1"/>
  <c r="AU33" i="34"/>
  <c r="AU34" i="34"/>
  <c r="BD34" i="34" s="1" a="1"/>
  <c r="BD34" i="34" s="1"/>
  <c r="AU35" i="34"/>
  <c r="BC35" i="34" s="1" a="1"/>
  <c r="BC35" i="34" s="1"/>
  <c r="AU36" i="34"/>
  <c r="BE36" i="34" s="1" a="1"/>
  <c r="BE36" i="34" s="1"/>
  <c r="BF23" i="34" a="1"/>
  <c r="BF23" i="34" s="1"/>
  <c r="BH23" i="34" s="1"/>
  <c r="BF24" i="34" a="1"/>
  <c r="BF24" i="34" s="1"/>
  <c r="BH24" i="34" s="1"/>
  <c r="BF25" i="34" a="1"/>
  <c r="BF25" i="34" s="1"/>
  <c r="BH25" i="34" s="1"/>
  <c r="BF26" i="34" a="1"/>
  <c r="BF26" i="34" s="1"/>
  <c r="BH26" i="34" s="1"/>
  <c r="BF27" i="34" a="1"/>
  <c r="BF27" i="34" s="1"/>
  <c r="BH27" i="34" s="1"/>
  <c r="BF28" i="34" a="1"/>
  <c r="BF28" i="34" s="1"/>
  <c r="BH28" i="34" s="1"/>
  <c r="BF29" i="34" a="1"/>
  <c r="BF29" i="34" s="1"/>
  <c r="BH29" i="34" s="1"/>
  <c r="BF30" i="34" a="1"/>
  <c r="BF30" i="34" s="1"/>
  <c r="BH30" i="34" s="1"/>
  <c r="BF31" i="34" a="1"/>
  <c r="BF31" i="34" s="1"/>
  <c r="BH31" i="34" s="1"/>
  <c r="BF32" i="34" a="1"/>
  <c r="BF32" i="34" s="1"/>
  <c r="BH32" i="34" s="1"/>
  <c r="BF33" i="34" a="1"/>
  <c r="BF33" i="34" s="1"/>
  <c r="BH33" i="34" s="1"/>
  <c r="BF34" i="34" a="1"/>
  <c r="BF34" i="34" s="1"/>
  <c r="BH34" i="34" s="1"/>
  <c r="BF35" i="34" a="1"/>
  <c r="BF35" i="34" s="1"/>
  <c r="BH35" i="34" s="1"/>
  <c r="BF36" i="34" a="1"/>
  <c r="BF36" i="34" s="1"/>
  <c r="BH36" i="34" s="1"/>
  <c r="S9" i="68" l="1" a="1"/>
  <c r="S9" i="68" s="1"/>
  <c r="O7" i="32" a="1"/>
  <c r="O7" i="32" s="1"/>
  <c r="F7" i="32" a="1"/>
  <c r="F7" i="32" s="1"/>
  <c r="K7" i="32" a="1"/>
  <c r="K7" i="32" s="1"/>
  <c r="J7" i="32" a="1"/>
  <c r="J7" i="32" s="1"/>
  <c r="E7" i="32" a="1"/>
  <c r="E7" i="32" s="1"/>
  <c r="C9" i="68" a="1"/>
  <c r="C9" i="68" s="1"/>
  <c r="V9" i="68" a="1"/>
  <c r="V9" i="68" s="1"/>
  <c r="P7" i="32" a="1"/>
  <c r="P7" i="32" s="1"/>
  <c r="C98" i="40" a="1"/>
  <c r="C98" i="40" s="1"/>
  <c r="C73" i="40" a="1"/>
  <c r="C73" i="40" s="1"/>
  <c r="BE27" i="34" a="1"/>
  <c r="BE27" i="34" s="1"/>
  <c r="BJ27" i="34" s="1" a="1"/>
  <c r="BJ27" i="34" s="1"/>
  <c r="BE26" i="34" a="1"/>
  <c r="BE26" i="34" s="1"/>
  <c r="BE23" i="34" a="1"/>
  <c r="BE23" i="34" s="1"/>
  <c r="BJ23" i="34" s="1" a="1"/>
  <c r="BJ23" i="34" s="1"/>
  <c r="BC23" i="34" a="1"/>
  <c r="BC23" i="34" s="1"/>
  <c r="BE24" i="34" a="1"/>
  <c r="BE24" i="34" s="1"/>
  <c r="BJ24" i="34" s="1" a="1"/>
  <c r="BJ24" i="34" s="1"/>
  <c r="BC25" i="34" a="1"/>
  <c r="BC25" i="34" s="1"/>
  <c r="BC24" i="34" a="1"/>
  <c r="BC24" i="34" s="1"/>
  <c r="BI36" i="34" a="1"/>
  <c r="BI36" i="34" s="1"/>
  <c r="BC26" i="34" a="1"/>
  <c r="BC26" i="34" s="1"/>
  <c r="BE35" i="34" a="1"/>
  <c r="BE35" i="34" s="1"/>
  <c r="BD35" i="34" a="1"/>
  <c r="BD35" i="34" s="1"/>
  <c r="BI24" i="34" a="1"/>
  <c r="BI24" i="34" s="1"/>
  <c r="BI23" i="34" a="1"/>
  <c r="BI23" i="34" s="1"/>
  <c r="BD36" i="34" a="1"/>
  <c r="BD36" i="34" s="1"/>
  <c r="BI35" i="34" a="1"/>
  <c r="BI35" i="34" s="1"/>
  <c r="BC36" i="34" a="1"/>
  <c r="BC36" i="34" s="1"/>
  <c r="BC28" i="34" a="1"/>
  <c r="BC28" i="34" s="1"/>
  <c r="BI26" i="34" a="1"/>
  <c r="BI26" i="34" s="1"/>
  <c r="BI25" i="34" a="1"/>
  <c r="BI25" i="34" s="1"/>
  <c r="BI27" i="34" a="1"/>
  <c r="BI27" i="34" s="1"/>
  <c r="BD31" i="34" a="1"/>
  <c r="BD31" i="34" s="1"/>
  <c r="BE28" i="34" a="1"/>
  <c r="BE28" i="34" s="1"/>
  <c r="BJ28" i="34" s="1" a="1"/>
  <c r="BJ28" i="34" s="1"/>
  <c r="BD27" i="34" a="1"/>
  <c r="BD27" i="34" s="1"/>
  <c r="BD30" i="34" a="1"/>
  <c r="BD30" i="34" s="1"/>
  <c r="BD28" i="34" a="1"/>
  <c r="BD28" i="34" s="1"/>
  <c r="BI29" i="34" a="1"/>
  <c r="BI29" i="34" s="1"/>
  <c r="BI28" i="34" a="1"/>
  <c r="BI28" i="34" s="1"/>
  <c r="BD25" i="34" a="1"/>
  <c r="BD25" i="34" s="1"/>
  <c r="BD29" i="34" a="1"/>
  <c r="BD29" i="34" s="1"/>
  <c r="BC34" i="34" a="1"/>
  <c r="BC34" i="34" s="1"/>
  <c r="BE34" i="34" a="1"/>
  <c r="BE34" i="34" s="1"/>
  <c r="BJ34" i="34" s="1" a="1"/>
  <c r="BJ34" i="34" s="1"/>
  <c r="BI34" i="34" a="1"/>
  <c r="BI34" i="34" s="1"/>
  <c r="BI30" i="34" a="1"/>
  <c r="BI30" i="34" s="1"/>
  <c r="BE33" i="34" a="1"/>
  <c r="BE33" i="34" s="1"/>
  <c r="BJ33" i="34" s="1" a="1"/>
  <c r="BJ33" i="34" s="1"/>
  <c r="BC31" i="34" a="1"/>
  <c r="BC31" i="34" s="1"/>
  <c r="BC32" i="34" a="1"/>
  <c r="BC32" i="34" s="1"/>
  <c r="BE32" i="34" a="1"/>
  <c r="BE32" i="34" s="1"/>
  <c r="BJ32" i="34" s="1" a="1"/>
  <c r="BJ32" i="34" s="1"/>
  <c r="BC30" i="34" a="1"/>
  <c r="BC30" i="34" s="1"/>
  <c r="BI33" i="34" a="1"/>
  <c r="BI33" i="34" s="1"/>
  <c r="BI32" i="34" a="1"/>
  <c r="BI32" i="34" s="1"/>
  <c r="BE31" i="34" a="1"/>
  <c r="BE31" i="34" s="1"/>
  <c r="BC29" i="34" a="1"/>
  <c r="BC29" i="34" s="1"/>
  <c r="BD33" i="34" a="1"/>
  <c r="BD33" i="34" s="1"/>
  <c r="BC33" i="34" a="1"/>
  <c r="BC33" i="34" s="1"/>
  <c r="W7" i="29"/>
  <c r="AA7" i="29"/>
  <c r="AD7" i="29" s="1"/>
  <c r="AE7" i="29"/>
  <c r="AI7" i="29"/>
  <c r="AL7" i="29"/>
  <c r="AQ7" i="29"/>
  <c r="AR7" i="29"/>
  <c r="AS7" i="29"/>
  <c r="AT7" i="29"/>
  <c r="AU7" i="29"/>
  <c r="AV7" i="29"/>
  <c r="W9" i="29"/>
  <c r="AA9" i="29"/>
  <c r="AD9" i="29" s="1"/>
  <c r="AE9" i="29"/>
  <c r="AI9" i="29"/>
  <c r="AL9" i="29"/>
  <c r="AQ9" i="29"/>
  <c r="AR9" i="29"/>
  <c r="AS9" i="29"/>
  <c r="AT9" i="29"/>
  <c r="AU9" i="29"/>
  <c r="AV9" i="29"/>
  <c r="AA10" i="29"/>
  <c r="AD10" i="29" s="1"/>
  <c r="AE10" i="29"/>
  <c r="AI10" i="29"/>
  <c r="AL10" i="29"/>
  <c r="AQ10" i="29"/>
  <c r="AR10" i="29"/>
  <c r="AS10" i="29"/>
  <c r="AT10" i="29"/>
  <c r="AU10" i="29"/>
  <c r="AV10" i="29"/>
  <c r="W12" i="29"/>
  <c r="AA12" i="29"/>
  <c r="AD12" i="29" s="1"/>
  <c r="AE12" i="29"/>
  <c r="AI12" i="29"/>
  <c r="AL12" i="29"/>
  <c r="AQ12" i="29"/>
  <c r="AR12" i="29"/>
  <c r="AS12" i="29"/>
  <c r="AT12" i="29"/>
  <c r="AU12" i="29"/>
  <c r="AV12" i="29"/>
  <c r="AA14" i="29"/>
  <c r="AD14" i="29" s="1"/>
  <c r="AE14" i="29"/>
  <c r="AI14" i="29"/>
  <c r="AL14" i="29"/>
  <c r="AQ14" i="29"/>
  <c r="AR14" i="29"/>
  <c r="AS14" i="29"/>
  <c r="AT14" i="29"/>
  <c r="AU14" i="29"/>
  <c r="AV14" i="29"/>
  <c r="AA15" i="29"/>
  <c r="AD15" i="29" s="1"/>
  <c r="AE15" i="29"/>
  <c r="AI15" i="29"/>
  <c r="AL15" i="29"/>
  <c r="AQ15" i="29"/>
  <c r="AR15" i="29"/>
  <c r="AS15" i="29"/>
  <c r="AT15" i="29"/>
  <c r="AU15" i="29"/>
  <c r="AV15" i="29"/>
  <c r="W20" i="29"/>
  <c r="AA20" i="29"/>
  <c r="AD20" i="29" s="1"/>
  <c r="AE20" i="29"/>
  <c r="AI20" i="29"/>
  <c r="AL20" i="29"/>
  <c r="AQ20" i="29"/>
  <c r="AR20" i="29"/>
  <c r="AS20" i="29"/>
  <c r="AT20" i="29"/>
  <c r="AU20" i="29"/>
  <c r="AV20" i="29"/>
  <c r="AA21" i="29"/>
  <c r="AD21" i="29" s="1"/>
  <c r="AE21" i="29"/>
  <c r="AI21" i="29"/>
  <c r="AL21" i="29"/>
  <c r="AQ21" i="29"/>
  <c r="AR21" i="29"/>
  <c r="AS21" i="29"/>
  <c r="AT21" i="29"/>
  <c r="AU21" i="29"/>
  <c r="AV21" i="29"/>
  <c r="AA29" i="29"/>
  <c r="AD29" i="29" s="1"/>
  <c r="AE29" i="29"/>
  <c r="AI29" i="29"/>
  <c r="AL29" i="29"/>
  <c r="AQ29" i="29"/>
  <c r="AR29" i="29"/>
  <c r="AS29" i="29"/>
  <c r="AT29" i="29"/>
  <c r="AU29" i="29"/>
  <c r="AV29" i="29"/>
  <c r="AA32" i="29"/>
  <c r="AD32" i="29" s="1"/>
  <c r="AE32" i="29"/>
  <c r="AI32" i="29"/>
  <c r="AL32" i="29"/>
  <c r="AQ32" i="29"/>
  <c r="AR32" i="29"/>
  <c r="AS32" i="29"/>
  <c r="AT32" i="29"/>
  <c r="AU32" i="29"/>
  <c r="AV32" i="29"/>
  <c r="W34" i="29"/>
  <c r="AA34" i="29"/>
  <c r="AD34" i="29" s="1"/>
  <c r="AE34" i="29"/>
  <c r="AI34" i="29"/>
  <c r="AL34" i="29"/>
  <c r="AQ34" i="29"/>
  <c r="AR34" i="29"/>
  <c r="AS34" i="29"/>
  <c r="AT34" i="29"/>
  <c r="AU34" i="29"/>
  <c r="AV34" i="29"/>
  <c r="W37" i="29"/>
  <c r="AA37" i="29"/>
  <c r="AD37" i="29" s="1"/>
  <c r="AE37" i="29"/>
  <c r="AI37" i="29"/>
  <c r="AL37" i="29"/>
  <c r="AQ37" i="29"/>
  <c r="AR37" i="29"/>
  <c r="AS37" i="29"/>
  <c r="AT37" i="29"/>
  <c r="AU37" i="29"/>
  <c r="AV37" i="29"/>
  <c r="AA38" i="29"/>
  <c r="AD38" i="29" s="1"/>
  <c r="AE38" i="29"/>
  <c r="AI38" i="29"/>
  <c r="AL38" i="29"/>
  <c r="AQ38" i="29"/>
  <c r="AR38" i="29"/>
  <c r="AS38" i="29"/>
  <c r="AT38" i="29"/>
  <c r="AU38" i="29"/>
  <c r="AV38" i="29"/>
  <c r="AA40" i="29"/>
  <c r="AD40" i="29" s="1"/>
  <c r="AE40" i="29"/>
  <c r="AI40" i="29"/>
  <c r="AL40" i="29"/>
  <c r="AQ40" i="29"/>
  <c r="AR40" i="29"/>
  <c r="AS40" i="29"/>
  <c r="AT40" i="29"/>
  <c r="AU40" i="29"/>
  <c r="AV40" i="29"/>
  <c r="W45" i="29"/>
  <c r="AA45" i="29"/>
  <c r="AD45" i="29" s="1"/>
  <c r="AE45" i="29"/>
  <c r="AI45" i="29"/>
  <c r="AL45" i="29"/>
  <c r="AQ45" i="29"/>
  <c r="AR45" i="29"/>
  <c r="AS45" i="29"/>
  <c r="AT45" i="29"/>
  <c r="AU45" i="29"/>
  <c r="AV45" i="29"/>
  <c r="W51" i="29"/>
  <c r="AA51" i="29"/>
  <c r="AD51" i="29" s="1"/>
  <c r="AE51" i="29"/>
  <c r="AI51" i="29"/>
  <c r="AL51" i="29"/>
  <c r="AQ51" i="29"/>
  <c r="AR51" i="29"/>
  <c r="AS51" i="29"/>
  <c r="AT51" i="29"/>
  <c r="AU51" i="29"/>
  <c r="AV51" i="29"/>
  <c r="W54" i="29"/>
  <c r="AA54" i="29"/>
  <c r="AD54" i="29" s="1"/>
  <c r="AE54" i="29"/>
  <c r="AI54" i="29"/>
  <c r="AL54" i="29"/>
  <c r="AQ54" i="29"/>
  <c r="AR54" i="29"/>
  <c r="AS54" i="29"/>
  <c r="AT54" i="29"/>
  <c r="AU54" i="29"/>
  <c r="AV54" i="29"/>
  <c r="AA57" i="29"/>
  <c r="AD57" i="29" s="1"/>
  <c r="AE57" i="29"/>
  <c r="AI57" i="29"/>
  <c r="AL57" i="29"/>
  <c r="AQ57" i="29"/>
  <c r="AR57" i="29"/>
  <c r="AS57" i="29"/>
  <c r="AT57" i="29"/>
  <c r="AU57" i="29"/>
  <c r="AV57" i="29"/>
  <c r="AA62" i="29"/>
  <c r="AD62" i="29" s="1"/>
  <c r="AE62" i="29"/>
  <c r="AI62" i="29"/>
  <c r="AL62" i="29"/>
  <c r="AQ62" i="29"/>
  <c r="AR62" i="29"/>
  <c r="AS62" i="29"/>
  <c r="AT62" i="29"/>
  <c r="AU62" i="29"/>
  <c r="AV62" i="29"/>
  <c r="W68" i="29"/>
  <c r="AA68" i="29"/>
  <c r="AD68" i="29" s="1"/>
  <c r="AE68" i="29"/>
  <c r="AI68" i="29"/>
  <c r="AL68" i="29"/>
  <c r="AQ68" i="29"/>
  <c r="AR68" i="29"/>
  <c r="AS68" i="29"/>
  <c r="AT68" i="29"/>
  <c r="AU68" i="29"/>
  <c r="AV68" i="29"/>
  <c r="AA69" i="29"/>
  <c r="AD69" i="29" s="1"/>
  <c r="AE69" i="29"/>
  <c r="AI69" i="29"/>
  <c r="AL69" i="29"/>
  <c r="AQ69" i="29"/>
  <c r="AR69" i="29"/>
  <c r="AS69" i="29"/>
  <c r="AT69" i="29"/>
  <c r="AU69" i="29"/>
  <c r="AV69" i="29"/>
  <c r="W72" i="29"/>
  <c r="AA72" i="29"/>
  <c r="AD72" i="29" s="1"/>
  <c r="AE72" i="29"/>
  <c r="AI72" i="29"/>
  <c r="AL72" i="29"/>
  <c r="AQ72" i="29"/>
  <c r="AR72" i="29"/>
  <c r="AS72" i="29"/>
  <c r="AT72" i="29"/>
  <c r="AU72" i="29"/>
  <c r="AV72" i="29"/>
  <c r="AA73" i="29"/>
  <c r="AD73" i="29" s="1"/>
  <c r="AE73" i="29"/>
  <c r="AI73" i="29"/>
  <c r="AL73" i="29"/>
  <c r="AQ73" i="29"/>
  <c r="AR73" i="29"/>
  <c r="AS73" i="29"/>
  <c r="AT73" i="29"/>
  <c r="AU73" i="29"/>
  <c r="AV73" i="29"/>
  <c r="W76" i="29"/>
  <c r="AA76" i="29"/>
  <c r="AD76" i="29" s="1"/>
  <c r="AE76" i="29"/>
  <c r="AI76" i="29"/>
  <c r="AL76" i="29"/>
  <c r="AQ76" i="29"/>
  <c r="AR76" i="29"/>
  <c r="AS76" i="29"/>
  <c r="AT76" i="29"/>
  <c r="AU76" i="29"/>
  <c r="AV76" i="29"/>
  <c r="W77" i="29"/>
  <c r="AA77" i="29"/>
  <c r="AD77" i="29" s="1"/>
  <c r="AE77" i="29"/>
  <c r="AI77" i="29"/>
  <c r="AL77" i="29"/>
  <c r="AQ77" i="29"/>
  <c r="AR77" i="29"/>
  <c r="AS77" i="29"/>
  <c r="AT77" i="29"/>
  <c r="AU77" i="29"/>
  <c r="AV77" i="29"/>
  <c r="AA79" i="29"/>
  <c r="AD79" i="29" s="1"/>
  <c r="AE79" i="29"/>
  <c r="AI79" i="29"/>
  <c r="AL79" i="29"/>
  <c r="AQ79" i="29"/>
  <c r="AR79" i="29"/>
  <c r="AS79" i="29"/>
  <c r="AT79" i="29"/>
  <c r="AU79" i="29"/>
  <c r="AV79" i="29"/>
  <c r="AA80" i="29"/>
  <c r="AD80" i="29" s="1"/>
  <c r="AE80" i="29"/>
  <c r="AI80" i="29"/>
  <c r="AL80" i="29"/>
  <c r="AQ80" i="29"/>
  <c r="AR80" i="29"/>
  <c r="AS80" i="29"/>
  <c r="AT80" i="29"/>
  <c r="AU80" i="29"/>
  <c r="AV80" i="29"/>
  <c r="W63" i="29"/>
  <c r="AQ63" i="29"/>
  <c r="AR63" i="29"/>
  <c r="AS63" i="29"/>
  <c r="AT63" i="29"/>
  <c r="AU63" i="29"/>
  <c r="AV63" i="29"/>
  <c r="W17" i="29"/>
  <c r="AQ17" i="29"/>
  <c r="AR17" i="29"/>
  <c r="AS17" i="29"/>
  <c r="AT17" i="29"/>
  <c r="AU17" i="29"/>
  <c r="AV17" i="29"/>
  <c r="W44" i="29"/>
  <c r="AQ44" i="29"/>
  <c r="AR44" i="29"/>
  <c r="AS44" i="29"/>
  <c r="AT44" i="29"/>
  <c r="AU44" i="29"/>
  <c r="AV44" i="29"/>
  <c r="W70" i="29"/>
  <c r="AQ70" i="29"/>
  <c r="AR70" i="29"/>
  <c r="AS70" i="29"/>
  <c r="AT70" i="29"/>
  <c r="AU70" i="29"/>
  <c r="AV70" i="29"/>
  <c r="W47" i="29"/>
  <c r="AQ47" i="29"/>
  <c r="AR47" i="29"/>
  <c r="AS47" i="29"/>
  <c r="AT47" i="29"/>
  <c r="AU47" i="29"/>
  <c r="AV47" i="29"/>
  <c r="AA13" i="29"/>
  <c r="AD13" i="29" s="1"/>
  <c r="AE13" i="29"/>
  <c r="AI13" i="29"/>
  <c r="AL13" i="29"/>
  <c r="AQ13" i="29"/>
  <c r="AR13" i="29"/>
  <c r="AS13" i="29"/>
  <c r="AT13" i="29"/>
  <c r="AU13" i="29"/>
  <c r="AV13" i="29"/>
  <c r="AA41" i="29"/>
  <c r="AD41" i="29" s="1"/>
  <c r="AE41" i="29"/>
  <c r="AI41" i="29"/>
  <c r="AL41" i="29"/>
  <c r="AQ41" i="29"/>
  <c r="AR41" i="29"/>
  <c r="AS41" i="29"/>
  <c r="AT41" i="29"/>
  <c r="AU41" i="29"/>
  <c r="AV41" i="29"/>
  <c r="W50" i="29"/>
  <c r="AQ50" i="29"/>
  <c r="AR50" i="29"/>
  <c r="AS50" i="29"/>
  <c r="AT50" i="29"/>
  <c r="AU50" i="29"/>
  <c r="AV50" i="29"/>
  <c r="AA25" i="29"/>
  <c r="AD25" i="29" s="1"/>
  <c r="AE25" i="29"/>
  <c r="AI25" i="29"/>
  <c r="AL25" i="29"/>
  <c r="AQ25" i="29"/>
  <c r="AR25" i="29"/>
  <c r="AS25" i="29"/>
  <c r="AT25" i="29"/>
  <c r="AU25" i="29"/>
  <c r="AV25" i="29"/>
  <c r="AA11" i="29"/>
  <c r="AD11" i="29" s="1"/>
  <c r="AE11" i="29"/>
  <c r="AI11" i="29"/>
  <c r="AL11" i="29"/>
  <c r="AQ11" i="29"/>
  <c r="AR11" i="29"/>
  <c r="AS11" i="29"/>
  <c r="AT11" i="29"/>
  <c r="AU11" i="29"/>
  <c r="AV11" i="29"/>
  <c r="W18" i="29"/>
  <c r="AQ18" i="29"/>
  <c r="AR18" i="29"/>
  <c r="AS18" i="29"/>
  <c r="AT18" i="29"/>
  <c r="AU18" i="29"/>
  <c r="AV18" i="29"/>
  <c r="AA67" i="29"/>
  <c r="AD67" i="29" s="1"/>
  <c r="AE67" i="29"/>
  <c r="AI67" i="29"/>
  <c r="AL67" i="29"/>
  <c r="AQ67" i="29"/>
  <c r="AR67" i="29"/>
  <c r="AS67" i="29"/>
  <c r="AT67" i="29"/>
  <c r="AU67" i="29"/>
  <c r="AV67" i="29"/>
  <c r="W42" i="29"/>
  <c r="AQ42" i="29"/>
  <c r="AR42" i="29"/>
  <c r="AS42" i="29"/>
  <c r="AT42" i="29"/>
  <c r="AU42" i="29"/>
  <c r="AV42" i="29"/>
  <c r="W61" i="29"/>
  <c r="AQ61" i="29"/>
  <c r="AR61" i="29"/>
  <c r="AS61" i="29"/>
  <c r="AT61" i="29"/>
  <c r="AU61" i="29"/>
  <c r="AV61" i="29"/>
  <c r="W5" i="29"/>
  <c r="AA5" i="29"/>
  <c r="AD5" i="29" s="1"/>
  <c r="AE5" i="29"/>
  <c r="AI5" i="29"/>
  <c r="AL5" i="29"/>
  <c r="AQ5" i="29"/>
  <c r="AR5" i="29"/>
  <c r="AS5" i="29"/>
  <c r="AT5" i="29"/>
  <c r="AU5" i="29"/>
  <c r="AV5" i="29"/>
  <c r="W6" i="29"/>
  <c r="AQ6" i="29"/>
  <c r="AR6" i="29"/>
  <c r="AS6" i="29"/>
  <c r="AT6" i="29"/>
  <c r="AU6" i="29"/>
  <c r="AV6" i="29"/>
  <c r="W8" i="29"/>
  <c r="AA8" i="29"/>
  <c r="AD8" i="29" s="1"/>
  <c r="AE8" i="29"/>
  <c r="AI8" i="29"/>
  <c r="AL8" i="29"/>
  <c r="AQ8" i="29"/>
  <c r="AR8" i="29"/>
  <c r="AS8" i="29"/>
  <c r="AT8" i="29"/>
  <c r="AU8" i="29"/>
  <c r="AV8" i="29"/>
  <c r="W16" i="29"/>
  <c r="AQ16" i="29"/>
  <c r="AR16" i="29"/>
  <c r="AS16" i="29"/>
  <c r="AT16" i="29"/>
  <c r="AU16" i="29"/>
  <c r="AV16" i="29"/>
  <c r="W19" i="29"/>
  <c r="AA19" i="29"/>
  <c r="AD19" i="29" s="1"/>
  <c r="AE19" i="29"/>
  <c r="AI19" i="29"/>
  <c r="AL19" i="29"/>
  <c r="AQ19" i="29"/>
  <c r="AR19" i="29"/>
  <c r="AS19" i="29"/>
  <c r="AT19" i="29"/>
  <c r="AU19" i="29"/>
  <c r="AV19" i="29"/>
  <c r="W22" i="29"/>
  <c r="AQ22" i="29"/>
  <c r="AR22" i="29"/>
  <c r="AS22" i="29"/>
  <c r="AT22" i="29"/>
  <c r="AU22" i="29"/>
  <c r="AV22" i="29"/>
  <c r="W23" i="29"/>
  <c r="AQ23" i="29"/>
  <c r="AR23" i="29"/>
  <c r="AS23" i="29"/>
  <c r="AT23" i="29"/>
  <c r="AU23" i="29"/>
  <c r="AV23" i="29"/>
  <c r="W24" i="29"/>
  <c r="AQ24" i="29"/>
  <c r="AR24" i="29"/>
  <c r="AS24" i="29"/>
  <c r="AT24" i="29"/>
  <c r="AU24" i="29"/>
  <c r="AV24" i="29"/>
  <c r="W26" i="29"/>
  <c r="AA26" i="29"/>
  <c r="AD26" i="29" s="1"/>
  <c r="AE26" i="29"/>
  <c r="AI26" i="29"/>
  <c r="AL26" i="29"/>
  <c r="AQ26" i="29"/>
  <c r="AR26" i="29"/>
  <c r="AS26" i="29"/>
  <c r="AT26" i="29"/>
  <c r="AU26" i="29"/>
  <c r="AV26" i="29"/>
  <c r="W27" i="29"/>
  <c r="AQ27" i="29"/>
  <c r="AR27" i="29"/>
  <c r="AS27" i="29"/>
  <c r="AT27" i="29"/>
  <c r="AU27" i="29"/>
  <c r="AV27" i="29"/>
  <c r="W28" i="29"/>
  <c r="AA28" i="29"/>
  <c r="AD28" i="29" s="1"/>
  <c r="AE28" i="29"/>
  <c r="AI28" i="29"/>
  <c r="AL28" i="29"/>
  <c r="AQ28" i="29"/>
  <c r="AR28" i="29"/>
  <c r="AS28" i="29"/>
  <c r="AT28" i="29"/>
  <c r="AU28" i="29"/>
  <c r="AV28" i="29"/>
  <c r="W30" i="29"/>
  <c r="AQ30" i="29"/>
  <c r="AR30" i="29"/>
  <c r="AS30" i="29"/>
  <c r="AT30" i="29"/>
  <c r="AU30" i="29"/>
  <c r="AV30" i="29"/>
  <c r="W31" i="29"/>
  <c r="AQ31" i="29"/>
  <c r="AR31" i="29"/>
  <c r="AS31" i="29"/>
  <c r="AT31" i="29"/>
  <c r="AU31" i="29"/>
  <c r="AV31" i="29"/>
  <c r="W33" i="29"/>
  <c r="AQ33" i="29"/>
  <c r="AR33" i="29"/>
  <c r="AS33" i="29"/>
  <c r="AT33" i="29"/>
  <c r="AU33" i="29"/>
  <c r="AV33" i="29"/>
  <c r="W35" i="29"/>
  <c r="AA35" i="29"/>
  <c r="AD35" i="29" s="1"/>
  <c r="AE35" i="29"/>
  <c r="AI35" i="29"/>
  <c r="AL35" i="29"/>
  <c r="AQ35" i="29"/>
  <c r="AR35" i="29"/>
  <c r="AS35" i="29"/>
  <c r="AT35" i="29"/>
  <c r="AU35" i="29"/>
  <c r="AV35" i="29"/>
  <c r="W36" i="29"/>
  <c r="AA36" i="29"/>
  <c r="AD36" i="29" s="1"/>
  <c r="AE36" i="29"/>
  <c r="AI36" i="29"/>
  <c r="AL36" i="29"/>
  <c r="AQ36" i="29"/>
  <c r="AR36" i="29"/>
  <c r="AS36" i="29"/>
  <c r="AT36" i="29"/>
  <c r="AU36" i="29"/>
  <c r="AV36" i="29"/>
  <c r="W39" i="29"/>
  <c r="AQ39" i="29"/>
  <c r="AR39" i="29"/>
  <c r="AS39" i="29"/>
  <c r="AT39" i="29"/>
  <c r="AU39" i="29"/>
  <c r="AV39" i="29"/>
  <c r="W43" i="29"/>
  <c r="AQ43" i="29"/>
  <c r="AR43" i="29"/>
  <c r="AS43" i="29"/>
  <c r="AT43" i="29"/>
  <c r="AU43" i="29"/>
  <c r="AV43" i="29"/>
  <c r="W46" i="29"/>
  <c r="AA46" i="29"/>
  <c r="AD46" i="29" s="1"/>
  <c r="AE46" i="29"/>
  <c r="AI46" i="29"/>
  <c r="AL46" i="29"/>
  <c r="AQ46" i="29"/>
  <c r="AR46" i="29"/>
  <c r="AS46" i="29"/>
  <c r="AT46" i="29"/>
  <c r="AU46" i="29"/>
  <c r="AV46" i="29"/>
  <c r="W48" i="29"/>
  <c r="AQ48" i="29"/>
  <c r="AR48" i="29"/>
  <c r="AS48" i="29"/>
  <c r="AT48" i="29"/>
  <c r="AU48" i="29"/>
  <c r="AV48" i="29"/>
  <c r="W49" i="29"/>
  <c r="AA49" i="29"/>
  <c r="AD49" i="29" s="1"/>
  <c r="AE49" i="29"/>
  <c r="AI49" i="29"/>
  <c r="AL49" i="29"/>
  <c r="AQ49" i="29"/>
  <c r="AR49" i="29"/>
  <c r="AS49" i="29"/>
  <c r="AT49" i="29"/>
  <c r="AU49" i="29"/>
  <c r="AV49" i="29"/>
  <c r="W52" i="29"/>
  <c r="AA52" i="29"/>
  <c r="AD52" i="29" s="1"/>
  <c r="AE52" i="29"/>
  <c r="AI52" i="29"/>
  <c r="AL52" i="29"/>
  <c r="AQ52" i="29"/>
  <c r="AR52" i="29"/>
  <c r="AS52" i="29"/>
  <c r="AT52" i="29"/>
  <c r="AU52" i="29"/>
  <c r="AV52" i="29"/>
  <c r="W53" i="29"/>
  <c r="AA53" i="29"/>
  <c r="AD53" i="29" s="1"/>
  <c r="AE53" i="29"/>
  <c r="AI53" i="29"/>
  <c r="AL53" i="29"/>
  <c r="AQ53" i="29"/>
  <c r="AR53" i="29"/>
  <c r="AS53" i="29"/>
  <c r="AT53" i="29"/>
  <c r="AU53" i="29"/>
  <c r="AV53" i="29"/>
  <c r="W55" i="29"/>
  <c r="AQ55" i="29"/>
  <c r="AR55" i="29"/>
  <c r="AS55" i="29"/>
  <c r="AT55" i="29"/>
  <c r="AU55" i="29"/>
  <c r="AV55" i="29"/>
  <c r="W56" i="29"/>
  <c r="AQ56" i="29"/>
  <c r="AR56" i="29"/>
  <c r="AS56" i="29"/>
  <c r="AT56" i="29"/>
  <c r="AU56" i="29"/>
  <c r="AV56" i="29"/>
  <c r="W58" i="29"/>
  <c r="AQ58" i="29"/>
  <c r="AR58" i="29"/>
  <c r="AS58" i="29"/>
  <c r="AT58" i="29"/>
  <c r="AU58" i="29"/>
  <c r="AV58" i="29"/>
  <c r="W59" i="29"/>
  <c r="AA59" i="29"/>
  <c r="AD59" i="29" s="1"/>
  <c r="AE59" i="29"/>
  <c r="AI59" i="29"/>
  <c r="AL59" i="29"/>
  <c r="AQ59" i="29"/>
  <c r="AR59" i="29"/>
  <c r="AS59" i="29"/>
  <c r="AT59" i="29"/>
  <c r="AU59" i="29"/>
  <c r="AV59" i="29"/>
  <c r="W60" i="29"/>
  <c r="AA60" i="29"/>
  <c r="AD60" i="29" s="1"/>
  <c r="AE60" i="29"/>
  <c r="AI60" i="29"/>
  <c r="AL60" i="29"/>
  <c r="AQ60" i="29"/>
  <c r="AR60" i="29"/>
  <c r="AS60" i="29"/>
  <c r="AT60" i="29"/>
  <c r="AU60" i="29"/>
  <c r="AV60" i="29"/>
  <c r="W64" i="29"/>
  <c r="AQ64" i="29"/>
  <c r="AR64" i="29"/>
  <c r="AS64" i="29"/>
  <c r="AT64" i="29"/>
  <c r="AU64" i="29"/>
  <c r="AV64" i="29"/>
  <c r="W65" i="29"/>
  <c r="AA65" i="29"/>
  <c r="AD65" i="29" s="1"/>
  <c r="AE65" i="29"/>
  <c r="AI65" i="29"/>
  <c r="AL65" i="29"/>
  <c r="AQ65" i="29"/>
  <c r="AR65" i="29"/>
  <c r="AS65" i="29"/>
  <c r="AT65" i="29"/>
  <c r="AU65" i="29"/>
  <c r="AV65" i="29"/>
  <c r="W66" i="29"/>
  <c r="AA66" i="29"/>
  <c r="AD66" i="29" s="1"/>
  <c r="AE66" i="29"/>
  <c r="AI66" i="29"/>
  <c r="AL66" i="29"/>
  <c r="AQ66" i="29"/>
  <c r="AR66" i="29"/>
  <c r="AS66" i="29"/>
  <c r="AT66" i="29"/>
  <c r="AU66" i="29"/>
  <c r="AV66" i="29"/>
  <c r="W71" i="29"/>
  <c r="AA71" i="29"/>
  <c r="AD71" i="29" s="1"/>
  <c r="AE71" i="29"/>
  <c r="AI71" i="29"/>
  <c r="AL71" i="29"/>
  <c r="AQ71" i="29"/>
  <c r="AR71" i="29"/>
  <c r="AS71" i="29"/>
  <c r="AT71" i="29"/>
  <c r="AU71" i="29"/>
  <c r="AV71" i="29"/>
  <c r="W74" i="29"/>
  <c r="AA74" i="29"/>
  <c r="AD74" i="29" s="1"/>
  <c r="AE74" i="29"/>
  <c r="AI74" i="29"/>
  <c r="AL74" i="29"/>
  <c r="AQ74" i="29"/>
  <c r="AR74" i="29"/>
  <c r="AS74" i="29"/>
  <c r="AT74" i="29"/>
  <c r="AU74" i="29"/>
  <c r="AV74" i="29"/>
  <c r="W75" i="29"/>
  <c r="AA75" i="29"/>
  <c r="AD75" i="29" s="1"/>
  <c r="AE75" i="29"/>
  <c r="AI75" i="29"/>
  <c r="AL75" i="29"/>
  <c r="AQ75" i="29"/>
  <c r="AR75" i="29"/>
  <c r="AS75" i="29"/>
  <c r="AT75" i="29"/>
  <c r="AU75" i="29"/>
  <c r="AV75" i="29"/>
  <c r="AA78" i="29"/>
  <c r="AD78" i="29" s="1"/>
  <c r="AE78" i="29"/>
  <c r="AI78" i="29"/>
  <c r="AL78" i="29"/>
  <c r="AQ78" i="29"/>
  <c r="AR78" i="29"/>
  <c r="AS78" i="29"/>
  <c r="AT78" i="29"/>
  <c r="AU78" i="29"/>
  <c r="AV78" i="29"/>
  <c r="AV81" i="29"/>
  <c r="AJ9" i="29" l="1"/>
  <c r="BP27" i="34" a="1"/>
  <c r="BP27" i="34" s="1"/>
  <c r="BQ27" i="34" s="1" a="1"/>
  <c r="BQ27" i="34" s="1"/>
  <c r="AJ7" i="29"/>
  <c r="BP28" i="34" a="1"/>
  <c r="BP28" i="34" s="1"/>
  <c r="BQ28" i="34" s="1" a="1"/>
  <c r="BQ28" i="34" s="1"/>
  <c r="BP33" i="34" a="1"/>
  <c r="BP33" i="34" s="1"/>
  <c r="BQ33" i="34" s="1" a="1"/>
  <c r="BQ33" i="34" s="1"/>
  <c r="BP23" i="34" a="1"/>
  <c r="BP23" i="34" s="1"/>
  <c r="BQ23" i="34" s="1" a="1"/>
  <c r="BQ23" i="34" s="1"/>
  <c r="BP32" i="34" a="1"/>
  <c r="BP32" i="34" s="1"/>
  <c r="BQ32" i="34" s="1" a="1"/>
  <c r="BQ32" i="34" s="1"/>
  <c r="AM7" i="29"/>
  <c r="AM9" i="29"/>
  <c r="AJ14" i="29"/>
  <c r="AP7" i="29"/>
  <c r="AP9" i="29"/>
  <c r="AM10" i="29"/>
  <c r="AP10" i="29"/>
  <c r="AJ10" i="29"/>
  <c r="AJ12" i="29"/>
  <c r="AP12" i="29"/>
  <c r="AM12" i="29"/>
  <c r="AM14" i="29"/>
  <c r="AP14" i="29"/>
  <c r="AM15" i="29"/>
  <c r="AP15" i="29"/>
  <c r="AJ15" i="29"/>
  <c r="AM20" i="29"/>
  <c r="AP20" i="29"/>
  <c r="AJ20" i="29"/>
  <c r="AJ21" i="29"/>
  <c r="AP21" i="29"/>
  <c r="AM21" i="29"/>
  <c r="AJ29" i="29"/>
  <c r="AP29" i="29"/>
  <c r="AM29" i="29"/>
  <c r="AM34" i="29"/>
  <c r="AJ32" i="29"/>
  <c r="AP32" i="29"/>
  <c r="AM32" i="29"/>
  <c r="AJ34" i="29"/>
  <c r="AP34" i="29"/>
  <c r="AJ38" i="29"/>
  <c r="AJ37" i="29"/>
  <c r="AM37" i="29"/>
  <c r="AP37" i="29"/>
  <c r="AM38" i="29"/>
  <c r="AP38" i="29"/>
  <c r="AJ40" i="29"/>
  <c r="AP40" i="29"/>
  <c r="AM40" i="29"/>
  <c r="AJ51" i="29"/>
  <c r="AP45" i="29"/>
  <c r="AJ45" i="29"/>
  <c r="AM45" i="29"/>
  <c r="AM51" i="29"/>
  <c r="AP51" i="29"/>
  <c r="AJ54" i="29"/>
  <c r="AJ57" i="29"/>
  <c r="AP54" i="29"/>
  <c r="AM54" i="29"/>
  <c r="AM57" i="29"/>
  <c r="AP57" i="29"/>
  <c r="AJ62" i="29"/>
  <c r="AM62" i="29"/>
  <c r="AP62" i="29"/>
  <c r="AJ68" i="29"/>
  <c r="AJ69" i="29"/>
  <c r="AP68" i="29"/>
  <c r="AM68" i="29"/>
  <c r="AJ73" i="29"/>
  <c r="AJ72" i="29"/>
  <c r="AM69" i="29"/>
  <c r="AP69" i="29"/>
  <c r="AM72" i="29"/>
  <c r="AP72" i="29"/>
  <c r="AM73" i="29"/>
  <c r="I80" i="29"/>
  <c r="U80" i="29" s="1"/>
  <c r="AP73" i="29"/>
  <c r="AJ76" i="29"/>
  <c r="AP76" i="29"/>
  <c r="AM76" i="29"/>
  <c r="AJ77" i="29"/>
  <c r="AP77" i="29"/>
  <c r="AM77" i="29"/>
  <c r="I79" i="29"/>
  <c r="U79" i="29" s="1"/>
  <c r="AJ79" i="29"/>
  <c r="AP79" i="29"/>
  <c r="AM79" i="29"/>
  <c r="AJ80" i="29"/>
  <c r="AM80" i="29"/>
  <c r="AP80" i="29"/>
  <c r="AP63" i="29"/>
  <c r="AP17" i="29"/>
  <c r="AP44" i="29"/>
  <c r="AP70" i="29"/>
  <c r="AM13" i="29"/>
  <c r="AP47" i="29"/>
  <c r="AJ13" i="29"/>
  <c r="AP13" i="29"/>
  <c r="AJ41" i="29"/>
  <c r="AP41" i="29"/>
  <c r="AM41" i="29"/>
  <c r="AP50" i="29"/>
  <c r="AJ67" i="29"/>
  <c r="AM25" i="29"/>
  <c r="AP25" i="29"/>
  <c r="AJ25" i="29"/>
  <c r="AP11" i="29"/>
  <c r="AJ11" i="29"/>
  <c r="AM11" i="29"/>
  <c r="AP18" i="29"/>
  <c r="AM67" i="29"/>
  <c r="AP67" i="29"/>
  <c r="AP42" i="29"/>
  <c r="AP61" i="29"/>
  <c r="AJ5" i="29"/>
  <c r="AJ8" i="29"/>
  <c r="AP5" i="29"/>
  <c r="AM5" i="29"/>
  <c r="AP6" i="29"/>
  <c r="AM8" i="29"/>
  <c r="AJ19" i="29"/>
  <c r="AP8" i="29"/>
  <c r="AP16" i="29"/>
  <c r="AM19" i="29"/>
  <c r="AP19" i="29"/>
  <c r="AP22" i="29"/>
  <c r="AP23" i="29"/>
  <c r="AP24" i="29"/>
  <c r="AJ26" i="29"/>
  <c r="AP26" i="29"/>
  <c r="AM26" i="29"/>
  <c r="AP27" i="29"/>
  <c r="AP28" i="29"/>
  <c r="AJ28" i="29"/>
  <c r="AM28" i="29"/>
  <c r="AP30" i="29"/>
  <c r="AP31" i="29"/>
  <c r="AP33" i="29"/>
  <c r="AM35" i="29"/>
  <c r="AJ35" i="29"/>
  <c r="AP35" i="29"/>
  <c r="AM36" i="29"/>
  <c r="AJ36" i="29"/>
  <c r="AP36" i="29"/>
  <c r="AP39" i="29"/>
  <c r="AP43" i="29"/>
  <c r="AJ46" i="29"/>
  <c r="AM46" i="29"/>
  <c r="AP46" i="29"/>
  <c r="AP48" i="29"/>
  <c r="AM49" i="29"/>
  <c r="AP49" i="29"/>
  <c r="AJ49" i="29"/>
  <c r="AM52" i="29"/>
  <c r="AJ52" i="29"/>
  <c r="AP52" i="29"/>
  <c r="AM53" i="29"/>
  <c r="AJ53" i="29"/>
  <c r="AP53" i="29"/>
  <c r="AP55" i="29"/>
  <c r="AP56" i="29"/>
  <c r="AP58" i="29"/>
  <c r="AM59" i="29"/>
  <c r="AP59" i="29"/>
  <c r="AJ59" i="29"/>
  <c r="AM60" i="29"/>
  <c r="AJ60" i="29"/>
  <c r="AP60" i="29"/>
  <c r="AJ65" i="29"/>
  <c r="AP64" i="29"/>
  <c r="AP65" i="29"/>
  <c r="AM65" i="29"/>
  <c r="AM66" i="29"/>
  <c r="AP66" i="29"/>
  <c r="AJ66" i="29"/>
  <c r="AM71" i="29"/>
  <c r="AJ74" i="29"/>
  <c r="AJ71" i="29"/>
  <c r="I74" i="29"/>
  <c r="U74" i="29" s="1"/>
  <c r="AP71" i="29"/>
  <c r="I78" i="29"/>
  <c r="U78" i="29" s="1"/>
  <c r="AM74" i="29"/>
  <c r="AP74" i="29"/>
  <c r="AM75" i="29"/>
  <c r="I75" i="29"/>
  <c r="U75" i="29" s="1"/>
  <c r="AP75" i="29"/>
  <c r="AJ75" i="29"/>
  <c r="AJ78" i="29"/>
  <c r="AM78" i="29"/>
  <c r="AP78" i="29"/>
  <c r="H79" i="29" l="1" a="1"/>
  <c r="H79" i="29" s="1"/>
  <c r="J79" i="29" s="1"/>
  <c r="G66" i="29" a="1"/>
  <c r="G66" i="29" s="1"/>
  <c r="I66" i="29" s="1"/>
  <c r="U66" i="29" s="1"/>
  <c r="H66" i="29" s="1" a="1"/>
  <c r="H66" i="29" s="1"/>
  <c r="H74" i="29" a="1"/>
  <c r="H74" i="29" s="1"/>
  <c r="J74" i="29" s="1"/>
  <c r="H78" i="29" a="1"/>
  <c r="H78" i="29" s="1"/>
  <c r="J78" i="29" s="1"/>
  <c r="G71" i="29" a="1"/>
  <c r="G71" i="29" s="1"/>
  <c r="I71" i="29" s="1"/>
  <c r="U71" i="29" s="1"/>
  <c r="H75" i="29" a="1"/>
  <c r="H75" i="29" s="1"/>
  <c r="J75" i="29" s="1"/>
  <c r="H80" i="29" a="1"/>
  <c r="H80" i="29" s="1"/>
  <c r="J80" i="29" s="1"/>
  <c r="G70" i="29" a="1"/>
  <c r="G70" i="29" s="1"/>
  <c r="I70" i="29" s="1"/>
  <c r="U70" i="29" s="1"/>
  <c r="G77" i="29" a="1"/>
  <c r="G77" i="29" s="1"/>
  <c r="I77" i="29" s="1"/>
  <c r="U77" i="29" s="1"/>
  <c r="G76" i="29" a="1"/>
  <c r="G76" i="29" s="1"/>
  <c r="I76" i="29" s="1"/>
  <c r="U76" i="29" s="1"/>
  <c r="H76" i="29" s="1" a="1"/>
  <c r="H76" i="29" s="1"/>
  <c r="Q63" i="10"/>
  <c r="W63" i="10" s="1"/>
  <c r="Q64" i="10"/>
  <c r="H77" i="29" l="1" a="1"/>
  <c r="H77" i="29" s="1"/>
  <c r="J77" i="29" s="1"/>
  <c r="H70" i="29" a="1"/>
  <c r="H70" i="29" s="1"/>
  <c r="J70" i="29" s="1"/>
  <c r="H71" i="29" a="1"/>
  <c r="H71" i="29" s="1"/>
  <c r="J71" i="29" s="1"/>
  <c r="J76" i="29"/>
  <c r="G72" i="29" a="1"/>
  <c r="G72" i="29" s="1"/>
  <c r="I72" i="29" s="1"/>
  <c r="U72" i="29" s="1"/>
  <c r="G64" i="29" a="1"/>
  <c r="G64" i="29" s="1"/>
  <c r="I64" i="29" s="1"/>
  <c r="U64" i="29" s="1"/>
  <c r="H64" i="29" s="1" a="1"/>
  <c r="H64" i="29" s="1"/>
  <c r="J66" i="29"/>
  <c r="G65" i="29" a="1"/>
  <c r="G65" i="29" s="1"/>
  <c r="I65" i="29" s="1"/>
  <c r="U65" i="29" s="1"/>
  <c r="H65" i="29" s="1" a="1"/>
  <c r="H65" i="29" s="1"/>
  <c r="G68" i="29" a="1"/>
  <c r="G68" i="29" s="1"/>
  <c r="G67" i="29" a="1"/>
  <c r="G67" i="29" s="1"/>
  <c r="I67" i="29" s="1"/>
  <c r="U67" i="29" s="1"/>
  <c r="W64" i="10"/>
  <c r="H67" i="29" l="1" a="1"/>
  <c r="H67" i="29" s="1"/>
  <c r="J67" i="29" s="1"/>
  <c r="G69" i="29" a="1"/>
  <c r="G69" i="29" s="1"/>
  <c r="I69" i="29" s="1"/>
  <c r="U69" i="29" s="1"/>
  <c r="H72" i="29" a="1"/>
  <c r="H72" i="29" s="1"/>
  <c r="J72" i="29" s="1"/>
  <c r="J64" i="29"/>
  <c r="G60" i="29" a="1"/>
  <c r="G60" i="29" s="1"/>
  <c r="I60" i="29" s="1"/>
  <c r="U60" i="29" s="1"/>
  <c r="G63" i="29" a="1"/>
  <c r="G63" i="29" s="1"/>
  <c r="I63" i="29" s="1"/>
  <c r="U63" i="29" s="1"/>
  <c r="G61" i="29" s="1" a="1"/>
  <c r="G61" i="29" s="1"/>
  <c r="G59" i="29" a="1"/>
  <c r="G59" i="29" s="1"/>
  <c r="I59" i="29" s="1"/>
  <c r="U59" i="29" s="1"/>
  <c r="Q60" i="10"/>
  <c r="I68" i="29"/>
  <c r="U68" i="29" s="1"/>
  <c r="H68" i="29" s="1" a="1"/>
  <c r="H68" i="29" s="1"/>
  <c r="J65" i="29"/>
  <c r="H60" i="29" l="1" a="1"/>
  <c r="H60" i="29" s="1"/>
  <c r="J60" i="29" s="1"/>
  <c r="G57" i="29" a="1"/>
  <c r="G57" i="29" s="1"/>
  <c r="I57" i="29" s="1"/>
  <c r="U57" i="29" s="1"/>
  <c r="H69" i="29" a="1"/>
  <c r="H69" i="29" s="1"/>
  <c r="J69" i="29" s="1"/>
  <c r="H63" i="29" a="1"/>
  <c r="H63" i="29" s="1"/>
  <c r="J63" i="29" s="1"/>
  <c r="H59" i="29" a="1"/>
  <c r="H59" i="29" s="1"/>
  <c r="J59" i="29" s="1"/>
  <c r="G58" i="29" a="1"/>
  <c r="G58" i="29" s="1"/>
  <c r="I58" i="29" s="1"/>
  <c r="U58" i="29" s="1"/>
  <c r="BM33" i="34" s="1" a="1"/>
  <c r="BM33" i="34" s="1"/>
  <c r="G56" i="29" a="1"/>
  <c r="G56" i="29" s="1"/>
  <c r="I56" i="29" s="1"/>
  <c r="U56" i="29" s="1"/>
  <c r="G73" i="29" a="1"/>
  <c r="G73" i="29" s="1"/>
  <c r="I73" i="29" s="1"/>
  <c r="U73" i="29" s="1"/>
  <c r="H73" i="29" s="1" a="1"/>
  <c r="H73" i="29" s="1"/>
  <c r="BP34" i="34" a="1"/>
  <c r="BP34" i="34" s="1"/>
  <c r="BQ34" i="34" s="1" a="1"/>
  <c r="BQ34" i="34" s="1"/>
  <c r="W60" i="10"/>
  <c r="Q61" i="10"/>
  <c r="J68" i="29"/>
  <c r="I61" i="29"/>
  <c r="U61" i="29" s="1"/>
  <c r="BM32" i="34" l="1" a="1"/>
  <c r="BM32" i="34" s="1"/>
  <c r="H56" i="29" a="1"/>
  <c r="H56" i="29" s="1"/>
  <c r="J56" i="29" s="1"/>
  <c r="H57" i="29" a="1"/>
  <c r="H57" i="29" s="1"/>
  <c r="J57" i="29" s="1"/>
  <c r="H58" i="29" a="1"/>
  <c r="H58" i="29" s="1"/>
  <c r="J58" i="29" s="1"/>
  <c r="G50" i="29" a="1"/>
  <c r="G50" i="29" s="1"/>
  <c r="I50" i="29" s="1"/>
  <c r="U50" i="29" s="1"/>
  <c r="H50" i="29" s="1" a="1"/>
  <c r="H50" i="29" s="1"/>
  <c r="H61" i="29" a="1"/>
  <c r="H61" i="29" s="1"/>
  <c r="J61" i="29" s="1"/>
  <c r="J73" i="29"/>
  <c r="G62" i="29" a="1"/>
  <c r="G62" i="29" s="1"/>
  <c r="I62" i="29" s="1"/>
  <c r="U62" i="29" s="1"/>
  <c r="Q62" i="10"/>
  <c r="W62" i="10" s="1"/>
  <c r="G46" i="29" a="1"/>
  <c r="G46" i="29" s="1"/>
  <c r="I46" i="29" s="1"/>
  <c r="U46" i="29" s="1"/>
  <c r="G34" i="29" a="1"/>
  <c r="G34" i="29" s="1"/>
  <c r="I34" i="29" s="1"/>
  <c r="U34" i="29" s="1"/>
  <c r="H34" i="29" s="1" a="1"/>
  <c r="H34" i="29" s="1"/>
  <c r="BK33" i="34" a="1"/>
  <c r="BK33" i="34" s="1"/>
  <c r="BL33" i="34" s="1" a="1"/>
  <c r="BL33" i="34" s="1"/>
  <c r="G55" i="29" a="1"/>
  <c r="G55" i="29" s="1"/>
  <c r="I55" i="29" s="1"/>
  <c r="U55" i="29" s="1"/>
  <c r="H55" i="29" s="1" a="1"/>
  <c r="H55" i="29" s="1"/>
  <c r="J55" i="29" s="1"/>
  <c r="BM34" i="34" a="1"/>
  <c r="BM34" i="34" s="1"/>
  <c r="BK35" i="34" a="1"/>
  <c r="BK35" i="34" s="1"/>
  <c r="BM35" i="34" a="1"/>
  <c r="BM35" i="34" s="1"/>
  <c r="Q58" i="10"/>
  <c r="W61" i="10"/>
  <c r="BK36" i="34" a="1"/>
  <c r="BK36" i="34" s="1"/>
  <c r="BK34" i="34" a="1"/>
  <c r="BK34" i="34" s="1"/>
  <c r="BL34" i="34" s="1" a="1"/>
  <c r="BL34" i="34" s="1"/>
  <c r="BK32" i="34" a="1"/>
  <c r="BK32" i="34" s="1"/>
  <c r="BL32" i="34" s="1" a="1"/>
  <c r="BL32" i="34" s="1"/>
  <c r="H46" i="29" l="1" a="1"/>
  <c r="H46" i="29" s="1"/>
  <c r="H62" i="29" a="1"/>
  <c r="H62" i="29" s="1"/>
  <c r="J62" i="29" s="1"/>
  <c r="G32" i="29" a="1"/>
  <c r="G32" i="29" s="1"/>
  <c r="I32" i="29" s="1"/>
  <c r="U32" i="29" s="1"/>
  <c r="H32" i="29" s="1" a="1"/>
  <c r="H32" i="29" s="1"/>
  <c r="G31" i="29" a="1"/>
  <c r="G31" i="29" s="1"/>
  <c r="I31" i="29" s="1"/>
  <c r="U31" i="29" s="1"/>
  <c r="H31" i="29" s="1" a="1"/>
  <c r="H31" i="29" s="1"/>
  <c r="G53" i="29" a="1"/>
  <c r="G53" i="29" s="1"/>
  <c r="I53" i="29" s="1"/>
  <c r="U53" i="29" s="1"/>
  <c r="H53" i="29" s="1" a="1"/>
  <c r="H53" i="29" s="1"/>
  <c r="Q59" i="10"/>
  <c r="W59" i="10" s="1"/>
  <c r="G47" i="29" a="1"/>
  <c r="G47" i="29" s="1"/>
  <c r="I47" i="29" s="1"/>
  <c r="U47" i="29" s="1"/>
  <c r="H47" i="29" s="1" a="1"/>
  <c r="H47" i="29" s="1"/>
  <c r="BM36" i="34" a="1"/>
  <c r="BM36" i="34" s="1"/>
  <c r="G54" i="29" a="1"/>
  <c r="G54" i="29" s="1"/>
  <c r="I54" i="29" s="1"/>
  <c r="U54" i="29" s="1"/>
  <c r="H54" i="29" s="1" a="1"/>
  <c r="H54" i="29" s="1"/>
  <c r="BP36" i="34" a="1"/>
  <c r="BP36" i="34" s="1"/>
  <c r="BP35" i="34" a="1"/>
  <c r="BP35" i="34" s="1"/>
  <c r="W58" i="10"/>
  <c r="J34" i="29"/>
  <c r="BK30" i="34" a="1"/>
  <c r="BK30" i="34" s="1"/>
  <c r="J50" i="29"/>
  <c r="J46" i="29"/>
  <c r="G52" i="29" l="1" a="1"/>
  <c r="G52" i="29" s="1"/>
  <c r="I52" i="29" s="1"/>
  <c r="U52" i="29" s="1"/>
  <c r="H52" i="29" s="1" a="1"/>
  <c r="H52" i="29" s="1"/>
  <c r="J53" i="29"/>
  <c r="G29" i="29" a="1"/>
  <c r="G29" i="29" s="1"/>
  <c r="I29" i="29" s="1"/>
  <c r="U29" i="29" s="1"/>
  <c r="Q54" i="10"/>
  <c r="W54" i="10" s="1"/>
  <c r="BM30" i="34" a="1"/>
  <c r="BM30" i="34" s="1"/>
  <c r="AL12" i="83" a="1"/>
  <c r="AL12" i="83" s="1"/>
  <c r="AO12" i="83" s="1"/>
  <c r="AJ22" i="59" s="1" a="1"/>
  <c r="AJ22" i="59" s="1"/>
  <c r="AB25" i="59" s="1"/>
  <c r="AC25" i="59" s="1"/>
  <c r="AD25" i="59" s="1"/>
  <c r="J32" i="29"/>
  <c r="G44" i="29" a="1"/>
  <c r="G44" i="29" s="1"/>
  <c r="I44" i="29" s="1"/>
  <c r="U44" i="29" s="1"/>
  <c r="J47" i="29"/>
  <c r="G30" i="29" a="1"/>
  <c r="G30" i="29" s="1"/>
  <c r="I30" i="29" s="1"/>
  <c r="U30" i="29" s="1"/>
  <c r="H30" i="29" s="1" a="1"/>
  <c r="H30" i="29" s="1"/>
  <c r="G51" i="29" a="1"/>
  <c r="G51" i="29" s="1"/>
  <c r="I51" i="29" s="1"/>
  <c r="U51" i="29" s="1"/>
  <c r="H51" i="29" s="1" a="1"/>
  <c r="H51" i="29" s="1"/>
  <c r="J54" i="29"/>
  <c r="BP30" i="34" a="1"/>
  <c r="BP30" i="34" s="1"/>
  <c r="J31" i="29"/>
  <c r="G42" i="29" l="1" a="1"/>
  <c r="G42" i="29" s="1"/>
  <c r="I42" i="29" s="1"/>
  <c r="U42" i="29" s="1"/>
  <c r="H42" i="29" s="1" a="1"/>
  <c r="H42" i="29" s="1"/>
  <c r="J42" i="29" s="1"/>
  <c r="H44" i="29" a="1"/>
  <c r="H44" i="29" s="1"/>
  <c r="J44" i="29" s="1"/>
  <c r="Q53" i="10"/>
  <c r="H29" i="29" a="1"/>
  <c r="H29" i="29" s="1"/>
  <c r="J29" i="29" s="1"/>
  <c r="G48" i="29" a="1"/>
  <c r="G48" i="29" s="1"/>
  <c r="I48" i="29" s="1"/>
  <c r="U48" i="29" s="1"/>
  <c r="G49" i="29" a="1"/>
  <c r="G49" i="29" s="1"/>
  <c r="I49" i="29" s="1"/>
  <c r="U49" i="29" s="1"/>
  <c r="J52" i="29"/>
  <c r="BK27" i="34" a="1"/>
  <c r="BK27" i="34" s="1"/>
  <c r="BL27" i="34" s="1" a="1"/>
  <c r="BL27" i="34" s="1"/>
  <c r="G28" i="29" a="1"/>
  <c r="G28" i="29" s="1"/>
  <c r="I28" i="29" s="1"/>
  <c r="U28" i="29" s="1"/>
  <c r="G45" i="29" a="1"/>
  <c r="G45" i="29" s="1"/>
  <c r="I45" i="29" s="1"/>
  <c r="U45" i="29" s="1"/>
  <c r="H45" i="29" s="1" a="1"/>
  <c r="H45" i="29" s="1"/>
  <c r="J51" i="29"/>
  <c r="BM27" i="34" a="1"/>
  <c r="BM27" i="34" s="1"/>
  <c r="G20" i="29" a="1"/>
  <c r="G20" i="29" s="1"/>
  <c r="I20" i="29" s="1"/>
  <c r="U20" i="29" s="1"/>
  <c r="H20" i="29" s="1" a="1"/>
  <c r="H20" i="29" s="1"/>
  <c r="J30" i="29"/>
  <c r="BP31" i="34" a="1"/>
  <c r="BP31" i="34" s="1"/>
  <c r="W53" i="10"/>
  <c r="BK29" i="34" l="1" a="1"/>
  <c r="BK29" i="34" s="1"/>
  <c r="BL29" i="34" s="1" a="1"/>
  <c r="BL29" i="34" s="1"/>
  <c r="G15" i="29" a="1"/>
  <c r="G15" i="29" s="1"/>
  <c r="I15" i="29" s="1"/>
  <c r="U15" i="29" s="1"/>
  <c r="Q50" i="10" s="1"/>
  <c r="H28" i="29" a="1"/>
  <c r="H28" i="29" s="1"/>
  <c r="J28" i="29" s="1"/>
  <c r="H48" i="29" a="1"/>
  <c r="H48" i="29" s="1"/>
  <c r="J48" i="29" s="1"/>
  <c r="H49" i="29" a="1"/>
  <c r="H49" i="29" s="1"/>
  <c r="J49" i="29" s="1"/>
  <c r="G41" i="29" a="1"/>
  <c r="G41" i="29" s="1"/>
  <c r="I41" i="29" s="1"/>
  <c r="U41" i="29" s="1"/>
  <c r="H41" i="29" s="1" a="1"/>
  <c r="H41" i="29" s="1"/>
  <c r="J41" i="29" s="1"/>
  <c r="J20" i="29"/>
  <c r="J45" i="29"/>
  <c r="G40" i="29" a="1"/>
  <c r="G40" i="29" s="1"/>
  <c r="I40" i="29" s="1"/>
  <c r="U40" i="29" s="1"/>
  <c r="G24" i="29" a="1"/>
  <c r="G24" i="29" s="1"/>
  <c r="I24" i="29" s="1"/>
  <c r="U24" i="29" s="1"/>
  <c r="G43" i="29" a="1"/>
  <c r="G43" i="29" s="1"/>
  <c r="I43" i="29" s="1"/>
  <c r="U43" i="29" s="1"/>
  <c r="H43" i="29" s="1" a="1"/>
  <c r="H43" i="29" s="1"/>
  <c r="BP29" i="34" a="1"/>
  <c r="BP29" i="34" s="1"/>
  <c r="BQ29" i="34" s="1" a="1"/>
  <c r="BQ29" i="34" s="1"/>
  <c r="H15" i="29" l="1" a="1"/>
  <c r="H15" i="29" s="1"/>
  <c r="J15" i="29" s="1"/>
  <c r="G7" i="29" a="1"/>
  <c r="G7" i="29" s="1"/>
  <c r="I7" i="29" s="1"/>
  <c r="U7" i="29" s="1"/>
  <c r="BM25" i="34" s="1" a="1"/>
  <c r="BM25" i="34" s="1"/>
  <c r="J43" i="29"/>
  <c r="Q57" i="10"/>
  <c r="W57" i="10" s="1"/>
  <c r="BM29" i="34" a="1"/>
  <c r="BM29" i="34" s="1"/>
  <c r="G25" i="29" a="1"/>
  <c r="G25" i="29" s="1"/>
  <c r="I25" i="29" s="1"/>
  <c r="U25" i="29" s="1"/>
  <c r="H24" i="29" a="1"/>
  <c r="H24" i="29" s="1"/>
  <c r="J24" i="29" s="1"/>
  <c r="H40" i="29" a="1"/>
  <c r="H40" i="29" s="1"/>
  <c r="J40" i="29" s="1"/>
  <c r="G23" i="29" a="1"/>
  <c r="G23" i="29" s="1"/>
  <c r="I23" i="29" s="1"/>
  <c r="U23" i="29" s="1"/>
  <c r="H23" i="29" s="1" a="1"/>
  <c r="H23" i="29" s="1"/>
  <c r="AL10" i="83" a="1"/>
  <c r="AL10" i="83" s="1"/>
  <c r="AO10" i="83" s="1"/>
  <c r="G37" i="29" a="1"/>
  <c r="G37" i="29" s="1"/>
  <c r="I37" i="29" s="1"/>
  <c r="U37" i="29" s="1"/>
  <c r="BK31" i="34" s="1" a="1"/>
  <c r="BK31" i="34" s="1"/>
  <c r="Q56" i="10"/>
  <c r="W56" i="10" s="1"/>
  <c r="G39" i="29" a="1"/>
  <c r="G39" i="29" s="1"/>
  <c r="I39" i="29" s="1"/>
  <c r="U39" i="29" s="1"/>
  <c r="H39" i="29" s="1" a="1"/>
  <c r="H39" i="29" s="1"/>
  <c r="BP25" i="34" a="1"/>
  <c r="BP25" i="34" s="1"/>
  <c r="W50" i="10"/>
  <c r="BK25" i="34" l="1" a="1"/>
  <c r="BK25" i="34" s="1"/>
  <c r="H7" i="29" a="1"/>
  <c r="H7" i="29" s="1"/>
  <c r="J7" i="29" s="1"/>
  <c r="H25" i="29" a="1"/>
  <c r="H25" i="29" s="1"/>
  <c r="J25" i="29" s="1"/>
  <c r="H37" i="29" a="1"/>
  <c r="H37" i="29" s="1"/>
  <c r="J37" i="29" s="1"/>
  <c r="Q52" i="10"/>
  <c r="W52" i="10" s="1"/>
  <c r="AL13" i="83" a="1"/>
  <c r="AL13" i="83" s="1"/>
  <c r="AO13" i="83" s="1"/>
  <c r="G18" i="29" a="1"/>
  <c r="G18" i="29" s="1"/>
  <c r="I18" i="29" s="1"/>
  <c r="U18" i="29" s="1"/>
  <c r="G17" i="29" s="1" a="1"/>
  <c r="G17" i="29" s="1"/>
  <c r="I17" i="29" s="1"/>
  <c r="U17" i="29" s="1"/>
  <c r="H17" i="29" s="1" a="1"/>
  <c r="H17" i="29" s="1"/>
  <c r="G38" i="29" a="1"/>
  <c r="G38" i="29" s="1"/>
  <c r="I38" i="29" s="1"/>
  <c r="U38" i="29" s="1"/>
  <c r="H38" i="29" s="1" a="1"/>
  <c r="H38" i="29" s="1"/>
  <c r="J38" i="29" s="1"/>
  <c r="J23" i="29"/>
  <c r="G19" i="29" a="1"/>
  <c r="G19" i="29" s="1"/>
  <c r="I19" i="29" s="1"/>
  <c r="U19" i="29" s="1"/>
  <c r="H19" i="29" s="1" a="1"/>
  <c r="H19" i="29" s="1"/>
  <c r="J39" i="29"/>
  <c r="G36" i="29" a="1"/>
  <c r="G36" i="29" s="1"/>
  <c r="I36" i="29" s="1"/>
  <c r="U36" i="29" s="1"/>
  <c r="H36" i="29" s="1" a="1"/>
  <c r="H36" i="29" s="1"/>
  <c r="H18" i="29" l="1" a="1"/>
  <c r="H18" i="29" s="1"/>
  <c r="J18" i="29" s="1"/>
  <c r="BM31" i="34" a="1"/>
  <c r="BM31" i="34" s="1"/>
  <c r="G21" i="29" a="1"/>
  <c r="G21" i="29" s="1"/>
  <c r="I21" i="29" s="1"/>
  <c r="U21" i="29" s="1"/>
  <c r="H21" i="29" s="1" a="1"/>
  <c r="H21" i="29" s="1"/>
  <c r="J21" i="29" s="1"/>
  <c r="Q55" i="10"/>
  <c r="W55" i="10" s="1"/>
  <c r="J17" i="29"/>
  <c r="G13" i="29" a="1"/>
  <c r="G13" i="29" s="1"/>
  <c r="I13" i="29" s="1"/>
  <c r="U13" i="29" s="1"/>
  <c r="H13" i="29" s="1" a="1"/>
  <c r="H13" i="29" s="1"/>
  <c r="G5" i="29" a="1"/>
  <c r="G5" i="29" s="1"/>
  <c r="I5" i="29" s="1"/>
  <c r="U5" i="29" s="1"/>
  <c r="H5" i="29" s="1" a="1"/>
  <c r="H5" i="29" s="1"/>
  <c r="J19" i="29"/>
  <c r="G35" i="29" a="1"/>
  <c r="G35" i="29" s="1"/>
  <c r="I35" i="29" s="1"/>
  <c r="U35" i="29" s="1"/>
  <c r="J36" i="29"/>
  <c r="BP26" i="34" a="1"/>
  <c r="BP26" i="34" s="1"/>
  <c r="BK24" i="34" a="1"/>
  <c r="BK24" i="34" s="1"/>
  <c r="BL24" i="34" s="1" a="1"/>
  <c r="BL24" i="34" s="1"/>
  <c r="Q51" i="10" l="1"/>
  <c r="W51" i="10" s="1"/>
  <c r="H35" i="29" a="1"/>
  <c r="H35" i="29" s="1"/>
  <c r="J35" i="29" s="1"/>
  <c r="G14" i="29" a="1"/>
  <c r="G14" i="29" s="1"/>
  <c r="I14" i="29" s="1"/>
  <c r="U14" i="29" s="1"/>
  <c r="G12" i="29" s="1" a="1"/>
  <c r="G12" i="29" s="1"/>
  <c r="I12" i="29" s="1"/>
  <c r="U12" i="29" s="1"/>
  <c r="J5" i="29"/>
  <c r="BM22" i="34" a="1"/>
  <c r="BM22" i="34" s="1"/>
  <c r="G33" i="29" a="1"/>
  <c r="G33" i="29" s="1"/>
  <c r="I33" i="29" s="1"/>
  <c r="U33" i="29" s="1"/>
  <c r="H33" i="29" s="1" a="1"/>
  <c r="H33" i="29" s="1"/>
  <c r="J33" i="29" s="1"/>
  <c r="G11" i="29" a="1"/>
  <c r="G11" i="29" s="1"/>
  <c r="I11" i="29" s="1"/>
  <c r="U11" i="29" s="1"/>
  <c r="H11" i="29" s="1" a="1"/>
  <c r="H11" i="29" s="1"/>
  <c r="J13" i="29"/>
  <c r="Q48" i="10"/>
  <c r="W48" i="10" s="1"/>
  <c r="BP24" i="34" a="1"/>
  <c r="BP24" i="34" s="1"/>
  <c r="BQ24" i="34" s="1" a="1"/>
  <c r="BQ24" i="34" s="1"/>
  <c r="AL11" i="83" l="1" a="1"/>
  <c r="AL11" i="83" s="1"/>
  <c r="AO11" i="83" s="1"/>
  <c r="AJ23" i="59" s="1" a="1"/>
  <c r="AJ23" i="59" s="1"/>
  <c r="AB23" i="59" s="1"/>
  <c r="AC23" i="59" s="1"/>
  <c r="AD23" i="59" s="1"/>
  <c r="H12" i="29" a="1"/>
  <c r="H12" i="29" s="1"/>
  <c r="J12" i="29" s="1"/>
  <c r="H14" i="29" a="1"/>
  <c r="H14" i="29" s="1"/>
  <c r="J14" i="29" s="1"/>
  <c r="Q49" i="10"/>
  <c r="W49" i="10" s="1"/>
  <c r="BM28" i="34" a="1"/>
  <c r="BM28" i="34" s="1"/>
  <c r="BK28" i="34" a="1"/>
  <c r="BK28" i="34" s="1"/>
  <c r="BL28" i="34" s="1" a="1"/>
  <c r="BL28" i="34" s="1"/>
  <c r="G9" i="29" a="1"/>
  <c r="G9" i="29" s="1"/>
  <c r="I9" i="29" s="1"/>
  <c r="U9" i="29" s="1"/>
  <c r="H9" i="29" s="1" a="1"/>
  <c r="H9" i="29" s="1"/>
  <c r="G27" i="29" a="1"/>
  <c r="G27" i="29" s="1"/>
  <c r="I27" i="29" s="1"/>
  <c r="U27" i="29" s="1"/>
  <c r="H27" i="29" s="1" a="1"/>
  <c r="H27" i="29" s="1"/>
  <c r="BM24" i="34" a="1"/>
  <c r="BM24" i="34" s="1"/>
  <c r="Q47" i="10"/>
  <c r="W47" i="10" s="1"/>
  <c r="J11" i="29"/>
  <c r="I9" i="30"/>
  <c r="I10" i="30"/>
  <c r="M11" i="2"/>
  <c r="M12" i="2"/>
  <c r="M13" i="2"/>
  <c r="AB26" i="59" l="1"/>
  <c r="AC26" i="59" s="1"/>
  <c r="AD26" i="59" s="1"/>
  <c r="J27" i="29"/>
  <c r="G26" i="29" a="1"/>
  <c r="G26" i="29" s="1"/>
  <c r="I26" i="29" s="1"/>
  <c r="U26" i="29" s="1"/>
  <c r="J9" i="29"/>
  <c r="BK26" i="34" a="1"/>
  <c r="BK26" i="34" s="1"/>
  <c r="G10" i="29" a="1"/>
  <c r="G10" i="29" s="1"/>
  <c r="I10" i="29" s="1"/>
  <c r="U10" i="29" s="1"/>
  <c r="H10" i="29" s="1" a="1"/>
  <c r="H10" i="29" s="1"/>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Y24" i="37"/>
  <c r="Y25" i="37"/>
  <c r="Y26" i="37"/>
  <c r="Y27" i="37"/>
  <c r="Y28" i="37"/>
  <c r="Y29" i="37"/>
  <c r="Z29" i="37" s="1"/>
  <c r="Q25" i="37"/>
  <c r="T25" i="37" s="1"/>
  <c r="AC25" i="37" s="1"/>
  <c r="Q26" i="37"/>
  <c r="U26" i="37" s="1"/>
  <c r="Q27" i="37"/>
  <c r="U27" i="37" s="1"/>
  <c r="Q28" i="37"/>
  <c r="U28" i="37" s="1"/>
  <c r="Q29" i="37"/>
  <c r="U29" i="37" s="1"/>
  <c r="X25" i="37"/>
  <c r="X26" i="37"/>
  <c r="X27" i="37"/>
  <c r="X28" i="37"/>
  <c r="X29" i="37"/>
  <c r="Z28" i="37" l="1"/>
  <c r="Z27" i="37"/>
  <c r="H26" i="29" a="1"/>
  <c r="H26" i="29" s="1"/>
  <c r="J26" i="29" s="1"/>
  <c r="Z26" i="37"/>
  <c r="Z25" i="37"/>
  <c r="G22" i="29" a="1"/>
  <c r="G22" i="29" s="1"/>
  <c r="I22" i="29" s="1"/>
  <c r="U22" i="29" s="1"/>
  <c r="Q46" i="10"/>
  <c r="W46" i="10" s="1"/>
  <c r="J10" i="29"/>
  <c r="BM26" i="34" a="1"/>
  <c r="BM26" i="34" s="1"/>
  <c r="T26" i="37"/>
  <c r="T29" i="37"/>
  <c r="AC29" i="37" s="1"/>
  <c r="T28" i="37"/>
  <c r="AC28" i="37" s="1"/>
  <c r="T27" i="37"/>
  <c r="AC27" i="37" s="1"/>
  <c r="U25" i="37"/>
  <c r="H22" i="29" l="1" a="1"/>
  <c r="H22" i="29" s="1"/>
  <c r="J22" i="29" s="1"/>
  <c r="G16" i="29" a="1"/>
  <c r="G16" i="29" s="1"/>
  <c r="I16" i="29" s="1"/>
  <c r="U16" i="29" s="1"/>
  <c r="H16" i="29" s="1" a="1"/>
  <c r="H16" i="29" s="1"/>
  <c r="AC26" i="37"/>
  <c r="AA25" i="37"/>
  <c r="AB25" i="37"/>
  <c r="AA26" i="37"/>
  <c r="AB26" i="37"/>
  <c r="AA27" i="37"/>
  <c r="AB27" i="37"/>
  <c r="AA28" i="37"/>
  <c r="AB28" i="37"/>
  <c r="AA29" i="37"/>
  <c r="AB29" i="37"/>
  <c r="J16" i="29" l="1"/>
  <c r="G8" i="29" a="1"/>
  <c r="G8" i="29" s="1"/>
  <c r="I8" i="29" s="1"/>
  <c r="U8" i="29" s="1"/>
  <c r="J22" i="64"/>
  <c r="N22" i="64"/>
  <c r="O22" i="64"/>
  <c r="P22" i="64"/>
  <c r="R22" i="64"/>
  <c r="J23" i="64"/>
  <c r="N23" i="64"/>
  <c r="O23" i="64"/>
  <c r="P23" i="64"/>
  <c r="R23" i="64"/>
  <c r="J24" i="64"/>
  <c r="N24" i="64"/>
  <c r="O24" i="64"/>
  <c r="P24" i="64"/>
  <c r="R24" i="64"/>
  <c r="J25" i="64"/>
  <c r="N25" i="64"/>
  <c r="O25" i="64"/>
  <c r="P25" i="64"/>
  <c r="R25" i="64"/>
  <c r="J26" i="64"/>
  <c r="N26" i="64"/>
  <c r="O26" i="64"/>
  <c r="P26" i="64"/>
  <c r="R26" i="64"/>
  <c r="J27" i="64"/>
  <c r="N27" i="64"/>
  <c r="O27" i="64"/>
  <c r="P27" i="64"/>
  <c r="R27" i="64"/>
  <c r="J28" i="64"/>
  <c r="N28" i="64"/>
  <c r="O28" i="64"/>
  <c r="P28" i="64"/>
  <c r="R28" i="64"/>
  <c r="J29" i="64"/>
  <c r="N29" i="64"/>
  <c r="O29" i="64"/>
  <c r="P29" i="64"/>
  <c r="R29" i="64"/>
  <c r="J30" i="64"/>
  <c r="N30" i="64"/>
  <c r="O30" i="64"/>
  <c r="P30" i="64"/>
  <c r="R30" i="64"/>
  <c r="J31" i="64"/>
  <c r="N31" i="64"/>
  <c r="O31" i="64"/>
  <c r="P31" i="64"/>
  <c r="R31" i="64"/>
  <c r="J32" i="64"/>
  <c r="N32" i="64"/>
  <c r="O32" i="64"/>
  <c r="P32" i="64"/>
  <c r="R32" i="64"/>
  <c r="J33" i="64"/>
  <c r="N33" i="64"/>
  <c r="O33" i="64"/>
  <c r="P33" i="64"/>
  <c r="R33" i="64"/>
  <c r="K5" i="38"/>
  <c r="Q24" i="64" s="1"/>
  <c r="L5" i="38"/>
  <c r="K6" i="38"/>
  <c r="Q25" i="64" s="1"/>
  <c r="L6" i="38"/>
  <c r="K7" i="38"/>
  <c r="Q26" i="64" s="1"/>
  <c r="L7" i="38"/>
  <c r="H8" i="29" l="1" a="1"/>
  <c r="H8" i="29" s="1"/>
  <c r="J8" i="29" s="1"/>
  <c r="G6" i="29" a="1"/>
  <c r="G6" i="29" s="1"/>
  <c r="I6" i="29" s="1"/>
  <c r="U6" i="29" s="1"/>
  <c r="H6" i="29" s="1" a="1"/>
  <c r="H6" i="29" s="1"/>
  <c r="J6" i="29" s="1"/>
  <c r="Q31" i="64"/>
  <c r="Q29" i="64"/>
  <c r="Y29" i="64"/>
  <c r="Y30" i="64"/>
  <c r="Q23" i="64"/>
  <c r="S23" i="64" s="1"/>
  <c r="U23" i="64" s="1"/>
  <c r="V23" i="64" s="1"/>
  <c r="X23" i="64" s="1"/>
  <c r="Q22" i="64"/>
  <c r="S22" i="64" s="1"/>
  <c r="U22" i="64" s="1"/>
  <c r="Y31" i="64"/>
  <c r="Y26" i="64"/>
  <c r="Q27" i="64"/>
  <c r="Y28" i="64"/>
  <c r="Q28" i="64"/>
  <c r="Q30" i="64"/>
  <c r="Y22" i="64"/>
  <c r="Y25" i="64"/>
  <c r="Y23" i="64"/>
  <c r="Y24" i="64"/>
  <c r="S27" i="64"/>
  <c r="T27" i="64" s="1"/>
  <c r="S24" i="64"/>
  <c r="T24" i="64" s="1"/>
  <c r="S29" i="64"/>
  <c r="S25" i="64"/>
  <c r="T25" i="64" s="1"/>
  <c r="S26" i="64"/>
  <c r="T26" i="64" s="1"/>
  <c r="Y27" i="64"/>
  <c r="S28" i="64"/>
  <c r="S30" i="64"/>
  <c r="T30" i="64" s="1"/>
  <c r="S31" i="64"/>
  <c r="T31" i="64" s="1"/>
  <c r="T4" i="40" a="1"/>
  <c r="T4" i="40" s="1"/>
  <c r="BM23" i="34" l="1" a="1"/>
  <c r="BM23" i="34" s="1"/>
  <c r="BK23" i="34" a="1"/>
  <c r="BK23" i="34" s="1"/>
  <c r="BL23" i="34" s="1" a="1"/>
  <c r="BL23" i="34" s="1"/>
  <c r="U29" i="64"/>
  <c r="V29" i="64" s="1"/>
  <c r="X29" i="64" s="1"/>
  <c r="U28" i="64"/>
  <c r="V28" i="64" s="1"/>
  <c r="X28" i="64" s="1"/>
  <c r="U24" i="64"/>
  <c r="W24" i="64" s="1"/>
  <c r="T23" i="64"/>
  <c r="W23" i="64" s="1"/>
  <c r="U27" i="64"/>
  <c r="W27" i="64" s="1"/>
  <c r="V22" i="64"/>
  <c r="X22" i="64" s="1"/>
  <c r="T22" i="64"/>
  <c r="W22" i="64" s="1"/>
  <c r="U26" i="64"/>
  <c r="V26" i="64" s="1"/>
  <c r="X26" i="64" s="1"/>
  <c r="U25" i="64"/>
  <c r="W25" i="64" s="1"/>
  <c r="T29" i="64"/>
  <c r="T28" i="64"/>
  <c r="U30" i="64"/>
  <c r="W30" i="64" s="1"/>
  <c r="U31" i="64"/>
  <c r="W29" i="64" l="1"/>
  <c r="V24" i="64"/>
  <c r="X24" i="64" s="1"/>
  <c r="W28" i="64"/>
  <c r="V27" i="64"/>
  <c r="X27" i="64" s="1"/>
  <c r="V25" i="64"/>
  <c r="X25" i="64" s="1"/>
  <c r="W26" i="64"/>
  <c r="V30" i="64"/>
  <c r="X30" i="64" s="1"/>
  <c r="W31" i="64"/>
  <c r="V31" i="64"/>
  <c r="X31" i="64" s="1"/>
  <c r="C195" i="40"/>
  <c r="O195" i="40"/>
  <c r="O44" i="40" s="1"/>
  <c r="N195" i="40"/>
  <c r="N44" i="40" s="1"/>
  <c r="M195" i="40"/>
  <c r="M44" i="40" s="1"/>
  <c r="L195" i="40"/>
  <c r="L44" i="40" s="1"/>
  <c r="K195" i="40"/>
  <c r="K44" i="40" s="1"/>
  <c r="J195" i="40"/>
  <c r="J44" i="40" s="1"/>
  <c r="I195" i="40"/>
  <c r="I44" i="40" s="1"/>
  <c r="H195" i="40"/>
  <c r="H44" i="40" s="1"/>
  <c r="G195" i="40"/>
  <c r="G44" i="40" s="1"/>
  <c r="F195" i="40"/>
  <c r="F44" i="40" s="1"/>
  <c r="E195" i="40"/>
  <c r="E44" i="40" s="1"/>
  <c r="D195" i="40"/>
  <c r="D44" i="40" s="1"/>
  <c r="C190" i="40"/>
  <c r="D184" i="40" a="1"/>
  <c r="D184" i="40" s="1"/>
  <c r="D185" i="40" s="1"/>
  <c r="D42" i="40" s="1"/>
  <c r="C185" i="40"/>
  <c r="O180" i="40"/>
  <c r="N180" i="40"/>
  <c r="O40" i="40" s="1"/>
  <c r="M180" i="40"/>
  <c r="N40" i="40" s="1"/>
  <c r="L180" i="40"/>
  <c r="M40" i="40" s="1"/>
  <c r="K180" i="40"/>
  <c r="L40" i="40" s="1"/>
  <c r="J180" i="40"/>
  <c r="K40" i="40" s="1"/>
  <c r="I180" i="40"/>
  <c r="J40" i="40" s="1"/>
  <c r="H180" i="40"/>
  <c r="I40" i="40" s="1"/>
  <c r="G180" i="40"/>
  <c r="H40" i="40" s="1"/>
  <c r="F180" i="40"/>
  <c r="G40" i="40" s="1"/>
  <c r="E180" i="40"/>
  <c r="F40" i="40" s="1"/>
  <c r="D180" i="40"/>
  <c r="E40" i="40" s="1"/>
  <c r="C180" i="40"/>
  <c r="D40" i="40" s="1"/>
  <c r="K175" i="40"/>
  <c r="K39" i="40" s="1"/>
  <c r="N175" i="40"/>
  <c r="N39" i="40" s="1"/>
  <c r="M175" i="40"/>
  <c r="M39" i="40" s="1"/>
  <c r="L175" i="40"/>
  <c r="L39" i="40" s="1"/>
  <c r="J175" i="40"/>
  <c r="J39" i="40" s="1"/>
  <c r="I175" i="40"/>
  <c r="I39" i="40" s="1"/>
  <c r="H175" i="40"/>
  <c r="H39" i="40" s="1"/>
  <c r="G175" i="40"/>
  <c r="G39" i="40" s="1"/>
  <c r="F175" i="40"/>
  <c r="F39" i="40" s="1"/>
  <c r="E175" i="40"/>
  <c r="E39" i="40" s="1"/>
  <c r="C175" i="40"/>
  <c r="D148" i="40"/>
  <c r="D27" i="40" s="1"/>
  <c r="E148" i="40"/>
  <c r="E27" i="40" s="1"/>
  <c r="F148" i="40"/>
  <c r="F27" i="40" s="1"/>
  <c r="G148" i="40"/>
  <c r="G27" i="40" s="1"/>
  <c r="H148" i="40"/>
  <c r="H27" i="40" s="1"/>
  <c r="I148" i="40"/>
  <c r="I27" i="40" s="1"/>
  <c r="J148" i="40"/>
  <c r="J27" i="40" s="1"/>
  <c r="K148" i="40"/>
  <c r="K27" i="40" s="1"/>
  <c r="L148" i="40"/>
  <c r="L27" i="40" s="1"/>
  <c r="M148" i="40"/>
  <c r="M27" i="40" s="1"/>
  <c r="N148" i="40"/>
  <c r="N27" i="40" s="1"/>
  <c r="O148" i="40"/>
  <c r="O27" i="40" s="1"/>
  <c r="D142" i="40"/>
  <c r="E142" i="40"/>
  <c r="F142" i="40"/>
  <c r="G142" i="40"/>
  <c r="H142" i="40"/>
  <c r="I142" i="40"/>
  <c r="J142" i="40"/>
  <c r="K142" i="40"/>
  <c r="L142" i="40"/>
  <c r="M142" i="40"/>
  <c r="N142" i="40"/>
  <c r="O142" i="40"/>
  <c r="D135" i="40"/>
  <c r="D17" i="40" s="1"/>
  <c r="E135" i="40"/>
  <c r="E17" i="40" s="1"/>
  <c r="F135" i="40"/>
  <c r="F17" i="40" s="1"/>
  <c r="G135" i="40"/>
  <c r="G17" i="40" s="1"/>
  <c r="H135" i="40"/>
  <c r="H17" i="40" s="1"/>
  <c r="I135" i="40"/>
  <c r="I17" i="40" s="1"/>
  <c r="J135" i="40"/>
  <c r="J17" i="40" s="1"/>
  <c r="K135" i="40"/>
  <c r="K17" i="40" s="1"/>
  <c r="L135" i="40"/>
  <c r="L17" i="40" s="1"/>
  <c r="M135" i="40"/>
  <c r="M17" i="40" s="1"/>
  <c r="N135" i="40"/>
  <c r="N17" i="40" s="1"/>
  <c r="O135" i="40"/>
  <c r="O17" i="40" s="1"/>
  <c r="D94" i="40"/>
  <c r="D24" i="40" s="1"/>
  <c r="E94" i="40"/>
  <c r="E24" i="40" s="1"/>
  <c r="F94" i="40"/>
  <c r="F24" i="40" s="1"/>
  <c r="G94" i="40"/>
  <c r="G24" i="40" s="1"/>
  <c r="H94" i="40"/>
  <c r="H24" i="40" s="1"/>
  <c r="I94" i="40"/>
  <c r="I24" i="40" s="1"/>
  <c r="J94" i="40"/>
  <c r="J24" i="40" s="1"/>
  <c r="K94" i="40"/>
  <c r="K24" i="40" s="1"/>
  <c r="L94" i="40"/>
  <c r="L24" i="40" s="1"/>
  <c r="M94" i="40"/>
  <c r="M24" i="40" s="1"/>
  <c r="N94" i="40"/>
  <c r="N24" i="40" s="1"/>
  <c r="O94" i="40"/>
  <c r="O24" i="40" s="1"/>
  <c r="D88" i="40"/>
  <c r="D15" i="40" s="1"/>
  <c r="E88" i="40"/>
  <c r="E15" i="40" s="1"/>
  <c r="F88" i="40"/>
  <c r="F15" i="40" s="1"/>
  <c r="G88" i="40"/>
  <c r="G15" i="40" s="1"/>
  <c r="H88" i="40"/>
  <c r="H15" i="40" s="1"/>
  <c r="I88" i="40"/>
  <c r="I15" i="40" s="1"/>
  <c r="J88" i="40"/>
  <c r="J15" i="40" s="1"/>
  <c r="K88" i="40"/>
  <c r="K15" i="40" s="1"/>
  <c r="L88" i="40"/>
  <c r="L15" i="40" s="1"/>
  <c r="M88" i="40"/>
  <c r="M15" i="40" s="1"/>
  <c r="N88" i="40"/>
  <c r="N15" i="40" s="1"/>
  <c r="O88" i="40"/>
  <c r="O15" i="40" s="1"/>
  <c r="D83" i="40"/>
  <c r="E83" i="40"/>
  <c r="F83" i="40"/>
  <c r="G83" i="40"/>
  <c r="H83" i="40"/>
  <c r="I83" i="40"/>
  <c r="J83" i="40"/>
  <c r="K83" i="40"/>
  <c r="L83" i="40"/>
  <c r="M83" i="40"/>
  <c r="N83" i="40"/>
  <c r="O83" i="40"/>
  <c r="D190" i="40" l="1"/>
  <c r="D43" i="40" s="1"/>
  <c r="E190" i="40"/>
  <c r="E43" i="40" s="1"/>
  <c r="O175" i="40"/>
  <c r="O39" i="40" s="1"/>
  <c r="D175" i="40"/>
  <c r="D39" i="40" s="1"/>
  <c r="S4" i="40"/>
  <c r="O35" i="40" a="1"/>
  <c r="O35" i="40" s="1"/>
  <c r="N35" i="40" a="1"/>
  <c r="N35" i="40" s="1"/>
  <c r="M35" i="40" a="1"/>
  <c r="M35" i="40" s="1"/>
  <c r="L35" i="40" a="1"/>
  <c r="L35" i="40" s="1"/>
  <c r="K35" i="40" a="1"/>
  <c r="K35" i="40" s="1"/>
  <c r="J35" i="40" a="1"/>
  <c r="J35" i="40" s="1"/>
  <c r="I35" i="40" a="1"/>
  <c r="I35" i="40" s="1"/>
  <c r="H35" i="40" a="1"/>
  <c r="H35" i="40" s="1"/>
  <c r="G35" i="40" a="1"/>
  <c r="G35" i="40" s="1"/>
  <c r="F35" i="40" a="1"/>
  <c r="F35" i="40" s="1"/>
  <c r="E35" i="40" a="1"/>
  <c r="E35" i="40" s="1"/>
  <c r="D35" i="40" a="1"/>
  <c r="D35" i="40" s="1"/>
  <c r="E166" i="40"/>
  <c r="E31" i="40" s="1"/>
  <c r="F166" i="40"/>
  <c r="F31" i="40" s="1"/>
  <c r="G166" i="40"/>
  <c r="G31" i="40" s="1"/>
  <c r="H166" i="40"/>
  <c r="H31" i="40" s="1"/>
  <c r="I166" i="40"/>
  <c r="I31" i="40" s="1"/>
  <c r="J166" i="40"/>
  <c r="J31" i="40" s="1"/>
  <c r="K166" i="40"/>
  <c r="K31" i="40" s="1"/>
  <c r="L166" i="40"/>
  <c r="L31" i="40" s="1"/>
  <c r="M166" i="40"/>
  <c r="M31" i="40" s="1"/>
  <c r="N166" i="40"/>
  <c r="N31" i="40" s="1"/>
  <c r="O166" i="40"/>
  <c r="O31" i="40" s="1"/>
  <c r="D166" i="40"/>
  <c r="G190" i="40" l="1"/>
  <c r="G43" i="40" s="1"/>
  <c r="F190" i="40"/>
  <c r="F43" i="40" s="1"/>
  <c r="S5" i="40"/>
  <c r="D31" i="40"/>
  <c r="AH1" i="59"/>
  <c r="AK25" i="59" s="1"/>
  <c r="AM25" i="59" s="1"/>
  <c r="AK23" i="59" l="1"/>
  <c r="AL23" i="59" s="1" a="1"/>
  <c r="AL23" i="59" s="1"/>
  <c r="AM11" i="83" s="1"/>
  <c r="AK24" i="59"/>
  <c r="AM24" i="59" s="1"/>
  <c r="I190" i="40"/>
  <c r="I43" i="40" s="1"/>
  <c r="H190" i="40"/>
  <c r="H43" i="40" s="1"/>
  <c r="AK22" i="59"/>
  <c r="AM10" i="83" l="1"/>
  <c r="AM23" i="59"/>
  <c r="K190" i="40"/>
  <c r="K43" i="40" s="1"/>
  <c r="J190" i="40"/>
  <c r="J43" i="40" s="1"/>
  <c r="I26" i="58"/>
  <c r="AB22" i="59"/>
  <c r="AA22" i="59"/>
  <c r="AL22" i="59" s="1" a="1"/>
  <c r="AL22" i="59" s="1"/>
  <c r="AM12" i="83" s="1"/>
  <c r="S22" i="59"/>
  <c r="Q22" i="59" a="1"/>
  <c r="Q22" i="59" s="1"/>
  <c r="L190" i="40" l="1"/>
  <c r="L43" i="40" s="1"/>
  <c r="N190" i="40"/>
  <c r="N43" i="40" s="1"/>
  <c r="M190" i="40"/>
  <c r="M43" i="40" s="1"/>
  <c r="O190" i="40"/>
  <c r="O43" i="40" s="1"/>
  <c r="AC22" i="59"/>
  <c r="AD46" i="6" a="1"/>
  <c r="AD46" i="6" s="1"/>
  <c r="AC20" i="59" l="1"/>
  <c r="AD22" i="59"/>
  <c r="L3" i="53"/>
  <c r="L5" i="53"/>
  <c r="K3" i="53"/>
  <c r="K5" i="53"/>
  <c r="J3" i="53"/>
  <c r="J5" i="53"/>
  <c r="Z6" i="61"/>
  <c r="X5" i="61"/>
  <c r="C199" i="40" l="1"/>
  <c r="C200" i="40" s="1"/>
  <c r="C125" i="40"/>
  <c r="P121" i="40"/>
  <c r="E199" i="40" l="1"/>
  <c r="E200" i="40" s="1"/>
  <c r="F199" i="40"/>
  <c r="F200" i="40" s="1"/>
  <c r="G199" i="40"/>
  <c r="G200" i="40" s="1"/>
  <c r="H199" i="40"/>
  <c r="H200" i="40" s="1"/>
  <c r="I199" i="40"/>
  <c r="I200" i="40" s="1"/>
  <c r="J199" i="40"/>
  <c r="J200" i="40" s="1"/>
  <c r="K199" i="40"/>
  <c r="K200" i="40" s="1"/>
  <c r="L199" i="40"/>
  <c r="L200" i="40" s="1"/>
  <c r="M199" i="40"/>
  <c r="M200" i="40" s="1"/>
  <c r="N199" i="40"/>
  <c r="N200" i="40" s="1"/>
  <c r="O199" i="40"/>
  <c r="O200" i="40" s="1"/>
  <c r="D199" i="40"/>
  <c r="D200" i="40" s="1"/>
  <c r="P10" i="55"/>
  <c r="C4" i="55" a="1"/>
  <c r="C4" i="55" s="1"/>
  <c r="W10" i="55"/>
  <c r="X10" i="55" s="1"/>
  <c r="J34" i="64" l="1"/>
  <c r="N34" i="64"/>
  <c r="O34" i="64"/>
  <c r="P34" i="64"/>
  <c r="R34" i="64"/>
  <c r="L8" i="38"/>
  <c r="K8" i="38"/>
  <c r="Q34" i="64" l="1"/>
  <c r="Q33" i="64"/>
  <c r="S33" i="64" s="1"/>
  <c r="Q32" i="64"/>
  <c r="Y32" i="64"/>
  <c r="Y33" i="64"/>
  <c r="Y34" i="64"/>
  <c r="S34" i="64"/>
  <c r="T34" i="64" s="1"/>
  <c r="D104" i="32" a="1"/>
  <c r="D104" i="32" s="1"/>
  <c r="D110" i="32" a="1"/>
  <c r="D110" i="32" s="1"/>
  <c r="BL9" i="61"/>
  <c r="BM9" i="61" s="1"/>
  <c r="BK7" i="61"/>
  <c r="BL7" i="61" s="1"/>
  <c r="U33" i="64" l="1"/>
  <c r="V33" i="64" s="1"/>
  <c r="X33" i="64" s="1"/>
  <c r="T33" i="64"/>
  <c r="S32" i="64"/>
  <c r="T32" i="64" s="1"/>
  <c r="U34" i="64"/>
  <c r="V34" i="64" s="1"/>
  <c r="X34" i="64" s="1"/>
  <c r="BM7" i="61"/>
  <c r="Q65" i="10"/>
  <c r="R65" i="10"/>
  <c r="W33" i="64" l="1"/>
  <c r="U32" i="64"/>
  <c r="V32" i="64" s="1"/>
  <c r="X32" i="64" s="1"/>
  <c r="W34" i="64"/>
  <c r="Z22" i="64" s="1"/>
  <c r="B18" i="10"/>
  <c r="W32" i="64" l="1"/>
  <c r="Z23" i="64"/>
  <c r="Z24" i="64"/>
  <c r="Z25" i="64"/>
  <c r="Z26" i="64"/>
  <c r="Z27" i="64"/>
  <c r="Z28" i="64"/>
  <c r="Z29" i="64"/>
  <c r="Z30" i="64"/>
  <c r="Z31" i="64"/>
  <c r="Z32" i="64"/>
  <c r="Z33" i="64"/>
  <c r="Z34" i="64"/>
  <c r="T43" i="13"/>
  <c r="I32" i="13"/>
  <c r="P94" i="32" l="1" a="1"/>
  <c r="P94" i="32" s="1"/>
  <c r="O94" i="32" a="1"/>
  <c r="O94" i="32" s="1"/>
  <c r="K94" i="32" a="1"/>
  <c r="K94" i="32" s="1"/>
  <c r="J94" i="32" a="1"/>
  <c r="J94" i="32" s="1"/>
  <c r="F94" i="32" a="1"/>
  <c r="F94" i="32" s="1"/>
  <c r="E94" i="32" a="1"/>
  <c r="E94" i="32" s="1"/>
  <c r="D4" i="46"/>
  <c r="D2" i="46"/>
  <c r="D83" i="32" l="1" a="1"/>
  <c r="D83" i="32" s="1"/>
  <c r="W65" i="10"/>
  <c r="Y46" i="10" l="1"/>
  <c r="Y47" i="10"/>
  <c r="Y48" i="10"/>
  <c r="Y49" i="10"/>
  <c r="Y50" i="10"/>
  <c r="Y51" i="10"/>
  <c r="Y52" i="10"/>
  <c r="Y53" i="10"/>
  <c r="Y54" i="10"/>
  <c r="Y55" i="10"/>
  <c r="Y56" i="10"/>
  <c r="Y57" i="10"/>
  <c r="Y58" i="10"/>
  <c r="Y59" i="10"/>
  <c r="Y60" i="10"/>
  <c r="Y61" i="10"/>
  <c r="Y62" i="10"/>
  <c r="Y63" i="10"/>
  <c r="Y64" i="10"/>
  <c r="Y65" i="10"/>
  <c r="O25" i="40" l="1"/>
  <c r="N25" i="40"/>
  <c r="M25" i="40"/>
  <c r="L25" i="40"/>
  <c r="K25" i="40"/>
  <c r="J25" i="40"/>
  <c r="I25" i="40"/>
  <c r="H25" i="40"/>
  <c r="G25" i="40"/>
  <c r="F25" i="40"/>
  <c r="E25" i="40"/>
  <c r="D25" i="40"/>
  <c r="O26" i="40"/>
  <c r="N26" i="40"/>
  <c r="M26" i="40"/>
  <c r="L26" i="40"/>
  <c r="K26" i="40"/>
  <c r="J26" i="40"/>
  <c r="I26" i="40"/>
  <c r="H26" i="40"/>
  <c r="G26" i="40"/>
  <c r="F26" i="40"/>
  <c r="E26" i="40"/>
  <c r="D26" i="40"/>
  <c r="C4" i="81" a="1"/>
  <c r="C25" i="40" l="1"/>
  <c r="C4" i="81"/>
  <c r="AX46" i="6" a="1"/>
  <c r="AX46" i="6" s="1"/>
  <c r="AW46" i="6"/>
  <c r="AV46" i="6"/>
  <c r="AU46" i="6"/>
  <c r="AT46" i="6"/>
  <c r="AS46" i="6"/>
  <c r="N33" i="6" a="1"/>
  <c r="N33" i="6" s="1"/>
  <c r="M33" i="6"/>
  <c r="N17" i="6" a="1"/>
  <c r="N17" i="6" s="1"/>
  <c r="N18" i="6" a="1"/>
  <c r="N18" i="6" s="1"/>
  <c r="N19" i="6" a="1"/>
  <c r="N19" i="6" s="1"/>
  <c r="N20" i="6" a="1"/>
  <c r="N20" i="6" s="1"/>
  <c r="N21" i="6" a="1"/>
  <c r="N21" i="6" s="1"/>
  <c r="N22" i="6" a="1"/>
  <c r="N22" i="6" s="1"/>
  <c r="N23" i="6" a="1"/>
  <c r="N23" i="6" s="1"/>
  <c r="N24" i="6" a="1"/>
  <c r="N24" i="6" s="1"/>
  <c r="N25" i="6" a="1"/>
  <c r="N25" i="6" s="1"/>
  <c r="N26" i="6" a="1"/>
  <c r="N26" i="6" s="1"/>
  <c r="N27" i="6" a="1"/>
  <c r="N27" i="6" s="1"/>
  <c r="N28" i="6" a="1"/>
  <c r="N28" i="6" s="1"/>
  <c r="M17" i="6"/>
  <c r="M18" i="6"/>
  <c r="M19" i="6"/>
  <c r="M20" i="6"/>
  <c r="M21" i="6"/>
  <c r="M22" i="6"/>
  <c r="M23" i="6"/>
  <c r="M24" i="6"/>
  <c r="M25" i="6"/>
  <c r="M26" i="6"/>
  <c r="M27" i="6"/>
  <c r="M28" i="6"/>
  <c r="AV3" i="29" a="1"/>
  <c r="AV3" i="29" s="1"/>
  <c r="AU3" i="29"/>
  <c r="AT3" i="29"/>
  <c r="AS3" i="29"/>
  <c r="AR3" i="29"/>
  <c r="AQ3" i="29"/>
  <c r="AU81" i="29"/>
  <c r="AR81" i="29"/>
  <c r="AR46" i="6" l="1"/>
  <c r="AP3" i="29"/>
  <c r="AE45" i="6"/>
  <c r="F5" i="82" l="1"/>
  <c r="G6" i="82" s="1" a="1"/>
  <c r="G6" i="82" s="1"/>
  <c r="F6" i="82"/>
  <c r="F7" i="82"/>
  <c r="F8" i="82"/>
  <c r="F9" i="82"/>
  <c r="F10" i="82"/>
  <c r="G5" i="82" a="1"/>
  <c r="G5" i="82" s="1"/>
  <c r="G10" i="82" l="1" a="1"/>
  <c r="G10" i="82" s="1"/>
  <c r="G9" i="82" a="1"/>
  <c r="G9" i="82" s="1"/>
  <c r="G8" i="82" a="1"/>
  <c r="G8" i="82" s="1"/>
  <c r="G7" i="82" a="1"/>
  <c r="G7" i="82" s="1"/>
  <c r="T45" i="6"/>
  <c r="M43" i="13"/>
  <c r="C17" i="45"/>
  <c r="C15" i="45"/>
  <c r="K15" i="45"/>
  <c r="V22" i="81"/>
  <c r="V23" i="81"/>
  <c r="V24" i="81"/>
  <c r="V25" i="81"/>
  <c r="V26" i="81"/>
  <c r="V27" i="81"/>
  <c r="V28" i="81"/>
  <c r="V29" i="81"/>
  <c r="V30" i="81"/>
  <c r="V31" i="81"/>
  <c r="V32" i="81"/>
  <c r="V21" i="81"/>
  <c r="Q30" i="81"/>
  <c r="P22" i="81"/>
  <c r="P23" i="81"/>
  <c r="P24" i="81"/>
  <c r="P25" i="81"/>
  <c r="P26" i="81"/>
  <c r="P27" i="81"/>
  <c r="P28" i="81"/>
  <c r="P29" i="81"/>
  <c r="P30" i="81"/>
  <c r="P31" i="81"/>
  <c r="P32" i="81"/>
  <c r="P21" i="81"/>
  <c r="V15" i="81"/>
  <c r="V13" i="81"/>
  <c r="P13" i="81"/>
  <c r="P15" i="81"/>
  <c r="P6" i="6"/>
  <c r="E10" i="81" a="1"/>
  <c r="E10" i="81" s="1"/>
  <c r="E9" i="81"/>
  <c r="K10" i="81" a="1"/>
  <c r="K10" i="81" s="1"/>
  <c r="H11" i="81" a="1"/>
  <c r="H11" i="81" s="1"/>
  <c r="B12" i="81" a="1"/>
  <c r="B12" i="81" s="1"/>
  <c r="K9" i="81"/>
  <c r="G11" i="81"/>
  <c r="B11" i="81"/>
  <c r="H13" i="54" l="1" a="1"/>
  <c r="H13" i="54" s="1"/>
  <c r="V54" i="68" l="1" a="1"/>
  <c r="V54" i="68" s="1"/>
  <c r="S54" i="68" a="1"/>
  <c r="S54" i="68" s="1"/>
  <c r="V51" i="68" a="1"/>
  <c r="V51" i="68" s="1"/>
  <c r="S51" i="68" a="1"/>
  <c r="S51" i="68" s="1"/>
  <c r="V50" i="68" a="1"/>
  <c r="V50" i="68" s="1"/>
  <c r="S50" i="68" a="1"/>
  <c r="S50" i="68" s="1"/>
  <c r="C51" i="68" a="1"/>
  <c r="C51" i="68" s="1"/>
  <c r="V49" i="68" a="1"/>
  <c r="V49" i="68" s="1"/>
  <c r="V45" i="68" a="1"/>
  <c r="V45" i="68" s="1"/>
  <c r="S45" i="68" a="1"/>
  <c r="S45" i="68" s="1"/>
  <c r="V44" i="68" a="1"/>
  <c r="V44" i="68" s="1"/>
  <c r="S44" i="68" a="1"/>
  <c r="S44" i="68" s="1"/>
  <c r="V43" i="68" a="1"/>
  <c r="V43" i="68" s="1"/>
  <c r="S43" i="68" a="1"/>
  <c r="S43" i="68" s="1"/>
  <c r="V41" i="68" a="1"/>
  <c r="V41" i="68" s="1"/>
  <c r="S41" i="68" a="1"/>
  <c r="S41" i="68" s="1"/>
  <c r="V39" i="68" a="1"/>
  <c r="V39" i="68" s="1"/>
  <c r="S39" i="68" a="1"/>
  <c r="S39" i="68" s="1"/>
  <c r="V38" i="68" a="1"/>
  <c r="V38" i="68" s="1"/>
  <c r="S38" i="68" a="1"/>
  <c r="S38" i="68" s="1"/>
  <c r="S37" i="68" a="1"/>
  <c r="S37" i="68" s="1"/>
  <c r="V37" i="68" a="1"/>
  <c r="V37" i="68" s="1"/>
  <c r="V34" i="68" a="1"/>
  <c r="V34" i="68" s="1"/>
  <c r="S34" i="68" a="1"/>
  <c r="S34" i="68" s="1"/>
  <c r="C34" i="68" a="1"/>
  <c r="C34" i="68" s="1"/>
  <c r="S33" i="68" a="1"/>
  <c r="S33" i="68" s="1"/>
  <c r="C33" i="68" a="1"/>
  <c r="C33" i="68" s="1"/>
  <c r="S29" i="68" a="1"/>
  <c r="S29" i="68" s="1"/>
  <c r="C29" i="68" a="1"/>
  <c r="C29" i="68" s="1"/>
  <c r="S28" i="68" a="1"/>
  <c r="S28" i="68" s="1"/>
  <c r="C28" i="68" a="1"/>
  <c r="C28" i="68" s="1"/>
  <c r="C25" i="68" a="1"/>
  <c r="C25" i="68" s="1"/>
  <c r="S25" i="68" a="1"/>
  <c r="S25" i="68" s="1"/>
  <c r="S24" i="68" a="1"/>
  <c r="S24" i="68" s="1"/>
  <c r="C24" i="68" a="1"/>
  <c r="C24" i="68" s="1"/>
  <c r="S23" i="68" a="1"/>
  <c r="S23" i="68" s="1"/>
  <c r="C23" i="68" a="1"/>
  <c r="C23" i="68" s="1"/>
  <c r="V17" i="68" a="1"/>
  <c r="V17" i="68" s="1"/>
  <c r="S17" i="68" a="1"/>
  <c r="S17" i="68" s="1"/>
  <c r="S16" i="68" a="1"/>
  <c r="S16" i="68" s="1"/>
  <c r="AQ81" i="29"/>
  <c r="AT81" i="29"/>
  <c r="AS81" i="29"/>
  <c r="AE81" i="29"/>
  <c r="AE3" i="29"/>
  <c r="AP81" i="29" l="1"/>
  <c r="V36" i="68"/>
  <c r="S36" i="68"/>
  <c r="O108" i="32"/>
  <c r="O102" i="32" s="1"/>
  <c r="O107" i="32"/>
  <c r="O100" i="32" s="1"/>
  <c r="O106" i="32"/>
  <c r="O99" i="32" s="1"/>
  <c r="O92" i="32" a="1"/>
  <c r="O92" i="32" s="1"/>
  <c r="O90" i="32"/>
  <c r="O79" i="32" s="1"/>
  <c r="O89" i="32"/>
  <c r="O78" i="32" s="1"/>
  <c r="O88" i="32"/>
  <c r="O77" i="32" s="1"/>
  <c r="O69" i="32" a="1"/>
  <c r="O69" i="32" s="1"/>
  <c r="O68" i="32" a="1"/>
  <c r="O68" i="32" s="1"/>
  <c r="O67" i="32" a="1"/>
  <c r="O67" i="32" s="1"/>
  <c r="O66" i="32" a="1"/>
  <c r="O66" i="32" s="1"/>
  <c r="O64" i="32" a="1"/>
  <c r="O64" i="32" s="1"/>
  <c r="O63" i="32" a="1"/>
  <c r="O63" i="32" s="1"/>
  <c r="O62" i="32" a="1"/>
  <c r="O62" i="32" s="1"/>
  <c r="O61" i="32" a="1"/>
  <c r="O61" i="32" s="1"/>
  <c r="O59" i="32" a="1"/>
  <c r="O59" i="32" s="1"/>
  <c r="O58" i="32" a="1"/>
  <c r="O58" i="32" s="1"/>
  <c r="O57" i="32" a="1"/>
  <c r="O57" i="32" s="1"/>
  <c r="O56" i="32" a="1"/>
  <c r="O56" i="32" s="1"/>
  <c r="O55" i="32" a="1"/>
  <c r="O55" i="32" s="1"/>
  <c r="O54" i="32" a="1"/>
  <c r="O54" i="32" s="1"/>
  <c r="O53" i="32" a="1"/>
  <c r="O53" i="32" s="1"/>
  <c r="O52" i="32" a="1"/>
  <c r="O52" i="32" s="1"/>
  <c r="O21" i="32" a="1"/>
  <c r="O21" i="32" s="1"/>
  <c r="J108" i="32"/>
  <c r="J107" i="32"/>
  <c r="J106" i="32"/>
  <c r="J92" i="32" a="1"/>
  <c r="J92" i="32" s="1"/>
  <c r="J90" i="32"/>
  <c r="J89" i="32"/>
  <c r="J88" i="32"/>
  <c r="J69" i="32" a="1"/>
  <c r="J69" i="32" s="1"/>
  <c r="J68" i="32" a="1"/>
  <c r="J68" i="32" s="1"/>
  <c r="J67" i="32" a="1"/>
  <c r="J67" i="32" s="1"/>
  <c r="J66" i="32" a="1"/>
  <c r="J66" i="32" s="1"/>
  <c r="J64" i="32" a="1"/>
  <c r="J64" i="32" s="1"/>
  <c r="J63" i="32" a="1"/>
  <c r="J63" i="32" s="1"/>
  <c r="J62" i="32" a="1"/>
  <c r="J62" i="32" s="1"/>
  <c r="J61" i="32" a="1"/>
  <c r="J61" i="32" s="1"/>
  <c r="J59" i="32" a="1"/>
  <c r="J59" i="32" s="1"/>
  <c r="J58" i="32" a="1"/>
  <c r="J58" i="32" s="1"/>
  <c r="J57" i="32" a="1"/>
  <c r="J57" i="32" s="1"/>
  <c r="J56" i="32" a="1"/>
  <c r="J56" i="32" s="1"/>
  <c r="J55" i="32" a="1"/>
  <c r="J55" i="32" s="1"/>
  <c r="J54" i="32" a="1"/>
  <c r="J54" i="32" s="1"/>
  <c r="J53" i="32" a="1"/>
  <c r="J53" i="32" s="1"/>
  <c r="J52" i="32" a="1"/>
  <c r="J52" i="32" s="1"/>
  <c r="J50" i="32" a="1"/>
  <c r="J50" i="32" s="1"/>
  <c r="J35" i="32" a="1"/>
  <c r="J35" i="32" s="1"/>
  <c r="J34" i="32" a="1"/>
  <c r="J34" i="32" s="1"/>
  <c r="J32" i="32" a="1"/>
  <c r="J32" i="32" s="1"/>
  <c r="J27" i="32" a="1"/>
  <c r="J27" i="32" s="1"/>
  <c r="J25" i="32" a="1"/>
  <c r="J25" i="32" s="1"/>
  <c r="J24" i="32" a="1"/>
  <c r="J24" i="32" s="1"/>
  <c r="J23" i="32" a="1"/>
  <c r="J23" i="32" s="1"/>
  <c r="J21" i="32" a="1"/>
  <c r="J21" i="32" s="1"/>
  <c r="J15" i="32" a="1"/>
  <c r="J15" i="32" s="1"/>
  <c r="J13" i="32" a="1"/>
  <c r="J13" i="32" s="1"/>
  <c r="O51" i="32" l="1"/>
  <c r="O65" i="32"/>
  <c r="O87" i="32"/>
  <c r="J87" i="32"/>
  <c r="J65" i="32"/>
  <c r="O60" i="32"/>
  <c r="J60" i="32"/>
  <c r="J51" i="32"/>
  <c r="J49" i="32" s="1"/>
  <c r="K4" i="32"/>
  <c r="P4" i="32"/>
  <c r="P108" i="32"/>
  <c r="K108" i="32"/>
  <c r="P106" i="32"/>
  <c r="K106" i="32"/>
  <c r="P107" i="32"/>
  <c r="K107" i="32"/>
  <c r="K92" i="32" a="1"/>
  <c r="K92" i="32" s="1"/>
  <c r="P92" i="32" a="1"/>
  <c r="P92" i="32" s="1"/>
  <c r="P90" i="32"/>
  <c r="P79" i="32" s="1"/>
  <c r="P89" i="32"/>
  <c r="P78" i="32" s="1"/>
  <c r="K90" i="32"/>
  <c r="K89" i="32"/>
  <c r="K88" i="32"/>
  <c r="P88" i="32"/>
  <c r="P77" i="32" s="1"/>
  <c r="P69" i="32" a="1"/>
  <c r="P69" i="32" s="1"/>
  <c r="P68" i="32" a="1"/>
  <c r="P68" i="32" s="1"/>
  <c r="P67" i="32" a="1"/>
  <c r="P67" i="32" s="1"/>
  <c r="P66" i="32" a="1"/>
  <c r="P66" i="32" s="1"/>
  <c r="P64" i="32" a="1"/>
  <c r="P64" i="32" s="1"/>
  <c r="P63" i="32" a="1"/>
  <c r="P63" i="32" s="1"/>
  <c r="P62" i="32" a="1"/>
  <c r="P62" i="32" s="1"/>
  <c r="P61" i="32" a="1"/>
  <c r="P61" i="32" s="1"/>
  <c r="P59" i="32" a="1"/>
  <c r="P59" i="32" s="1"/>
  <c r="K69" i="32" a="1"/>
  <c r="K69" i="32" s="1"/>
  <c r="K68" i="32" a="1"/>
  <c r="K68" i="32" s="1"/>
  <c r="K67" i="32" a="1"/>
  <c r="K67" i="32" s="1"/>
  <c r="K66" i="32" a="1"/>
  <c r="K66" i="32" s="1"/>
  <c r="K64" i="32" a="1"/>
  <c r="K64" i="32" s="1"/>
  <c r="K63" i="32" a="1"/>
  <c r="K63" i="32" s="1"/>
  <c r="K62" i="32" a="1"/>
  <c r="K62" i="32" s="1"/>
  <c r="K61" i="32" a="1"/>
  <c r="K61" i="32" s="1"/>
  <c r="K59" i="32" a="1"/>
  <c r="K59" i="32" s="1"/>
  <c r="P58" i="32" a="1"/>
  <c r="P58" i="32" s="1"/>
  <c r="P57" i="32" a="1"/>
  <c r="P57" i="32" s="1"/>
  <c r="P56" i="32" a="1"/>
  <c r="P56" i="32" s="1"/>
  <c r="P55" i="32" a="1"/>
  <c r="P55" i="32" s="1"/>
  <c r="P54" i="32" a="1"/>
  <c r="P54" i="32" s="1"/>
  <c r="P53" i="32" a="1"/>
  <c r="P53" i="32" s="1"/>
  <c r="P52" i="32" a="1"/>
  <c r="P52" i="32" s="1"/>
  <c r="K58" i="32" a="1"/>
  <c r="K58" i="32" s="1"/>
  <c r="K57" i="32" a="1"/>
  <c r="K57" i="32" s="1"/>
  <c r="K56" i="32" a="1"/>
  <c r="K56" i="32" s="1"/>
  <c r="K55" i="32" a="1"/>
  <c r="K55" i="32" s="1"/>
  <c r="K54" i="32" a="1"/>
  <c r="K54" i="32" s="1"/>
  <c r="K53" i="32" a="1"/>
  <c r="K53" i="32" s="1"/>
  <c r="K52" i="32" a="1"/>
  <c r="K52" i="32" s="1"/>
  <c r="K50" i="32" a="1"/>
  <c r="K50" i="32" s="1"/>
  <c r="K35" i="32" a="1"/>
  <c r="K35" i="32" s="1"/>
  <c r="K34" i="32" a="1"/>
  <c r="K34" i="32" s="1"/>
  <c r="K32" i="32" a="1"/>
  <c r="K32" i="32" s="1"/>
  <c r="K27" i="32" a="1"/>
  <c r="K27" i="32" s="1"/>
  <c r="K25" i="32" a="1"/>
  <c r="K25" i="32" s="1"/>
  <c r="K24" i="32" a="1"/>
  <c r="K24" i="32" s="1"/>
  <c r="K23" i="32" a="1"/>
  <c r="K23" i="32" s="1"/>
  <c r="P21" i="32" a="1"/>
  <c r="P21" i="32" s="1"/>
  <c r="K21" i="32" a="1"/>
  <c r="K21" i="32" s="1"/>
  <c r="K15" i="32" a="1"/>
  <c r="K15" i="32" s="1"/>
  <c r="K13" i="32" a="1"/>
  <c r="K13" i="32" s="1"/>
  <c r="B5" i="39"/>
  <c r="M5" i="39"/>
  <c r="N5" i="39" s="1"/>
  <c r="BH25" i="57" a="1"/>
  <c r="BH25" i="57" s="1"/>
  <c r="Z5" i="53"/>
  <c r="Z3" i="53"/>
  <c r="V3" i="53"/>
  <c r="V5" i="53"/>
  <c r="X5" i="53"/>
  <c r="AC24" i="61" a="1"/>
  <c r="AC24" i="61" s="1"/>
  <c r="AC29" i="61" a="1"/>
  <c r="AC29" i="61" s="1"/>
  <c r="AC57" i="61" a="1"/>
  <c r="AC57" i="61" s="1"/>
  <c r="AC56" i="61" a="1"/>
  <c r="AC56" i="61" s="1"/>
  <c r="AC55" i="61" a="1"/>
  <c r="AC55" i="61" s="1"/>
  <c r="AC54" i="61" a="1"/>
  <c r="AC54" i="61" s="1"/>
  <c r="AC53" i="61" a="1"/>
  <c r="AC53" i="61" s="1"/>
  <c r="AC52" i="61" a="1"/>
  <c r="AC52" i="61" s="1"/>
  <c r="AC51" i="61" a="1"/>
  <c r="AC51" i="61" s="1"/>
  <c r="AC50" i="61" a="1"/>
  <c r="AC50" i="61" s="1"/>
  <c r="AC49" i="61" a="1"/>
  <c r="AC49" i="61" s="1"/>
  <c r="AC48" i="61" a="1"/>
  <c r="AC48" i="61" s="1"/>
  <c r="AC47" i="61" a="1"/>
  <c r="AC47" i="61" s="1"/>
  <c r="AC46" i="61" a="1"/>
  <c r="AC46" i="61" s="1"/>
  <c r="AC45" i="61" a="1"/>
  <c r="AC45" i="61" s="1"/>
  <c r="AC44" i="61" a="1"/>
  <c r="AC44" i="61" s="1"/>
  <c r="AC43" i="61" a="1"/>
  <c r="AC43" i="61" s="1"/>
  <c r="AC42" i="61" a="1"/>
  <c r="AC42" i="61" s="1"/>
  <c r="AC41" i="61" a="1"/>
  <c r="AC41" i="61" s="1"/>
  <c r="AC40" i="61" a="1"/>
  <c r="AC40" i="61" s="1"/>
  <c r="AC39" i="61" a="1"/>
  <c r="AC39" i="61" s="1"/>
  <c r="AC38" i="61" a="1"/>
  <c r="AC38" i="61" s="1"/>
  <c r="AC37" i="61" a="1"/>
  <c r="AC37" i="61" s="1"/>
  <c r="AC36" i="61" a="1"/>
  <c r="AC36" i="61" s="1"/>
  <c r="AC35" i="61" a="1"/>
  <c r="AC35" i="61" s="1"/>
  <c r="AC34" i="61" a="1"/>
  <c r="AC34" i="61" s="1"/>
  <c r="AC33" i="61" a="1"/>
  <c r="AC33" i="61" s="1"/>
  <c r="AC32" i="61" a="1"/>
  <c r="AC32" i="61" s="1"/>
  <c r="AC31" i="61" a="1"/>
  <c r="AC31" i="61" s="1"/>
  <c r="AC30" i="61" a="1"/>
  <c r="AC30" i="61" s="1"/>
  <c r="AC28" i="61" a="1"/>
  <c r="AC28" i="61" s="1"/>
  <c r="AC27" i="61" a="1"/>
  <c r="AC27" i="61" s="1"/>
  <c r="AC26" i="61" a="1"/>
  <c r="AC26"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F40" i="32" l="1" a="1"/>
  <c r="F40" i="32" s="1"/>
  <c r="E40" i="32" a="1"/>
  <c r="E40" i="32" s="1"/>
  <c r="J163" i="32"/>
  <c r="J136" i="32"/>
  <c r="J43" i="32" a="1"/>
  <c r="J43" i="32" s="1"/>
  <c r="J42" i="32" a="1"/>
  <c r="J42" i="32" s="1"/>
  <c r="J40" i="32" a="1"/>
  <c r="J40" i="32" s="1"/>
  <c r="J41" i="32" a="1"/>
  <c r="J41" i="32" s="1"/>
  <c r="J70" i="32"/>
  <c r="J164" i="32" s="1"/>
  <c r="P65" i="32"/>
  <c r="K40" i="32" a="1"/>
  <c r="K40" i="32" s="1"/>
  <c r="K41" i="32" a="1"/>
  <c r="K41" i="32" s="1"/>
  <c r="K42" i="32" a="1"/>
  <c r="K42" i="32" s="1"/>
  <c r="K65" i="32"/>
  <c r="P87" i="32"/>
  <c r="K87" i="32"/>
  <c r="P60" i="32"/>
  <c r="K60" i="32"/>
  <c r="P51" i="32"/>
  <c r="K51" i="32"/>
  <c r="K49" i="32" s="1"/>
  <c r="K136" i="32" l="1"/>
  <c r="K163" i="32"/>
  <c r="K70" i="32"/>
  <c r="K164" i="32" s="1"/>
  <c r="Q24" i="37"/>
  <c r="Z24" i="37" s="1"/>
  <c r="X24" i="37"/>
  <c r="T24" i="37" l="1"/>
  <c r="F93" i="32" s="1" a="1"/>
  <c r="F93" i="32" s="1"/>
  <c r="O93" i="32" a="1"/>
  <c r="O93" i="32" s="1"/>
  <c r="O91" i="32" s="1"/>
  <c r="U24" i="37"/>
  <c r="J93" i="32" l="1" a="1"/>
  <c r="J93" i="32" s="1"/>
  <c r="J91" i="32" s="1"/>
  <c r="AC24" i="37"/>
  <c r="N22" i="63"/>
  <c r="O22" i="63"/>
  <c r="M24" i="63"/>
  <c r="M25" i="63"/>
  <c r="M26" i="63"/>
  <c r="M30" i="63"/>
  <c r="O37" i="63"/>
  <c r="N49" i="63"/>
  <c r="N40" i="63"/>
  <c r="M23" i="63"/>
  <c r="O28" i="63"/>
  <c r="M44" i="63"/>
  <c r="N45" i="63"/>
  <c r="M37" i="63"/>
  <c r="O25" i="63"/>
  <c r="M27" i="63"/>
  <c r="N27" i="63"/>
  <c r="M51" i="63"/>
  <c r="O43" i="63"/>
  <c r="M28" i="63"/>
  <c r="N47" i="63"/>
  <c r="O48" i="63"/>
  <c r="N29" i="63"/>
  <c r="M45" i="63"/>
  <c r="M36" i="63"/>
  <c r="M40" i="63"/>
  <c r="O46" i="63"/>
  <c r="M35" i="63"/>
  <c r="O51" i="63"/>
  <c r="O50" i="63"/>
  <c r="O30" i="63"/>
  <c r="N28" i="63"/>
  <c r="N51" i="63"/>
  <c r="O39" i="63"/>
  <c r="M32" i="63"/>
  <c r="N32" i="63"/>
  <c r="M49" i="63"/>
  <c r="N46" i="63"/>
  <c r="N35" i="63"/>
  <c r="M22" i="63"/>
  <c r="O23" i="63"/>
  <c r="M34" i="63"/>
  <c r="M41" i="63"/>
  <c r="O38" i="63"/>
  <c r="O47" i="63"/>
  <c r="O34" i="63"/>
  <c r="N52" i="63"/>
  <c r="M31" i="63"/>
  <c r="O49" i="63"/>
  <c r="N42" i="63"/>
  <c r="O42" i="63"/>
  <c r="N50" i="63"/>
  <c r="O36" i="63"/>
  <c r="M38" i="63"/>
  <c r="O31" i="63"/>
  <c r="M21" i="63"/>
  <c r="M48" i="63"/>
  <c r="N25" i="63"/>
  <c r="O44" i="63"/>
  <c r="N31" i="63"/>
  <c r="N39" i="63"/>
  <c r="N33" i="63"/>
  <c r="N34" i="63"/>
  <c r="N36" i="63"/>
  <c r="O29" i="63"/>
  <c r="N38" i="63"/>
  <c r="N23" i="63"/>
  <c r="O35" i="63"/>
  <c r="O24" i="63"/>
  <c r="O41" i="63"/>
  <c r="M47" i="63"/>
  <c r="M42" i="63"/>
  <c r="O26" i="63"/>
  <c r="O21" i="63"/>
  <c r="N21" i="63"/>
  <c r="O53" i="63"/>
  <c r="N24" i="63"/>
  <c r="O52" i="63"/>
  <c r="M29" i="63"/>
  <c r="O27" i="63"/>
  <c r="O32" i="63"/>
  <c r="M52" i="63"/>
  <c r="O45" i="63"/>
  <c r="O33" i="63"/>
  <c r="M46" i="63"/>
  <c r="N43" i="63"/>
  <c r="O40" i="63"/>
  <c r="N53" i="63"/>
  <c r="N41" i="63"/>
  <c r="M39" i="63"/>
  <c r="M50" i="63"/>
  <c r="N30" i="63"/>
  <c r="N48" i="63"/>
  <c r="N26" i="63"/>
  <c r="N37" i="63"/>
  <c r="N44" i="63"/>
  <c r="M43" i="63"/>
  <c r="M53" i="63"/>
  <c r="M33" i="63"/>
  <c r="K93" i="32" a="1"/>
  <c r="K93" i="32" s="1"/>
  <c r="K91" i="32" s="1"/>
  <c r="P93" i="32" a="1"/>
  <c r="P93" i="32" s="1"/>
  <c r="AA24" i="37"/>
  <c r="AB24" i="37"/>
  <c r="E5" i="62"/>
  <c r="AI81" i="29"/>
  <c r="AL81" i="29"/>
  <c r="AG46" i="6"/>
  <c r="K17" i="45"/>
  <c r="K46" i="7"/>
  <c r="L50" i="63" l="1"/>
  <c r="P50" i="63" s="1"/>
  <c r="L23" i="63"/>
  <c r="P23" i="63" s="1"/>
  <c r="L24" i="63"/>
  <c r="P24" i="63" s="1"/>
  <c r="L53" i="63"/>
  <c r="P53" i="63" s="1"/>
  <c r="L47" i="63"/>
  <c r="P47" i="63" s="1"/>
  <c r="L32" i="63"/>
  <c r="P32" i="63" s="1"/>
  <c r="L36" i="63"/>
  <c r="P36" i="63" s="1"/>
  <c r="L28" i="63"/>
  <c r="P28" i="63" s="1"/>
  <c r="L41" i="63"/>
  <c r="P41" i="63" s="1"/>
  <c r="L38" i="63"/>
  <c r="P38" i="63" s="1"/>
  <c r="L29" i="63"/>
  <c r="P29" i="63" s="1"/>
  <c r="L48" i="63"/>
  <c r="P48" i="63" s="1"/>
  <c r="L43" i="63"/>
  <c r="P43" i="63" s="1"/>
  <c r="L22" i="63"/>
  <c r="P22" i="63" s="1"/>
  <c r="L35" i="63"/>
  <c r="P35" i="63" s="1"/>
  <c r="L27" i="63"/>
  <c r="P27" i="63" s="1"/>
  <c r="L52" i="63"/>
  <c r="P52" i="63" s="1"/>
  <c r="L21" i="63"/>
  <c r="P21" i="63" s="1"/>
  <c r="L30" i="63"/>
  <c r="P30" i="63" s="1"/>
  <c r="L39" i="63"/>
  <c r="P39" i="63" s="1"/>
  <c r="L34" i="63"/>
  <c r="P34" i="63" s="1"/>
  <c r="L51" i="63"/>
  <c r="P51" i="63" s="1"/>
  <c r="L33" i="63"/>
  <c r="P33" i="63" s="1"/>
  <c r="L25" i="63"/>
  <c r="P25" i="63" s="1"/>
  <c r="L40" i="63"/>
  <c r="P40" i="63" s="1"/>
  <c r="L37" i="63"/>
  <c r="P37" i="63" s="1"/>
  <c r="L46" i="63"/>
  <c r="P46" i="63" s="1"/>
  <c r="L26" i="63"/>
  <c r="P26" i="63" s="1"/>
  <c r="L49" i="63"/>
  <c r="P49" i="63" s="1"/>
  <c r="L42" i="63"/>
  <c r="P42" i="63" s="1"/>
  <c r="L31" i="63"/>
  <c r="P31" i="63" s="1"/>
  <c r="L45" i="63"/>
  <c r="P45" i="63" s="1"/>
  <c r="L44" i="63"/>
  <c r="P44" i="63" s="1"/>
  <c r="O110" i="32" a="1"/>
  <c r="O110" i="32" s="1"/>
  <c r="J110" i="32" a="1"/>
  <c r="J110" i="32" s="1"/>
  <c r="E110" i="32" a="1"/>
  <c r="E110" i="32" s="1"/>
  <c r="K110" i="32" a="1"/>
  <c r="K110" i="32" s="1"/>
  <c r="P110" i="32" a="1"/>
  <c r="P110" i="32" s="1"/>
  <c r="F110" i="32" a="1"/>
  <c r="F110" i="32" s="1"/>
  <c r="H5" i="48"/>
  <c r="D75" i="32" l="1" a="1"/>
  <c r="D75" i="32" s="1"/>
  <c r="D95" i="32" a="1"/>
  <c r="D95" i="32" s="1"/>
  <c r="O75" i="32" a="1"/>
  <c r="O75" i="32" s="1"/>
  <c r="O95" i="32" a="1"/>
  <c r="O95" i="32" s="1"/>
  <c r="O86" i="32" s="1"/>
  <c r="J95" i="32" a="1"/>
  <c r="J95" i="32" s="1"/>
  <c r="J86" i="32" s="1"/>
  <c r="J75" i="32" a="1"/>
  <c r="J75" i="32" s="1"/>
  <c r="J105" i="32"/>
  <c r="O105" i="32"/>
  <c r="K95" i="32" a="1"/>
  <c r="K95" i="32" s="1"/>
  <c r="K86" i="32" s="1"/>
  <c r="P95" i="32" a="1"/>
  <c r="P95" i="32" s="1"/>
  <c r="K75" i="32" a="1"/>
  <c r="K75" i="32" s="1"/>
  <c r="P75" i="32" a="1"/>
  <c r="P75" i="32" s="1"/>
  <c r="I5" i="48"/>
  <c r="D74" i="32" l="1"/>
  <c r="F88" i="32"/>
  <c r="F77" i="32" s="1"/>
  <c r="E88" i="32"/>
  <c r="E77" i="32" s="1"/>
  <c r="D88" i="32"/>
  <c r="F89" i="32"/>
  <c r="F78" i="32" s="1"/>
  <c r="E89" i="32"/>
  <c r="E78" i="32" s="1"/>
  <c r="D89" i="32"/>
  <c r="F90" i="32"/>
  <c r="F79" i="32" s="1"/>
  <c r="E90" i="32"/>
  <c r="E79" i="32" s="1"/>
  <c r="D90" i="32"/>
  <c r="D94" i="32" a="1"/>
  <c r="D94" i="32" s="1"/>
  <c r="F96" i="32"/>
  <c r="E96" i="32"/>
  <c r="D106" i="32"/>
  <c r="F106" i="32"/>
  <c r="E106" i="32"/>
  <c r="D107" i="32"/>
  <c r="F107" i="32"/>
  <c r="E107" i="32"/>
  <c r="D108" i="32"/>
  <c r="F108" i="32"/>
  <c r="F102" i="32" s="1"/>
  <c r="E108" i="32"/>
  <c r="E102" i="32" s="1"/>
  <c r="F109" i="32"/>
  <c r="E109" i="32"/>
  <c r="F103" i="32"/>
  <c r="E103" i="32"/>
  <c r="D113" i="32"/>
  <c r="D77" i="32" l="1"/>
  <c r="D99" i="32"/>
  <c r="J113" i="32" a="1"/>
  <c r="J113" i="32" s="1"/>
  <c r="O113" i="32" a="1"/>
  <c r="O113" i="32" s="1"/>
  <c r="D79" i="32"/>
  <c r="P113" i="32" a="1"/>
  <c r="P113" i="32" s="1"/>
  <c r="K113" i="32" a="1"/>
  <c r="K113" i="32" s="1"/>
  <c r="D102" i="32"/>
  <c r="D100" i="32"/>
  <c r="D78" i="32"/>
  <c r="F5" i="62"/>
  <c r="G5" i="62" s="1"/>
  <c r="M15" i="45" a="1"/>
  <c r="R3" i="39" a="1"/>
  <c r="F75" i="32" l="1" a="1"/>
  <c r="F75" i="32" s="1"/>
  <c r="E75" i="32" a="1"/>
  <c r="E75" i="32" s="1"/>
  <c r="F95" i="32" a="1"/>
  <c r="F95" i="32" s="1"/>
  <c r="E95" i="32" a="1"/>
  <c r="E95" i="32" s="1"/>
  <c r="M15" i="45"/>
  <c r="R3" i="39"/>
  <c r="D92" i="32" l="1" a="1"/>
  <c r="D92" i="32" s="1"/>
  <c r="F92" i="32" a="1"/>
  <c r="F92" i="32" s="1"/>
  <c r="E92" i="32" a="1"/>
  <c r="E92" i="32" s="1"/>
  <c r="O3" i="60" l="1" a="1"/>
  <c r="O3" i="60" s="1"/>
  <c r="Y3" i="53"/>
  <c r="Y5" i="53"/>
  <c r="X3" i="53"/>
  <c r="AL3" i="29" l="1" a="1"/>
  <c r="AL3" i="29" s="1"/>
  <c r="AI3" i="29" a="1"/>
  <c r="AI3" i="29" s="1"/>
  <c r="AF22" i="59" l="1" a="1"/>
  <c r="AF22" i="59" s="1"/>
  <c r="E24" i="58" a="1"/>
  <c r="E24" i="58" s="1"/>
  <c r="A28" i="47" a="1"/>
  <c r="A28" i="47" s="1"/>
  <c r="B24" i="46" a="1"/>
  <c r="B24" i="46" s="1"/>
  <c r="T22" i="60" l="1" a="1"/>
  <c r="T22" i="60" s="1"/>
  <c r="AJ21" i="49"/>
  <c r="AI21" i="49"/>
  <c r="AH21" i="49"/>
  <c r="AA23" i="49" a="1"/>
  <c r="AA23" i="49" s="1"/>
  <c r="T23" i="49" a="1"/>
  <c r="T23" i="49" s="1"/>
  <c r="AG21" i="49" l="1"/>
  <c r="C111" i="40" a="1"/>
  <c r="C111" i="40" s="1"/>
  <c r="BR21" i="76" a="1"/>
  <c r="BR21" i="76" s="1"/>
  <c r="AS2" i="74"/>
  <c r="AS3" i="74"/>
  <c r="BO24" i="57" s="1"/>
  <c r="BC6" i="57" a="1"/>
  <c r="BC6" i="57" s="1"/>
  <c r="AX6" i="57" a="1"/>
  <c r="AX6" i="57" s="1"/>
  <c r="BY24" i="57"/>
  <c r="BH21" i="57"/>
  <c r="BJ21" i="57" s="1"/>
  <c r="BH22" i="57"/>
  <c r="AL6" i="57" a="1"/>
  <c r="AL6" i="57" s="1"/>
  <c r="BU25" i="57" a="1"/>
  <c r="BU25" i="57" s="1"/>
  <c r="P3" i="52"/>
  <c r="Q3" i="52" s="1" a="1"/>
  <c r="Q3" i="52" s="1"/>
  <c r="I3" i="52"/>
  <c r="BU33" i="76" a="1"/>
  <c r="BU33" i="76" s="1"/>
  <c r="BV22" i="76" a="1"/>
  <c r="BV22" i="76" s="1"/>
  <c r="BV23" i="76" a="1"/>
  <c r="BV23" i="76" s="1"/>
  <c r="BV24" i="76" a="1"/>
  <c r="BV24" i="76" s="1"/>
  <c r="BV25" i="76" a="1"/>
  <c r="BV25" i="76" s="1"/>
  <c r="BV26" i="76" a="1"/>
  <c r="BV26" i="76" s="1"/>
  <c r="BV27" i="76" a="1"/>
  <c r="BV27" i="76" s="1"/>
  <c r="BV28" i="76" a="1"/>
  <c r="BV28" i="76" s="1"/>
  <c r="BV29" i="76" a="1"/>
  <c r="BV29" i="76" s="1"/>
  <c r="BV30" i="76" a="1"/>
  <c r="BV30" i="76" s="1"/>
  <c r="BV31" i="76" a="1"/>
  <c r="BV31" i="76" s="1"/>
  <c r="BV32" i="76" a="1"/>
  <c r="BV32" i="76" s="1"/>
  <c r="BV33" i="76" a="1"/>
  <c r="BV33" i="76" s="1"/>
  <c r="BV21" i="76" a="1"/>
  <c r="BV21" i="76" s="1"/>
  <c r="BU22" i="76" a="1"/>
  <c r="BU22" i="76" s="1"/>
  <c r="BU23" i="76" a="1"/>
  <c r="BU23" i="76" s="1"/>
  <c r="BU24" i="76" a="1"/>
  <c r="BU24" i="76" s="1"/>
  <c r="BU25" i="76" a="1"/>
  <c r="BU25" i="76" s="1"/>
  <c r="BU26" i="76" a="1"/>
  <c r="BU26" i="76" s="1"/>
  <c r="BU27" i="76" a="1"/>
  <c r="BU27" i="76" s="1"/>
  <c r="BU28" i="76" a="1"/>
  <c r="BU28" i="76" s="1"/>
  <c r="BU29" i="76" a="1"/>
  <c r="BU29" i="76" s="1"/>
  <c r="BU30" i="76" a="1"/>
  <c r="BU30" i="76" s="1"/>
  <c r="BU31" i="76" a="1"/>
  <c r="BU31" i="76" s="1"/>
  <c r="BU32" i="76" a="1"/>
  <c r="BU32" i="76" s="1"/>
  <c r="BU21" i="76" a="1"/>
  <c r="BU21" i="76" s="1"/>
  <c r="BR33" i="76" a="1"/>
  <c r="BR33" i="76" s="1"/>
  <c r="BS22" i="76" a="1"/>
  <c r="BS22" i="76" s="1"/>
  <c r="BS23" i="76" a="1"/>
  <c r="BS23" i="76" s="1"/>
  <c r="BS24" i="76" a="1"/>
  <c r="BS24" i="76" s="1"/>
  <c r="BS25" i="76" a="1"/>
  <c r="BS25" i="76" s="1"/>
  <c r="BS26" i="76" a="1"/>
  <c r="BS26" i="76" s="1"/>
  <c r="BS27" i="76" a="1"/>
  <c r="BS27" i="76" s="1"/>
  <c r="BS28" i="76" a="1"/>
  <c r="BS28" i="76" s="1"/>
  <c r="BS29" i="76" a="1"/>
  <c r="BS29" i="76" s="1"/>
  <c r="BS30" i="76" a="1"/>
  <c r="BS30" i="76" s="1"/>
  <c r="BS31" i="76" a="1"/>
  <c r="BS31" i="76" s="1"/>
  <c r="BS32" i="76" a="1"/>
  <c r="BS32" i="76" s="1"/>
  <c r="BS33" i="76" a="1"/>
  <c r="BS33" i="76" s="1"/>
  <c r="BS21" i="76" a="1"/>
  <c r="BS21" i="76" s="1"/>
  <c r="BR22" i="76" a="1"/>
  <c r="BR22" i="76" s="1"/>
  <c r="BR23" i="76" a="1"/>
  <c r="BR23" i="76" s="1"/>
  <c r="BR24" i="76" a="1"/>
  <c r="BR24" i="76" s="1"/>
  <c r="BR25" i="76" a="1"/>
  <c r="BR25" i="76" s="1"/>
  <c r="BR26" i="76" a="1"/>
  <c r="BR26" i="76" s="1"/>
  <c r="BR27" i="76" a="1"/>
  <c r="BR27" i="76" s="1"/>
  <c r="BR28" i="76" a="1"/>
  <c r="BR28" i="76" s="1"/>
  <c r="BR29" i="76" a="1"/>
  <c r="BR29" i="76" s="1"/>
  <c r="BR30" i="76" a="1"/>
  <c r="BR30" i="76" s="1"/>
  <c r="BR31" i="76" a="1"/>
  <c r="BR31" i="76" s="1"/>
  <c r="BR32" i="76" a="1"/>
  <c r="BR32" i="76" s="1"/>
  <c r="AC2" i="74"/>
  <c r="AC3" i="74"/>
  <c r="BL5" i="76" a="1"/>
  <c r="BL5" i="76" s="1"/>
  <c r="BG5" i="76" a="1"/>
  <c r="BG5" i="76" s="1"/>
  <c r="AX5" i="76" a="1"/>
  <c r="AX5" i="76" s="1"/>
  <c r="CL5" i="76" a="1"/>
  <c r="CL5" i="76" s="1"/>
  <c r="CD5" i="76" a="1"/>
  <c r="CD5" i="76" s="1"/>
  <c r="AO5" i="76" a="1"/>
  <c r="AO5" i="76" s="1"/>
  <c r="S2" i="74"/>
  <c r="S3" i="74"/>
  <c r="BO10" i="73" s="1" a="1"/>
  <c r="BO10" i="73" s="1"/>
  <c r="H2" i="74"/>
  <c r="H3" i="74"/>
  <c r="I3" i="74" a="1"/>
  <c r="I3" i="74" s="1"/>
  <c r="K3" i="74" a="1"/>
  <c r="K3" i="74" s="1"/>
  <c r="L3" i="74" a="1"/>
  <c r="L3" i="74" s="1"/>
  <c r="E3" i="74"/>
  <c r="E2" i="74"/>
  <c r="BI8" i="73" a="1"/>
  <c r="BI8" i="73" s="1"/>
  <c r="AQ3" i="73"/>
  <c r="AR3" i="73" s="1"/>
  <c r="BS12" i="73" a="1"/>
  <c r="BS12" i="73" s="1"/>
  <c r="CL29" i="73" a="1"/>
  <c r="CL29" i="73" s="1"/>
  <c r="CL31" i="73" a="1"/>
  <c r="CL31" i="73" s="1"/>
  <c r="CE29" i="73" a="1"/>
  <c r="CE29" i="73" s="1"/>
  <c r="CG29" i="73" a="1"/>
  <c r="CG29" i="73" s="1"/>
  <c r="BN31" i="73" a="1"/>
  <c r="BN31" i="73" s="1"/>
  <c r="AQ8" i="73" a="1"/>
  <c r="AQ8" i="73" s="1"/>
  <c r="AX8" i="73" a="1"/>
  <c r="AX8" i="73" s="1"/>
  <c r="BE8" i="73" a="1"/>
  <c r="BE8" i="73" s="1"/>
  <c r="BI8" i="72" a="1"/>
  <c r="BI8" i="72" s="1"/>
  <c r="CW31" i="72" a="1"/>
  <c r="CW31" i="72" s="1"/>
  <c r="AQ3" i="72"/>
  <c r="AR3" i="72" s="1"/>
  <c r="CS29" i="72" a="1"/>
  <c r="CS29" i="72" s="1"/>
  <c r="CS31" i="72" a="1"/>
  <c r="CS31" i="72" s="1"/>
  <c r="BE8" i="72" a="1"/>
  <c r="BE8" i="72" s="1"/>
  <c r="CN29" i="72" a="1"/>
  <c r="CN29" i="72" s="1"/>
  <c r="AX8" i="72" a="1"/>
  <c r="AX8" i="72" s="1"/>
  <c r="AQ8" i="72" a="1"/>
  <c r="AQ8" i="72" s="1"/>
  <c r="R43" i="13"/>
  <c r="S43" i="13" s="1"/>
  <c r="CL29" i="72" a="1"/>
  <c r="CL29" i="72" s="1"/>
  <c r="BO31" i="72" a="1"/>
  <c r="BO31" i="72" s="1"/>
  <c r="CA31" i="72" s="1" a="1"/>
  <c r="CA31" i="72" s="1"/>
  <c r="BT12" i="72" a="1"/>
  <c r="BT12" i="72" s="1"/>
  <c r="B3" i="48"/>
  <c r="C3" i="48" s="1"/>
  <c r="D3" i="48" s="1"/>
  <c r="E3" i="48" s="1"/>
  <c r="F3" i="48" s="1"/>
  <c r="G3" i="48" s="1"/>
  <c r="H3" i="48" s="1"/>
  <c r="Q4" i="14" a="1"/>
  <c r="Q4" i="14" s="1"/>
  <c r="Q3" i="14" a="1"/>
  <c r="Q3" i="14" s="1"/>
  <c r="B1" i="14"/>
  <c r="C1" i="14" s="1"/>
  <c r="E4" i="5" a="1"/>
  <c r="E4" i="5" s="1"/>
  <c r="E3" i="5" a="1"/>
  <c r="E3" i="5" s="1"/>
  <c r="B1" i="5"/>
  <c r="C1" i="5" s="1"/>
  <c r="D1" i="5" s="1"/>
  <c r="E4" i="3" a="1"/>
  <c r="E4" i="3" s="1"/>
  <c r="E3" i="3" a="1"/>
  <c r="E3" i="3" s="1"/>
  <c r="B1" i="3"/>
  <c r="C1" i="3" s="1"/>
  <c r="D1" i="3" s="1"/>
  <c r="E1" i="3" s="1"/>
  <c r="F1" i="3" s="1"/>
  <c r="G1" i="3" s="1"/>
  <c r="E13" i="9" a="1"/>
  <c r="E13" i="9" s="1"/>
  <c r="E11" i="9" a="1"/>
  <c r="E11" i="9" s="1"/>
  <c r="E10" i="9" a="1"/>
  <c r="E10" i="9" s="1"/>
  <c r="E9" i="9" a="1"/>
  <c r="E9" i="9" s="1"/>
  <c r="E8" i="9" a="1"/>
  <c r="E8" i="9" s="1"/>
  <c r="E7" i="9" a="1"/>
  <c r="E7" i="9" s="1"/>
  <c r="E12" i="9" a="1"/>
  <c r="E12" i="9" s="1"/>
  <c r="E6" i="9" a="1"/>
  <c r="E6" i="9" s="1"/>
  <c r="E5" i="9" a="1"/>
  <c r="E5" i="9" s="1"/>
  <c r="E4" i="9" a="1"/>
  <c r="E4" i="9" s="1"/>
  <c r="E3" i="9" a="1"/>
  <c r="E3" i="9" s="1"/>
  <c r="B1" i="9"/>
  <c r="C1" i="9" s="1"/>
  <c r="D1" i="9" s="1"/>
  <c r="E1" i="9" s="1"/>
  <c r="F1" i="9" s="1"/>
  <c r="G1" i="9" s="1"/>
  <c r="H1" i="9" s="1"/>
  <c r="I1" i="9" s="1"/>
  <c r="S22" i="60" a="1"/>
  <c r="S22" i="60" s="1"/>
  <c r="G9" i="2" a="1"/>
  <c r="G9" i="2" s="1"/>
  <c r="G8" i="2" a="1"/>
  <c r="G8" i="2" s="1"/>
  <c r="G7" i="2" a="1"/>
  <c r="G7" i="2" s="1"/>
  <c r="G6" i="2" a="1"/>
  <c r="G6" i="2" s="1"/>
  <c r="G1" i="2"/>
  <c r="H1" i="2" s="1"/>
  <c r="I1" i="2" s="1"/>
  <c r="J1" i="2" s="1"/>
  <c r="F7" i="30" a="1"/>
  <c r="F7" i="30" s="1"/>
  <c r="F6" i="30" a="1"/>
  <c r="F6" i="30" s="1"/>
  <c r="F5" i="30" a="1"/>
  <c r="F5" i="30" s="1"/>
  <c r="F4" i="30" a="1"/>
  <c r="F4" i="30" s="1"/>
  <c r="F3" i="30" a="1"/>
  <c r="F3" i="30" s="1"/>
  <c r="C1" i="30"/>
  <c r="D1" i="30" s="1"/>
  <c r="E1" i="30" s="1"/>
  <c r="B2" i="11"/>
  <c r="C2" i="11" s="1"/>
  <c r="D2" i="11" s="1"/>
  <c r="E2" i="11" s="1"/>
  <c r="L14" i="37" a="1"/>
  <c r="L14" i="37" s="1"/>
  <c r="L13" i="37" a="1"/>
  <c r="L13" i="37" s="1"/>
  <c r="L12" i="37" a="1"/>
  <c r="L12" i="37" s="1"/>
  <c r="L11" i="37" a="1"/>
  <c r="L11" i="37" s="1"/>
  <c r="L10" i="37" a="1"/>
  <c r="L10" i="37" s="1"/>
  <c r="L8" i="37" a="1"/>
  <c r="L8" i="37" s="1"/>
  <c r="L7" i="37" a="1"/>
  <c r="L7" i="37" s="1"/>
  <c r="L6" i="37" a="1"/>
  <c r="L6" i="37" s="1"/>
  <c r="L5" i="37" a="1"/>
  <c r="L5" i="37" s="1"/>
  <c r="L4" i="37" a="1"/>
  <c r="L4" i="37" s="1"/>
  <c r="L3" i="37" a="1"/>
  <c r="L3" i="37" s="1"/>
  <c r="H1" i="37"/>
  <c r="I1" i="37" s="1"/>
  <c r="J1" i="37" s="1"/>
  <c r="K1" i="37" s="1"/>
  <c r="L1" i="37" s="1"/>
  <c r="M1" i="37" s="1"/>
  <c r="N1" i="37" s="1"/>
  <c r="O1" i="37" s="1"/>
  <c r="P1" i="37" s="1"/>
  <c r="Q1" i="37" s="1"/>
  <c r="R1" i="37" s="1"/>
  <c r="S1" i="37" s="1"/>
  <c r="T1" i="37" s="1"/>
  <c r="U1" i="37" s="1"/>
  <c r="V1" i="37" s="1"/>
  <c r="W1" i="37" s="1"/>
  <c r="X1" i="37" s="1"/>
  <c r="H6" i="55" a="1"/>
  <c r="H6" i="55" s="1"/>
  <c r="S1" i="55"/>
  <c r="T1" i="55" s="1"/>
  <c r="U1" i="55" s="1"/>
  <c r="V1" i="55" s="1"/>
  <c r="W1" i="55" s="1"/>
  <c r="X1" i="55" s="1"/>
  <c r="Y1" i="55" s="1"/>
  <c r="Z1" i="55" s="1"/>
  <c r="H1" i="55"/>
  <c r="I1" i="55" s="1"/>
  <c r="J1" i="55" s="1"/>
  <c r="B1" i="55"/>
  <c r="C1" i="55" s="1"/>
  <c r="D1" i="55" s="1"/>
  <c r="E1" i="55" s="1"/>
  <c r="B3" i="8"/>
  <c r="C3" i="8" s="1"/>
  <c r="D3" i="8" s="1"/>
  <c r="E3" i="8" s="1"/>
  <c r="B3" i="38"/>
  <c r="C3" i="38" s="1"/>
  <c r="D3" i="38" s="1"/>
  <c r="E3" i="38" s="1"/>
  <c r="F3" i="38" s="1"/>
  <c r="G3" i="38" s="1"/>
  <c r="H3" i="38" s="1"/>
  <c r="I3" i="38" s="1"/>
  <c r="J3" i="38" s="1"/>
  <c r="K3" i="38" s="1"/>
  <c r="L3" i="38" s="1"/>
  <c r="B3" i="62"/>
  <c r="C3" i="62" s="1"/>
  <c r="D3" i="62" s="1"/>
  <c r="E3" i="62" s="1"/>
  <c r="F3" i="62" s="1"/>
  <c r="G3" i="62" s="1"/>
  <c r="H3" i="62" s="1"/>
  <c r="I3" i="62" s="1"/>
  <c r="J3" i="62" s="1"/>
  <c r="E4" i="45"/>
  <c r="E5" i="45" s="1"/>
  <c r="E6" i="45" s="1"/>
  <c r="E7" i="45" s="1"/>
  <c r="E8" i="45" s="1"/>
  <c r="E9" i="45" s="1"/>
  <c r="E10" i="45" s="1"/>
  <c r="E11" i="45" s="1"/>
  <c r="E12" i="45" s="1"/>
  <c r="C1" i="45"/>
  <c r="D1" i="45" s="1"/>
  <c r="E1" i="45" s="1"/>
  <c r="F1" i="45" s="1"/>
  <c r="G1" i="45" s="1"/>
  <c r="H1" i="45" s="1"/>
  <c r="I1" i="45" s="1"/>
  <c r="J1" i="45" s="1"/>
  <c r="K1" i="45" s="1"/>
  <c r="F52" i="32" a="1"/>
  <c r="F52" i="32" s="1"/>
  <c r="L46" i="7"/>
  <c r="P23" i="32" s="1" a="1"/>
  <c r="P23" i="32" s="1"/>
  <c r="C46" i="7"/>
  <c r="P27" i="7" a="1"/>
  <c r="P27" i="7" s="1"/>
  <c r="K27" i="7"/>
  <c r="L27" i="7" s="1"/>
  <c r="M27" i="7" s="1"/>
  <c r="C27" i="7"/>
  <c r="G26" i="7"/>
  <c r="H26" i="7" s="1" a="1"/>
  <c r="H26" i="7" s="1"/>
  <c r="H25" i="7" a="1"/>
  <c r="H25" i="7" s="1"/>
  <c r="G24" i="7"/>
  <c r="H24" i="7" s="1" a="1"/>
  <c r="H24" i="7" s="1"/>
  <c r="G23" i="7"/>
  <c r="H23" i="7" s="1" a="1"/>
  <c r="H23" i="7" s="1"/>
  <c r="G22" i="7"/>
  <c r="H22" i="7" s="1" a="1"/>
  <c r="H22" i="7" s="1"/>
  <c r="G21" i="7"/>
  <c r="H21" i="7" s="1" a="1"/>
  <c r="H21" i="7" s="1"/>
  <c r="G20" i="7"/>
  <c r="H20" i="7" s="1" a="1"/>
  <c r="H20" i="7" s="1"/>
  <c r="G19" i="7"/>
  <c r="H19" i="7" s="1" a="1"/>
  <c r="H19" i="7" s="1"/>
  <c r="G18" i="7"/>
  <c r="H18" i="7" s="1" a="1"/>
  <c r="H18" i="7" s="1"/>
  <c r="G17" i="7"/>
  <c r="H17" i="7" s="1" a="1"/>
  <c r="H17" i="7" s="1"/>
  <c r="G16" i="7"/>
  <c r="H16" i="7" s="1" a="1"/>
  <c r="H16" i="7" s="1"/>
  <c r="G15" i="7"/>
  <c r="H15" i="7" s="1" a="1"/>
  <c r="H15" i="7" s="1"/>
  <c r="H14" i="7" a="1"/>
  <c r="H14" i="7" s="1"/>
  <c r="C1" i="7"/>
  <c r="D1" i="7" s="1"/>
  <c r="E1" i="7" s="1"/>
  <c r="F1" i="7" s="1"/>
  <c r="G1" i="7" s="1"/>
  <c r="H1" i="7" s="1"/>
  <c r="I1" i="7" s="1"/>
  <c r="J1" i="7" s="1"/>
  <c r="K1" i="7" s="1"/>
  <c r="L1" i="7" s="1"/>
  <c r="M1" i="7" s="1"/>
  <c r="M3" i="39"/>
  <c r="N3" i="39" s="1"/>
  <c r="B3" i="39"/>
  <c r="V18" i="35" a="1"/>
  <c r="V18" i="35" s="1"/>
  <c r="Q18" i="35"/>
  <c r="R18" i="35" s="1"/>
  <c r="D18" i="35"/>
  <c r="C18" i="35"/>
  <c r="D1" i="35"/>
  <c r="E1" i="35" s="1"/>
  <c r="F1" i="35" s="1"/>
  <c r="G1" i="35" s="1"/>
  <c r="H1" i="35" s="1"/>
  <c r="I1" i="35" s="1"/>
  <c r="J1" i="35" s="1"/>
  <c r="K1" i="35" s="1"/>
  <c r="L1" i="35" s="1"/>
  <c r="M1" i="35" s="1"/>
  <c r="P1" i="35" s="1"/>
  <c r="Q1" i="35" s="1"/>
  <c r="T1" i="35" s="1"/>
  <c r="Y46" i="13"/>
  <c r="W46" i="13"/>
  <c r="N46" i="13"/>
  <c r="Y44" i="13"/>
  <c r="W44" i="13"/>
  <c r="N44" i="13"/>
  <c r="U43" i="13"/>
  <c r="Y43" i="13" s="1"/>
  <c r="Q43" i="13"/>
  <c r="O43" i="13"/>
  <c r="N42" i="13"/>
  <c r="O42" i="13" s="1"/>
  <c r="P42" i="13" s="1"/>
  <c r="Q42" i="13" s="1"/>
  <c r="R42" i="13" s="1"/>
  <c r="S42" i="13" s="1"/>
  <c r="T42" i="13" s="1"/>
  <c r="U42" i="13" s="1"/>
  <c r="V42" i="13" s="1"/>
  <c r="W42" i="13" s="1"/>
  <c r="X42" i="13" s="1"/>
  <c r="Y42" i="13" s="1"/>
  <c r="H39" i="13"/>
  <c r="T35" i="81"/>
  <c r="J29" i="13" a="1"/>
  <c r="J29" i="13" s="1"/>
  <c r="I29" i="13"/>
  <c r="W32" i="81" s="1"/>
  <c r="H29" i="13" a="1"/>
  <c r="H29" i="13" s="1"/>
  <c r="F29" i="13" a="1"/>
  <c r="F29" i="13" s="1"/>
  <c r="E29" i="13"/>
  <c r="S32" i="81" s="1"/>
  <c r="B29" i="13"/>
  <c r="J28" i="13" a="1"/>
  <c r="J28" i="13" s="1"/>
  <c r="I28" i="13"/>
  <c r="W31" i="81" s="1"/>
  <c r="H28" i="13" a="1"/>
  <c r="H28" i="13" s="1"/>
  <c r="F28" i="13" a="1"/>
  <c r="F28" i="13" s="1"/>
  <c r="E28" i="13"/>
  <c r="S31" i="81" s="1"/>
  <c r="B28" i="13"/>
  <c r="J27" i="13" a="1"/>
  <c r="J27" i="13" s="1"/>
  <c r="I27" i="13"/>
  <c r="W30" i="81" s="1"/>
  <c r="H27" i="13" a="1"/>
  <c r="H27" i="13" s="1"/>
  <c r="F27" i="13" a="1"/>
  <c r="F27" i="13" s="1"/>
  <c r="E27" i="13"/>
  <c r="S30" i="81" s="1"/>
  <c r="B27" i="13"/>
  <c r="J26" i="13" a="1"/>
  <c r="J26" i="13" s="1"/>
  <c r="I26" i="13"/>
  <c r="W29" i="81" s="1"/>
  <c r="H26" i="13" a="1"/>
  <c r="H26" i="13" s="1"/>
  <c r="F26" i="13" a="1"/>
  <c r="F26" i="13" s="1"/>
  <c r="E26" i="13"/>
  <c r="S29" i="81" s="1"/>
  <c r="B26" i="13"/>
  <c r="J25" i="13" a="1"/>
  <c r="J25" i="13" s="1"/>
  <c r="I25" i="13"/>
  <c r="W28" i="81" s="1"/>
  <c r="H25" i="13" a="1"/>
  <c r="H25" i="13" s="1"/>
  <c r="F25" i="13" a="1"/>
  <c r="F25" i="13" s="1"/>
  <c r="E25" i="13"/>
  <c r="S28" i="81" s="1"/>
  <c r="B25" i="13"/>
  <c r="J24" i="13" a="1"/>
  <c r="J24" i="13" s="1"/>
  <c r="I24" i="13"/>
  <c r="W27" i="81" s="1"/>
  <c r="H24" i="13" a="1"/>
  <c r="H24" i="13" s="1"/>
  <c r="F24" i="13" a="1"/>
  <c r="F24" i="13" s="1"/>
  <c r="E24" i="13"/>
  <c r="S27" i="81" s="1"/>
  <c r="B24" i="13"/>
  <c r="J23" i="13" a="1"/>
  <c r="J23" i="13" s="1"/>
  <c r="I23" i="13"/>
  <c r="W26" i="81" s="1"/>
  <c r="H23" i="13" a="1"/>
  <c r="H23" i="13" s="1"/>
  <c r="F23" i="13" a="1"/>
  <c r="F23" i="13" s="1"/>
  <c r="E23" i="13"/>
  <c r="S26" i="81" s="1"/>
  <c r="B23" i="13"/>
  <c r="J22" i="13" a="1"/>
  <c r="J22" i="13" s="1"/>
  <c r="I22" i="13"/>
  <c r="W25" i="81" s="1"/>
  <c r="H22" i="13" a="1"/>
  <c r="H22" i="13" s="1"/>
  <c r="F22" i="13" a="1"/>
  <c r="F22" i="13" s="1"/>
  <c r="E22" i="13"/>
  <c r="S25" i="81" s="1"/>
  <c r="B22" i="13"/>
  <c r="J21" i="13" a="1"/>
  <c r="J21" i="13" s="1"/>
  <c r="I21" i="13"/>
  <c r="W24" i="81" s="1"/>
  <c r="H21" i="13" a="1"/>
  <c r="H21" i="13" s="1"/>
  <c r="F21" i="13" a="1"/>
  <c r="F21" i="13" s="1"/>
  <c r="E21" i="13"/>
  <c r="S24" i="81" s="1"/>
  <c r="B21" i="13"/>
  <c r="J20" i="13" a="1"/>
  <c r="J20" i="13" s="1"/>
  <c r="I20" i="13"/>
  <c r="W23" i="81" s="1"/>
  <c r="H20" i="13" a="1"/>
  <c r="H20" i="13" s="1"/>
  <c r="F20" i="13" a="1"/>
  <c r="F20" i="13" s="1"/>
  <c r="E20" i="13"/>
  <c r="S23" i="81" s="1"/>
  <c r="B20" i="13"/>
  <c r="J19" i="13" a="1"/>
  <c r="J19" i="13" s="1"/>
  <c r="I19" i="13"/>
  <c r="W22" i="81" s="1"/>
  <c r="H19" i="13" a="1"/>
  <c r="H19" i="13" s="1"/>
  <c r="F19" i="13" a="1"/>
  <c r="F19" i="13" s="1"/>
  <c r="E19" i="13"/>
  <c r="S22" i="81" s="1"/>
  <c r="B19" i="13"/>
  <c r="J18" i="13" a="1"/>
  <c r="J18" i="13" s="1"/>
  <c r="I18" i="13"/>
  <c r="W21" i="81" s="1"/>
  <c r="H18" i="13" a="1"/>
  <c r="H18" i="13" s="1"/>
  <c r="F18" i="13" a="1"/>
  <c r="F18" i="13" s="1"/>
  <c r="E18" i="13"/>
  <c r="S21" i="81" s="1"/>
  <c r="B18" i="13"/>
  <c r="L17" i="13" a="1"/>
  <c r="L17" i="13" s="1"/>
  <c r="L16" i="13" a="1"/>
  <c r="L16" i="13" s="1"/>
  <c r="F14" i="13"/>
  <c r="T19" i="81" s="1"/>
  <c r="F13" i="13"/>
  <c r="T18" i="81" s="1"/>
  <c r="F12" i="13"/>
  <c r="T17" i="81" s="1"/>
  <c r="B8" i="13"/>
  <c r="H7" i="13"/>
  <c r="E7" i="13"/>
  <c r="D7" i="13"/>
  <c r="B7" i="13"/>
  <c r="E6" i="13"/>
  <c r="D6" i="13"/>
  <c r="B6" i="13"/>
  <c r="S15" i="81" s="1"/>
  <c r="E5" i="13"/>
  <c r="D5" i="13"/>
  <c r="B5" i="13"/>
  <c r="H4" i="13"/>
  <c r="E4" i="13"/>
  <c r="D4" i="13"/>
  <c r="B4" i="13"/>
  <c r="S14" i="81" s="1"/>
  <c r="B1" i="13"/>
  <c r="AP46" i="6" a="1"/>
  <c r="AP46" i="6" s="1"/>
  <c r="U46" i="6"/>
  <c r="AF45" i="6"/>
  <c r="AC45" i="6" a="1"/>
  <c r="AC45" i="6" s="1"/>
  <c r="AA45" i="6"/>
  <c r="Z45" i="6"/>
  <c r="Y45" i="6"/>
  <c r="V45" i="6"/>
  <c r="U44" i="6"/>
  <c r="V44" i="6" s="1"/>
  <c r="Y44" i="6" s="1"/>
  <c r="Z44" i="6" s="1"/>
  <c r="O40" i="6"/>
  <c r="L33" i="6"/>
  <c r="K33" i="6"/>
  <c r="J33" i="6"/>
  <c r="I33" i="6"/>
  <c r="P30" i="6" a="1"/>
  <c r="P30" i="6" s="1"/>
  <c r="N34" i="81" s="1"/>
  <c r="R28" i="6"/>
  <c r="Q28" i="6"/>
  <c r="P28" i="6"/>
  <c r="Q32" i="81" s="1"/>
  <c r="O28" i="6"/>
  <c r="L28" i="6"/>
  <c r="K28" i="6"/>
  <c r="J28" i="6"/>
  <c r="I28" i="6"/>
  <c r="F28" i="6"/>
  <c r="D28" i="6"/>
  <c r="M32" i="81" s="1"/>
  <c r="B28" i="6"/>
  <c r="R27" i="6"/>
  <c r="Q27" i="6"/>
  <c r="P27" i="6"/>
  <c r="Q31" i="81" s="1"/>
  <c r="O27" i="6"/>
  <c r="L27" i="6"/>
  <c r="K27" i="6"/>
  <c r="J27" i="6"/>
  <c r="I27" i="6"/>
  <c r="F27" i="6"/>
  <c r="D27" i="6"/>
  <c r="M31" i="81" s="1"/>
  <c r="B27" i="6"/>
  <c r="R26" i="6"/>
  <c r="Q26" i="6"/>
  <c r="O26" i="6"/>
  <c r="L26" i="6"/>
  <c r="K26" i="6"/>
  <c r="J26" i="6"/>
  <c r="I26" i="6"/>
  <c r="F26" i="6"/>
  <c r="D26" i="6"/>
  <c r="M30" i="81" s="1"/>
  <c r="B26" i="6"/>
  <c r="R25" i="6"/>
  <c r="Q25" i="6"/>
  <c r="P25" i="6"/>
  <c r="Q29" i="81" s="1"/>
  <c r="O25" i="6"/>
  <c r="L25" i="6"/>
  <c r="K25" i="6"/>
  <c r="J25" i="6"/>
  <c r="I25" i="6"/>
  <c r="F25" i="6"/>
  <c r="D25" i="6"/>
  <c r="M29" i="81" s="1"/>
  <c r="B25" i="6"/>
  <c r="R24" i="6"/>
  <c r="Q24" i="6"/>
  <c r="P24" i="6"/>
  <c r="Q28" i="81" s="1"/>
  <c r="O24" i="6"/>
  <c r="L24" i="6"/>
  <c r="K24" i="6"/>
  <c r="J24" i="6"/>
  <c r="I24" i="6"/>
  <c r="F24" i="6"/>
  <c r="D24" i="6"/>
  <c r="M28" i="81" s="1"/>
  <c r="B24" i="6"/>
  <c r="R23" i="6"/>
  <c r="Q23" i="6"/>
  <c r="P23" i="6"/>
  <c r="Q27" i="81" s="1"/>
  <c r="O23" i="6"/>
  <c r="L23" i="6"/>
  <c r="K23" i="6"/>
  <c r="J23" i="6"/>
  <c r="I23" i="6"/>
  <c r="F23" i="6"/>
  <c r="D23" i="6"/>
  <c r="M27" i="81" s="1"/>
  <c r="B23" i="6"/>
  <c r="R22" i="6"/>
  <c r="Q22" i="6"/>
  <c r="P22" i="6"/>
  <c r="Q26" i="81" s="1"/>
  <c r="O22" i="6"/>
  <c r="L22" i="6"/>
  <c r="K22" i="6"/>
  <c r="J22" i="6"/>
  <c r="I22" i="6"/>
  <c r="F22" i="6"/>
  <c r="D22" i="6"/>
  <c r="M26" i="81" s="1"/>
  <c r="B22" i="6"/>
  <c r="R21" i="6"/>
  <c r="Q21" i="6"/>
  <c r="P21" i="6"/>
  <c r="Q25" i="81" s="1"/>
  <c r="O21" i="6"/>
  <c r="L21" i="6"/>
  <c r="K21" i="6"/>
  <c r="J21" i="6"/>
  <c r="I21" i="6"/>
  <c r="F21" i="6"/>
  <c r="D21" i="6"/>
  <c r="M25" i="81" s="1"/>
  <c r="B21" i="6"/>
  <c r="R20" i="6"/>
  <c r="Q20" i="6"/>
  <c r="P20" i="6"/>
  <c r="Q24" i="81" s="1"/>
  <c r="O20" i="6"/>
  <c r="L20" i="6"/>
  <c r="K20" i="6"/>
  <c r="J20" i="6"/>
  <c r="I20" i="6"/>
  <c r="F20" i="6"/>
  <c r="D20" i="6"/>
  <c r="M24" i="81" s="1"/>
  <c r="B20" i="6"/>
  <c r="R19" i="6"/>
  <c r="Q19" i="6"/>
  <c r="P19" i="6"/>
  <c r="Q23" i="81" s="1"/>
  <c r="O19" i="6"/>
  <c r="L19" i="6"/>
  <c r="K19" i="6"/>
  <c r="J19" i="6"/>
  <c r="I19" i="6"/>
  <c r="F19" i="6"/>
  <c r="D19" i="6"/>
  <c r="M23" i="81" s="1"/>
  <c r="B19" i="6"/>
  <c r="R18" i="6"/>
  <c r="Q18" i="6"/>
  <c r="P18" i="6"/>
  <c r="Q22" i="81" s="1"/>
  <c r="O18" i="6"/>
  <c r="L18" i="6"/>
  <c r="K18" i="6"/>
  <c r="J18" i="6"/>
  <c r="I18" i="6"/>
  <c r="F18" i="6"/>
  <c r="D18" i="6"/>
  <c r="M22" i="81" s="1"/>
  <c r="B18" i="6"/>
  <c r="R17" i="6"/>
  <c r="Q17" i="6"/>
  <c r="P17" i="6"/>
  <c r="Q21" i="81" s="1"/>
  <c r="O17" i="6"/>
  <c r="L17" i="6"/>
  <c r="K17" i="6"/>
  <c r="J17" i="6"/>
  <c r="I17" i="6"/>
  <c r="F17" i="6"/>
  <c r="D17" i="6"/>
  <c r="M21" i="81" s="1"/>
  <c r="B17" i="6"/>
  <c r="E13" i="6"/>
  <c r="N19" i="81" s="1"/>
  <c r="E12" i="6"/>
  <c r="N18" i="81" s="1"/>
  <c r="E11" i="6"/>
  <c r="N17" i="81" s="1"/>
  <c r="B8" i="6"/>
  <c r="B7" i="6"/>
  <c r="D6" i="6"/>
  <c r="C6" i="6"/>
  <c r="B6" i="6"/>
  <c r="M15" i="81" s="1"/>
  <c r="D5" i="6"/>
  <c r="C5" i="6"/>
  <c r="B5" i="6"/>
  <c r="P4" i="6"/>
  <c r="D4" i="6"/>
  <c r="C4" i="6"/>
  <c r="B4" i="6"/>
  <c r="M14" i="81" s="1"/>
  <c r="B1" i="6"/>
  <c r="M13" i="81" s="1"/>
  <c r="M44" i="10"/>
  <c r="T43" i="10"/>
  <c r="S43" i="10"/>
  <c r="P43" i="10"/>
  <c r="O43" i="10"/>
  <c r="N43" i="10"/>
  <c r="M42" i="10"/>
  <c r="N42" i="10" s="1"/>
  <c r="O42" i="10" s="1"/>
  <c r="P42" i="10" s="1"/>
  <c r="Q42" i="10" s="1"/>
  <c r="R42" i="10" s="1"/>
  <c r="S42" i="10" s="1"/>
  <c r="T42" i="10" s="1"/>
  <c r="U42" i="10" s="1"/>
  <c r="V42" i="10" s="1"/>
  <c r="W42" i="10" s="1"/>
  <c r="G38" i="10"/>
  <c r="J18" i="10"/>
  <c r="I18" i="10"/>
  <c r="H18" i="10"/>
  <c r="E18" i="10"/>
  <c r="F14" i="10"/>
  <c r="F13" i="10"/>
  <c r="F12" i="10"/>
  <c r="B7" i="10"/>
  <c r="G6" i="10"/>
  <c r="E6" i="10"/>
  <c r="C6" i="10"/>
  <c r="B6" i="10"/>
  <c r="E5" i="10"/>
  <c r="C5" i="10"/>
  <c r="B5" i="10"/>
  <c r="G4" i="10"/>
  <c r="M43" i="10" s="1"/>
  <c r="E4" i="10"/>
  <c r="C4" i="10"/>
  <c r="B4" i="10"/>
  <c r="B1" i="10"/>
  <c r="G36" i="10" s="1"/>
  <c r="AM81" i="29"/>
  <c r="AA81" i="29"/>
  <c r="AD81" i="29" s="1"/>
  <c r="AM3" i="29"/>
  <c r="AA3" i="29"/>
  <c r="AD3" i="29" s="1"/>
  <c r="W3" i="29"/>
  <c r="B13" i="54"/>
  <c r="B4" i="65"/>
  <c r="D5" i="53"/>
  <c r="B5" i="53" a="1"/>
  <c r="B5" i="53" s="1"/>
  <c r="C5" i="53" s="1"/>
  <c r="W3" i="53" a="1"/>
  <c r="W3" i="53" s="1"/>
  <c r="P3" i="53" a="1"/>
  <c r="P3" i="53" s="1"/>
  <c r="D3" i="53"/>
  <c r="C3" i="53"/>
  <c r="R11" i="61"/>
  <c r="R10" i="61"/>
  <c r="R9" i="61"/>
  <c r="R8" i="61"/>
  <c r="H8" i="61"/>
  <c r="H5" i="61" s="1"/>
  <c r="R7" i="61"/>
  <c r="R6" i="61"/>
  <c r="S5" i="61" a="1"/>
  <c r="S5" i="61" s="1"/>
  <c r="R5" i="61"/>
  <c r="G5" i="61"/>
  <c r="F5" i="61"/>
  <c r="S3" i="61" a="1"/>
  <c r="S3" i="61" s="1"/>
  <c r="R3" i="61"/>
  <c r="AC2" i="61"/>
  <c r="AD1" i="61"/>
  <c r="BF22" i="34" a="1"/>
  <c r="BF22" i="34" s="1"/>
  <c r="BH22" i="34" s="1"/>
  <c r="AU22" i="34"/>
  <c r="V1" i="60" a="1"/>
  <c r="V1" i="60" s="1"/>
  <c r="V2" i="60" s="1" a="1"/>
  <c r="V2" i="60" s="1"/>
  <c r="V22" i="60" s="1" a="1"/>
  <c r="V22" i="60" s="1"/>
  <c r="W22" i="60" s="1"/>
  <c r="AP22" i="59"/>
  <c r="O3" i="58"/>
  <c r="AG28" i="49"/>
  <c r="V21" i="49" a="1"/>
  <c r="V21" i="49" s="1"/>
  <c r="I5" i="52"/>
  <c r="F113" i="32" a="1"/>
  <c r="F113" i="32" s="1"/>
  <c r="E113" i="32" a="1"/>
  <c r="E113" i="32" s="1"/>
  <c r="D112" i="32"/>
  <c r="D111" i="32" s="1"/>
  <c r="P100" i="32"/>
  <c r="E100" i="32"/>
  <c r="P99" i="32"/>
  <c r="E99" i="32"/>
  <c r="D87" i="32"/>
  <c r="D82" i="32"/>
  <c r="D76" i="32"/>
  <c r="F69" i="32" a="1"/>
  <c r="F69" i="32" s="1"/>
  <c r="E69" i="32" a="1"/>
  <c r="E69" i="32" s="1"/>
  <c r="F68" i="32" a="1"/>
  <c r="F68" i="32" s="1"/>
  <c r="E68" i="32" a="1"/>
  <c r="E68" i="32" s="1"/>
  <c r="F67" i="32" a="1"/>
  <c r="F67" i="32" s="1"/>
  <c r="E67" i="32" a="1"/>
  <c r="E67" i="32" s="1"/>
  <c r="F66" i="32" a="1"/>
  <c r="F66" i="32" s="1"/>
  <c r="E66" i="32" a="1"/>
  <c r="E66" i="32" s="1"/>
  <c r="F64" i="32" a="1"/>
  <c r="F64" i="32" s="1"/>
  <c r="E64" i="32" a="1"/>
  <c r="E64" i="32" s="1"/>
  <c r="F63" i="32" a="1"/>
  <c r="F63" i="32" s="1"/>
  <c r="E63" i="32" a="1"/>
  <c r="E63" i="32" s="1"/>
  <c r="F62" i="32" a="1"/>
  <c r="F62" i="32" s="1"/>
  <c r="E62" i="32" a="1"/>
  <c r="E62" i="32" s="1"/>
  <c r="F61" i="32" a="1"/>
  <c r="F61" i="32" s="1"/>
  <c r="E61" i="32" a="1"/>
  <c r="E61" i="32" s="1"/>
  <c r="F59" i="32" a="1"/>
  <c r="F59" i="32" s="1"/>
  <c r="E59" i="32" a="1"/>
  <c r="E59" i="32" s="1"/>
  <c r="F58" i="32" a="1"/>
  <c r="F58" i="32" s="1"/>
  <c r="E58" i="32" a="1"/>
  <c r="E58" i="32" s="1"/>
  <c r="E35" i="32" a="1"/>
  <c r="E35" i="32" s="1"/>
  <c r="E34" i="32" a="1"/>
  <c r="E34" i="32" s="1"/>
  <c r="E32" i="32" a="1"/>
  <c r="E32" i="32" s="1"/>
  <c r="E27" i="32" a="1"/>
  <c r="E27" i="32" s="1"/>
  <c r="E25" i="32" a="1"/>
  <c r="E25" i="32" s="1"/>
  <c r="E24" i="32" a="1"/>
  <c r="E24" i="32" s="1"/>
  <c r="F21" i="32" a="1"/>
  <c r="F21" i="32" s="1"/>
  <c r="E21" i="32" a="1"/>
  <c r="E21" i="32" s="1"/>
  <c r="E15" i="32" a="1"/>
  <c r="E15" i="32" s="1"/>
  <c r="E13" i="32" a="1"/>
  <c r="E13" i="32" s="1"/>
  <c r="F4" i="32"/>
  <c r="E4" i="32"/>
  <c r="A4" i="32"/>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C49" i="68" a="1"/>
  <c r="C49" i="68" s="1"/>
  <c r="C45" i="68" a="1"/>
  <c r="C45" i="68" s="1"/>
  <c r="C44" i="68" a="1"/>
  <c r="C44" i="68" s="1"/>
  <c r="P2" i="68"/>
  <c r="O2" i="68"/>
  <c r="N2" i="68"/>
  <c r="M2" i="68"/>
  <c r="L2" i="68"/>
  <c r="K2" i="68"/>
  <c r="J2" i="68"/>
  <c r="I2" i="68"/>
  <c r="H2" i="68"/>
  <c r="G2" i="68"/>
  <c r="F2" i="68"/>
  <c r="E2" i="68"/>
  <c r="D2" i="68"/>
  <c r="C121" i="40" a="1"/>
  <c r="C121" i="40" s="1"/>
  <c r="C115" i="40" a="1"/>
  <c r="C115" i="40" s="1"/>
  <c r="C116" i="40" s="1"/>
  <c r="O77" i="40"/>
  <c r="O78" i="40" s="1"/>
  <c r="O14" i="40" s="1"/>
  <c r="N77" i="40"/>
  <c r="N78" i="40" s="1"/>
  <c r="N14" i="40" s="1"/>
  <c r="M77" i="40"/>
  <c r="M78" i="40" s="1"/>
  <c r="M14" i="40" s="1"/>
  <c r="L77" i="40"/>
  <c r="L78" i="40" s="1"/>
  <c r="L14" i="40" s="1"/>
  <c r="K77" i="40"/>
  <c r="K78" i="40" s="1"/>
  <c r="K14" i="40" s="1"/>
  <c r="J77" i="40"/>
  <c r="J78" i="40" s="1"/>
  <c r="J14" i="40" s="1"/>
  <c r="I77" i="40"/>
  <c r="I78" i="40" s="1"/>
  <c r="I14" i="40" s="1"/>
  <c r="H77" i="40"/>
  <c r="H78" i="40" s="1"/>
  <c r="H14" i="40" s="1"/>
  <c r="G77" i="40"/>
  <c r="G78" i="40" s="1"/>
  <c r="G14" i="40" s="1"/>
  <c r="F77" i="40"/>
  <c r="F78" i="40" s="1"/>
  <c r="F14" i="40" s="1"/>
  <c r="E77" i="40"/>
  <c r="E78" i="40" s="1"/>
  <c r="E14" i="40" s="1"/>
  <c r="O63" i="40"/>
  <c r="N63" i="40"/>
  <c r="M63" i="40"/>
  <c r="L63" i="40"/>
  <c r="K63" i="40"/>
  <c r="J63" i="40"/>
  <c r="I63" i="40"/>
  <c r="H63" i="40"/>
  <c r="G63" i="40"/>
  <c r="F63" i="40"/>
  <c r="E63" i="40"/>
  <c r="O55" i="40"/>
  <c r="O7" i="40" s="1"/>
  <c r="N55" i="40"/>
  <c r="N7" i="40" s="1"/>
  <c r="M55" i="40"/>
  <c r="M7" i="40" s="1"/>
  <c r="L55" i="40"/>
  <c r="L7" i="40" s="1"/>
  <c r="K55" i="40"/>
  <c r="K7" i="40" s="1"/>
  <c r="J55" i="40"/>
  <c r="J7" i="40" s="1"/>
  <c r="I55" i="40"/>
  <c r="I7" i="40" s="1"/>
  <c r="H55" i="40"/>
  <c r="H7" i="40" s="1"/>
  <c r="G55" i="40"/>
  <c r="G7" i="40" s="1"/>
  <c r="F55" i="40"/>
  <c r="F7" i="40" s="1"/>
  <c r="E55" i="40"/>
  <c r="E7" i="40" s="1"/>
  <c r="C45" i="40"/>
  <c r="C44" i="40"/>
  <c r="C43" i="40"/>
  <c r="C40" i="40"/>
  <c r="C39" i="40"/>
  <c r="C31" i="40"/>
  <c r="O2" i="40"/>
  <c r="N2" i="40"/>
  <c r="M2" i="40"/>
  <c r="L2" i="40"/>
  <c r="K2" i="40"/>
  <c r="J2" i="40"/>
  <c r="I2" i="40"/>
  <c r="H2" i="40"/>
  <c r="G2" i="40"/>
  <c r="F2" i="40"/>
  <c r="E2" i="40"/>
  <c r="D2" i="40"/>
  <c r="E1" i="40"/>
  <c r="CX33" i="71"/>
  <c r="CU11" i="71" a="1"/>
  <c r="CU11" i="71" s="1"/>
  <c r="B6" i="71"/>
  <c r="Q9" i="6" a="1"/>
  <c r="I9" i="13" a="1"/>
  <c r="L6" i="71" l="1" a="1"/>
  <c r="L6" i="71" s="1"/>
  <c r="H6" i="71" a="1"/>
  <c r="H6" i="71" s="1"/>
  <c r="C129" i="40" a="1"/>
  <c r="C129" i="40" s="1"/>
  <c r="H29" i="47" a="1"/>
  <c r="H29" i="47" s="1"/>
  <c r="H28" i="47" a="1"/>
  <c r="H28" i="47" s="1"/>
  <c r="H30" i="47" a="1"/>
  <c r="H30" i="47" s="1"/>
  <c r="E30" i="47" a="1"/>
  <c r="E30" i="47" s="1"/>
  <c r="E28" i="47" a="1"/>
  <c r="E28" i="47" s="1"/>
  <c r="E29" i="47" a="1"/>
  <c r="E29" i="47" s="1"/>
  <c r="F30" i="47" a="1"/>
  <c r="F30" i="47" s="1"/>
  <c r="F28" i="47" a="1"/>
  <c r="F28" i="47" s="1"/>
  <c r="F29" i="47" a="1"/>
  <c r="F29" i="47" s="1"/>
  <c r="G30" i="47" a="1"/>
  <c r="G30" i="47" s="1"/>
  <c r="G29" i="47" a="1"/>
  <c r="G29" i="47" s="1"/>
  <c r="G28" i="47" a="1"/>
  <c r="G28" i="47" s="1"/>
  <c r="AC21" i="49" a="1"/>
  <c r="AC21" i="49" s="1"/>
  <c r="F4" i="65" a="1"/>
  <c r="F4" i="65" s="1"/>
  <c r="H24" i="46" a="1"/>
  <c r="H24" i="46" s="1"/>
  <c r="H26" i="46" a="1"/>
  <c r="H26" i="46" s="1"/>
  <c r="H25" i="46" a="1"/>
  <c r="H25" i="46" s="1"/>
  <c r="H52" i="68"/>
  <c r="H9" i="68" a="1"/>
  <c r="H9" i="68" s="1"/>
  <c r="I52" i="68"/>
  <c r="I9" i="68" a="1"/>
  <c r="I9" i="68" s="1"/>
  <c r="E115" i="32" a="1"/>
  <c r="E115" i="32" s="1"/>
  <c r="G52" i="68"/>
  <c r="G9" i="68" a="1"/>
  <c r="G9" i="68" s="1"/>
  <c r="J52" i="68"/>
  <c r="J9" i="68" a="1"/>
  <c r="J9" i="68" s="1"/>
  <c r="N52" i="68"/>
  <c r="N9" i="68" a="1"/>
  <c r="N9" i="68" s="1"/>
  <c r="K52" i="68"/>
  <c r="K9" i="68" a="1"/>
  <c r="K9" i="68" s="1"/>
  <c r="O52" i="68"/>
  <c r="O9" i="68" a="1"/>
  <c r="O9" i="68" s="1"/>
  <c r="L52" i="68"/>
  <c r="L9" i="68" a="1"/>
  <c r="L9" i="68" s="1"/>
  <c r="M52" i="68"/>
  <c r="M9" i="68" a="1"/>
  <c r="M9" i="68" s="1"/>
  <c r="D52" i="68"/>
  <c r="D9" i="68" a="1"/>
  <c r="D9" i="68" s="1"/>
  <c r="E52" i="68"/>
  <c r="E9" i="68" a="1"/>
  <c r="E9" i="68" s="1"/>
  <c r="F52" i="68"/>
  <c r="F9" i="68" a="1"/>
  <c r="F9" i="68" s="1"/>
  <c r="I13" i="68" a="1"/>
  <c r="I13" i="68" s="1"/>
  <c r="M13" i="68" a="1"/>
  <c r="M13" i="68" s="1"/>
  <c r="H13" i="68" a="1"/>
  <c r="H13" i="68" s="1"/>
  <c r="C87" i="40" a="1"/>
  <c r="C87" i="40" s="1"/>
  <c r="C88" i="40" s="1"/>
  <c r="G13" i="68" a="1"/>
  <c r="G13" i="68" s="1"/>
  <c r="F13" i="68" a="1"/>
  <c r="F13" i="68" s="1"/>
  <c r="F12" i="32" a="1"/>
  <c r="F12" i="32" s="1"/>
  <c r="E13" i="68" a="1"/>
  <c r="E13" i="68" s="1"/>
  <c r="P12" i="32" a="1"/>
  <c r="P12" i="32" s="1"/>
  <c r="N13" i="68" a="1"/>
  <c r="N13" i="68" s="1"/>
  <c r="O12" i="32" a="1"/>
  <c r="O12" i="32" s="1"/>
  <c r="D13" i="68" a="1"/>
  <c r="D13" i="68" s="1"/>
  <c r="O13" i="68" a="1"/>
  <c r="O13" i="68" s="1"/>
  <c r="V13" i="68" a="1"/>
  <c r="V13" i="68" s="1"/>
  <c r="K13" i="68" a="1"/>
  <c r="K13" i="68" s="1"/>
  <c r="P31" i="32" a="1"/>
  <c r="P31" i="32" s="1"/>
  <c r="L13" i="68" a="1"/>
  <c r="L13" i="68" s="1"/>
  <c r="J13" i="68" a="1"/>
  <c r="J13" i="68" s="1"/>
  <c r="C92" i="40" a="1"/>
  <c r="C92" i="40" s="1"/>
  <c r="C94" i="40" s="1"/>
  <c r="O31" i="32" a="1"/>
  <c r="O31" i="32" s="1"/>
  <c r="F31" i="32" a="1"/>
  <c r="F31" i="32" s="1"/>
  <c r="C93" i="40" a="1"/>
  <c r="C93" i="40" s="1"/>
  <c r="C146" i="40" a="1"/>
  <c r="C146" i="40" s="1"/>
  <c r="C148" i="40" s="1"/>
  <c r="C147" i="40" a="1"/>
  <c r="C147" i="40" s="1"/>
  <c r="C139" i="40" a="1"/>
  <c r="C139" i="40" s="1"/>
  <c r="C142" i="40" s="1"/>
  <c r="C140" i="40" a="1"/>
  <c r="C140" i="40" s="1"/>
  <c r="C141" i="40" a="1"/>
  <c r="C141" i="40" s="1"/>
  <c r="AD4" i="61"/>
  <c r="AD5" i="61"/>
  <c r="AI17" i="29"/>
  <c r="AI22" i="29"/>
  <c r="AI6" i="29"/>
  <c r="AI16" i="29"/>
  <c r="AI23" i="29"/>
  <c r="AI18" i="29"/>
  <c r="AA56" i="29"/>
  <c r="AA22" i="29"/>
  <c r="AA6" i="29"/>
  <c r="AA16" i="29"/>
  <c r="AA30" i="29"/>
  <c r="AA47" i="29"/>
  <c r="AA31" i="29"/>
  <c r="AA42" i="29"/>
  <c r="AA50" i="29"/>
  <c r="AA23" i="29"/>
  <c r="AA18" i="29"/>
  <c r="AA24" i="29"/>
  <c r="AA55" i="29"/>
  <c r="AA44" i="6"/>
  <c r="AI50" i="29"/>
  <c r="AI43" i="29"/>
  <c r="AI33" i="29"/>
  <c r="AI42" i="29"/>
  <c r="AI27" i="29"/>
  <c r="AI30" i="29"/>
  <c r="AI47" i="29"/>
  <c r="AI64" i="29"/>
  <c r="AI61" i="29"/>
  <c r="AI31" i="29"/>
  <c r="AI63" i="29"/>
  <c r="AI44" i="29"/>
  <c r="AI58" i="29"/>
  <c r="AI48" i="29"/>
  <c r="AI70" i="29"/>
  <c r="AI55" i="29"/>
  <c r="AI24" i="29"/>
  <c r="AI56" i="29"/>
  <c r="AI39" i="29"/>
  <c r="J24" i="58"/>
  <c r="J25" i="58"/>
  <c r="AZ31" i="34"/>
  <c r="AZ35" i="34"/>
  <c r="AZ36" i="34"/>
  <c r="AZ25" i="34"/>
  <c r="AZ26" i="34"/>
  <c r="AZ30" i="34"/>
  <c r="BO29" i="34" a="1"/>
  <c r="BO29" i="34" s="1"/>
  <c r="BN29" i="34" s="1"/>
  <c r="BO34" i="34" a="1"/>
  <c r="BO34" i="34" s="1"/>
  <c r="BN34" i="34" s="1"/>
  <c r="BO24" i="34" a="1"/>
  <c r="BO24" i="34" s="1"/>
  <c r="BN24" i="34" s="1"/>
  <c r="BO28" i="34" a="1"/>
  <c r="BO28" i="34" s="1"/>
  <c r="BN28" i="34" s="1"/>
  <c r="BO33" i="34" a="1"/>
  <c r="BO33" i="34" s="1"/>
  <c r="BN33" i="34" s="1"/>
  <c r="BO27" i="34" a="1"/>
  <c r="BO27" i="34" s="1"/>
  <c r="BN27" i="34" s="1"/>
  <c r="BO32" i="34" a="1"/>
  <c r="BO32" i="34" s="1"/>
  <c r="BN32" i="34" s="1"/>
  <c r="BO23" i="34" a="1"/>
  <c r="BO23" i="34" s="1"/>
  <c r="BN23" i="34" s="1"/>
  <c r="N5" i="29"/>
  <c r="N11" i="29"/>
  <c r="D129" i="40"/>
  <c r="D130" i="40" s="1"/>
  <c r="D23" i="40" s="1"/>
  <c r="O129" i="40"/>
  <c r="O130" i="40" s="1"/>
  <c r="O23" i="40" s="1"/>
  <c r="M129" i="40"/>
  <c r="M130" i="40" s="1"/>
  <c r="M23" i="40" s="1"/>
  <c r="L129" i="40"/>
  <c r="L130" i="40" s="1"/>
  <c r="L23" i="40" s="1"/>
  <c r="K129" i="40"/>
  <c r="K130" i="40" s="1"/>
  <c r="K23" i="40" s="1"/>
  <c r="J129" i="40"/>
  <c r="J130" i="40" s="1"/>
  <c r="J23" i="40" s="1"/>
  <c r="I129" i="40"/>
  <c r="I130" i="40" s="1"/>
  <c r="I23" i="40" s="1"/>
  <c r="H129" i="40"/>
  <c r="H130" i="40" s="1"/>
  <c r="H23" i="40" s="1"/>
  <c r="G129" i="40"/>
  <c r="G130" i="40" s="1"/>
  <c r="G23" i="40" s="1"/>
  <c r="F129" i="40"/>
  <c r="F130" i="40" s="1"/>
  <c r="F23" i="40" s="1"/>
  <c r="E129" i="40"/>
  <c r="E130" i="40" s="1"/>
  <c r="E23" i="40" s="1"/>
  <c r="N129" i="40"/>
  <c r="N130" i="40" s="1"/>
  <c r="N23" i="40" s="1"/>
  <c r="BI22" i="34" a="1"/>
  <c r="BI22" i="34" s="1"/>
  <c r="F1" i="40"/>
  <c r="E184" i="40" a="1"/>
  <c r="E184" i="40" s="1"/>
  <c r="E185" i="40" s="1"/>
  <c r="E42" i="40" s="1"/>
  <c r="P31" i="6" a="1"/>
  <c r="P31" i="6" s="1"/>
  <c r="P34" i="6" s="1"/>
  <c r="N35" i="81" s="1"/>
  <c r="AD45" i="6" a="1"/>
  <c r="AD45" i="6" s="1"/>
  <c r="Y6" i="71" a="1"/>
  <c r="Y6" i="71" s="1"/>
  <c r="X6" i="71" a="1"/>
  <c r="X6" i="71" s="1"/>
  <c r="Z6" i="71" a="1"/>
  <c r="Z6" i="71" s="1"/>
  <c r="V6" i="71" a="1"/>
  <c r="V6" i="71" s="1"/>
  <c r="AB6" i="71" a="1"/>
  <c r="AB6" i="71" s="1"/>
  <c r="AA6" i="71" a="1"/>
  <c r="AA6" i="71" s="1"/>
  <c r="V25" i="68" a="1"/>
  <c r="V25" i="68" s="1"/>
  <c r="W6" i="71" a="1"/>
  <c r="W6" i="71" s="1"/>
  <c r="I102" i="40"/>
  <c r="K102" i="40"/>
  <c r="O102" i="40"/>
  <c r="J102" i="40"/>
  <c r="L102" i="40"/>
  <c r="N102" i="40"/>
  <c r="E102" i="40"/>
  <c r="BN6" i="76" a="1"/>
  <c r="BN6" i="76" s="1"/>
  <c r="BI6" i="76" a="1"/>
  <c r="BI6" i="76" s="1"/>
  <c r="BO7" i="76" a="1"/>
  <c r="BO7" i="76" s="1"/>
  <c r="BO6" i="76" a="1"/>
  <c r="BO6" i="76" s="1"/>
  <c r="BN7" i="76" a="1"/>
  <c r="BN7" i="76" s="1"/>
  <c r="BJ6" i="76" a="1"/>
  <c r="BJ6" i="76" s="1"/>
  <c r="BE7" i="57" a="1"/>
  <c r="BE7" i="57" s="1"/>
  <c r="BE8" i="57" a="1"/>
  <c r="BE8" i="57" s="1"/>
  <c r="AZ7" i="57" a="1"/>
  <c r="AZ7" i="57" s="1"/>
  <c r="AZ8" i="57" a="1"/>
  <c r="AZ8" i="57" s="1"/>
  <c r="AZ12" i="57" a="1"/>
  <c r="AZ12" i="57" s="1"/>
  <c r="AZ9" i="57" a="1"/>
  <c r="AZ9" i="57" s="1"/>
  <c r="AZ10" i="57" a="1"/>
  <c r="AZ10" i="57" s="1"/>
  <c r="AZ11" i="57" a="1"/>
  <c r="AZ11" i="57" s="1"/>
  <c r="BC6" i="76" a="1"/>
  <c r="BC6" i="76" s="1"/>
  <c r="AT10" i="76" a="1"/>
  <c r="AT10" i="76" s="1"/>
  <c r="BC7" i="76" a="1"/>
  <c r="BC7" i="76" s="1"/>
  <c r="BC8" i="76" a="1"/>
  <c r="BC8" i="76" s="1"/>
  <c r="BC9" i="76" a="1"/>
  <c r="BC9" i="76" s="1"/>
  <c r="AT6" i="76" a="1"/>
  <c r="AT6" i="76" s="1"/>
  <c r="AT7" i="76" a="1"/>
  <c r="AT7" i="76" s="1"/>
  <c r="AT8" i="76" a="1"/>
  <c r="AT8" i="76" s="1"/>
  <c r="AT9" i="76" a="1"/>
  <c r="AT9" i="76" s="1"/>
  <c r="BK9" i="73" a="1"/>
  <c r="BK9" i="73" s="1"/>
  <c r="F1" i="30"/>
  <c r="D1" i="14"/>
  <c r="E1" i="14" s="1"/>
  <c r="AA46" i="13" a="1"/>
  <c r="AA46" i="13" s="1"/>
  <c r="BP22" i="34" a="1"/>
  <c r="BP22" i="34" s="1"/>
  <c r="BQ22" i="34" s="1" a="1"/>
  <c r="BQ22" i="34" s="1"/>
  <c r="P22" i="60" a="1"/>
  <c r="P22" i="60" s="1"/>
  <c r="AW6" i="71" a="1"/>
  <c r="AW6" i="71" s="1"/>
  <c r="C3" i="74"/>
  <c r="C2" i="74"/>
  <c r="V26" i="68" a="1"/>
  <c r="V26" i="68" s="1"/>
  <c r="E26" i="68" a="1"/>
  <c r="E26" i="68" s="1"/>
  <c r="D26" i="68" a="1"/>
  <c r="D26" i="68" s="1"/>
  <c r="N26" i="68" a="1"/>
  <c r="N26" i="68" s="1"/>
  <c r="M26" i="68" a="1"/>
  <c r="M26" i="68" s="1"/>
  <c r="L26" i="68" a="1"/>
  <c r="L26" i="68" s="1"/>
  <c r="K26" i="68" a="1"/>
  <c r="K26" i="68" s="1"/>
  <c r="P33" i="32" a="1"/>
  <c r="P33" i="32" s="1"/>
  <c r="F33" i="32" a="1"/>
  <c r="F33" i="32" s="1"/>
  <c r="J26" i="68" a="1"/>
  <c r="J26" i="68" s="1"/>
  <c r="O33" i="32" a="1"/>
  <c r="O33" i="32" s="1"/>
  <c r="O14" i="32" a="1"/>
  <c r="O14" i="32" s="1"/>
  <c r="I26" i="68" a="1"/>
  <c r="I26" i="68" s="1"/>
  <c r="P26" i="32" a="1"/>
  <c r="P26" i="32" s="1"/>
  <c r="F26" i="32" a="1"/>
  <c r="F26" i="32" s="1"/>
  <c r="H26" i="68" a="1"/>
  <c r="H26" i="68" s="1"/>
  <c r="O26" i="32" a="1"/>
  <c r="O26" i="32" s="1"/>
  <c r="F26" i="68" a="1"/>
  <c r="F26" i="68" s="1"/>
  <c r="G26" i="68" a="1"/>
  <c r="G26" i="68" s="1"/>
  <c r="P14" i="32" a="1"/>
  <c r="P14" i="32" s="1"/>
  <c r="F14" i="32" a="1"/>
  <c r="F14" i="32" s="1"/>
  <c r="I9" i="13"/>
  <c r="Q9" i="6"/>
  <c r="H21" i="6"/>
  <c r="H25" i="6"/>
  <c r="H20" i="6"/>
  <c r="H24" i="6"/>
  <c r="H33" i="6"/>
  <c r="H23" i="6"/>
  <c r="H22" i="6"/>
  <c r="H19" i="6"/>
  <c r="H18" i="6"/>
  <c r="H17" i="6"/>
  <c r="H28" i="6"/>
  <c r="H27" i="6"/>
  <c r="H26" i="6"/>
  <c r="H37" i="13"/>
  <c r="S13" i="81"/>
  <c r="N43" i="13"/>
  <c r="V14" i="81"/>
  <c r="P14" i="81"/>
  <c r="O38" i="6"/>
  <c r="U45" i="6"/>
  <c r="J15" i="68" a="1"/>
  <c r="J15" i="68" s="1"/>
  <c r="I15" i="68" a="1"/>
  <c r="I15" i="68" s="1"/>
  <c r="V15" i="68" a="1"/>
  <c r="V15" i="68" s="1"/>
  <c r="G15" i="68" a="1"/>
  <c r="G15" i="68" s="1"/>
  <c r="F15" i="68" a="1"/>
  <c r="F15" i="68" s="1"/>
  <c r="O15" i="68" a="1"/>
  <c r="O15" i="68" s="1"/>
  <c r="N15" i="68" a="1"/>
  <c r="N15" i="68" s="1"/>
  <c r="E15" i="68" a="1"/>
  <c r="E15" i="68" s="1"/>
  <c r="M15" i="68" a="1"/>
  <c r="M15" i="68" s="1"/>
  <c r="D15" i="68" a="1"/>
  <c r="D15" i="68" s="1"/>
  <c r="L15" i="68" a="1"/>
  <c r="L15" i="68" s="1"/>
  <c r="H15" i="68" a="1"/>
  <c r="H15" i="68" s="1"/>
  <c r="K15" i="68" a="1"/>
  <c r="K15" i="68" s="1"/>
  <c r="I25" i="68" a="1"/>
  <c r="I25" i="68" s="1"/>
  <c r="I44" i="68" a="1"/>
  <c r="I44" i="68" s="1"/>
  <c r="H25" i="68" a="1"/>
  <c r="H25" i="68" s="1"/>
  <c r="H44" i="68" a="1"/>
  <c r="H44" i="68" s="1"/>
  <c r="L44" i="68" a="1"/>
  <c r="L44" i="68" s="1"/>
  <c r="L25" i="68" a="1"/>
  <c r="L25" i="68" s="1"/>
  <c r="M44" i="68" a="1"/>
  <c r="M44" i="68" s="1"/>
  <c r="M25" i="68" a="1"/>
  <c r="M25" i="68" s="1"/>
  <c r="F37" i="68" a="1"/>
  <c r="F37" i="68" s="1"/>
  <c r="F44" i="68" a="1"/>
  <c r="F44" i="68" s="1"/>
  <c r="F25" i="68" a="1"/>
  <c r="F25" i="68" s="1"/>
  <c r="J25" i="68" a="1"/>
  <c r="J25" i="68" s="1"/>
  <c r="J44" i="68" a="1"/>
  <c r="J44" i="68" s="1"/>
  <c r="K25" i="68" a="1"/>
  <c r="K25" i="68" s="1"/>
  <c r="K44" i="68" a="1"/>
  <c r="K44" i="68" s="1"/>
  <c r="O19" i="32" a="1"/>
  <c r="O19" i="32" s="1"/>
  <c r="N44" i="68" a="1"/>
  <c r="N44" i="68" s="1"/>
  <c r="N25" i="68" a="1"/>
  <c r="N25" i="68" s="1"/>
  <c r="D27" i="68" a="1"/>
  <c r="D27" i="68" s="1"/>
  <c r="V27" i="68" a="1"/>
  <c r="V27" i="68" s="1"/>
  <c r="O44" i="68" a="1"/>
  <c r="O44" i="68" s="1"/>
  <c r="O25" i="68" a="1"/>
  <c r="O25" i="68" s="1"/>
  <c r="G44" i="68" a="1"/>
  <c r="G44" i="68" s="1"/>
  <c r="G25" i="68" a="1"/>
  <c r="G25" i="68" s="1"/>
  <c r="C50" i="68" a="1"/>
  <c r="C50" i="68" s="1"/>
  <c r="D25" i="68" a="1"/>
  <c r="D25" i="68" s="1"/>
  <c r="E25" i="68" a="1"/>
  <c r="E25" i="68" s="1"/>
  <c r="E44" i="68" a="1"/>
  <c r="E44" i="68" s="1"/>
  <c r="H29" i="68" a="1"/>
  <c r="H29" i="68" s="1"/>
  <c r="L28" i="68" a="1"/>
  <c r="L28" i="68" s="1"/>
  <c r="G24" i="68" a="1"/>
  <c r="G24" i="68" s="1"/>
  <c r="G29" i="68" a="1"/>
  <c r="G29" i="68" s="1"/>
  <c r="K28" i="68" a="1"/>
  <c r="K28" i="68" s="1"/>
  <c r="V24" i="68" a="1"/>
  <c r="V24" i="68" s="1"/>
  <c r="F24" i="68" a="1"/>
  <c r="F24" i="68" s="1"/>
  <c r="K23" i="68" a="1"/>
  <c r="K23" i="68" s="1"/>
  <c r="V29" i="68" a="1"/>
  <c r="V29" i="68" s="1"/>
  <c r="O24" i="68" a="1"/>
  <c r="O24" i="68" s="1"/>
  <c r="I23" i="68" a="1"/>
  <c r="I23" i="68" s="1"/>
  <c r="F29" i="68" a="1"/>
  <c r="F29" i="68" s="1"/>
  <c r="J28" i="68" a="1"/>
  <c r="J28" i="68" s="1"/>
  <c r="O29" i="68" a="1"/>
  <c r="O29" i="68" s="1"/>
  <c r="E29" i="68" a="1"/>
  <c r="E29" i="68" s="1"/>
  <c r="H28" i="68" a="1"/>
  <c r="H28" i="68" s="1"/>
  <c r="N24" i="68" a="1"/>
  <c r="N24" i="68" s="1"/>
  <c r="D24" i="68" a="1"/>
  <c r="D24" i="68" s="1"/>
  <c r="H23" i="68" a="1"/>
  <c r="H23" i="68" s="1"/>
  <c r="N29" i="68" a="1"/>
  <c r="N29" i="68" s="1"/>
  <c r="D29" i="68" a="1"/>
  <c r="D29" i="68" s="1"/>
  <c r="G28" i="68" a="1"/>
  <c r="G28" i="68" s="1"/>
  <c r="M24" i="68" a="1"/>
  <c r="M24" i="68" s="1"/>
  <c r="G23" i="68" a="1"/>
  <c r="G23" i="68" s="1"/>
  <c r="M29" i="68" a="1"/>
  <c r="M29" i="68" s="1"/>
  <c r="F28" i="68" a="1"/>
  <c r="F28" i="68" s="1"/>
  <c r="L24" i="68" a="1"/>
  <c r="L24" i="68" s="1"/>
  <c r="F23" i="68" a="1"/>
  <c r="F23" i="68" s="1"/>
  <c r="L29" i="68" a="1"/>
  <c r="L29" i="68" s="1"/>
  <c r="E28" i="68" a="1"/>
  <c r="E28" i="68" s="1"/>
  <c r="V23" i="68" a="1"/>
  <c r="V23" i="68" s="1"/>
  <c r="E24" i="68" a="1"/>
  <c r="E24" i="68" s="1"/>
  <c r="V28" i="68" a="1"/>
  <c r="V28" i="68" s="1"/>
  <c r="D28" i="68" a="1"/>
  <c r="D28" i="68" s="1"/>
  <c r="K24" i="68" a="1"/>
  <c r="K24" i="68" s="1"/>
  <c r="O23" i="68" a="1"/>
  <c r="O23" i="68" s="1"/>
  <c r="E23" i="68" a="1"/>
  <c r="E23" i="68" s="1"/>
  <c r="K29" i="68" a="1"/>
  <c r="K29" i="68" s="1"/>
  <c r="O28" i="68" a="1"/>
  <c r="O28" i="68" s="1"/>
  <c r="J24" i="68" a="1"/>
  <c r="J24" i="68" s="1"/>
  <c r="N23" i="68" a="1"/>
  <c r="N23" i="68" s="1"/>
  <c r="D23" i="68" a="1"/>
  <c r="D23" i="68" s="1"/>
  <c r="J29" i="68" a="1"/>
  <c r="J29" i="68" s="1"/>
  <c r="N28" i="68" a="1"/>
  <c r="N28" i="68" s="1"/>
  <c r="I24" i="68" a="1"/>
  <c r="I24" i="68" s="1"/>
  <c r="M23" i="68" a="1"/>
  <c r="M23" i="68" s="1"/>
  <c r="J23" i="68" a="1"/>
  <c r="J23" i="68" s="1"/>
  <c r="I28" i="68" a="1"/>
  <c r="I28" i="68" s="1"/>
  <c r="I29" i="68" a="1"/>
  <c r="I29" i="68" s="1"/>
  <c r="M28" i="68" a="1"/>
  <c r="M28" i="68" s="1"/>
  <c r="H24" i="68" a="1"/>
  <c r="H24" i="68" s="1"/>
  <c r="L23" i="68" a="1"/>
  <c r="L23" i="68" s="1"/>
  <c r="O23" i="32" a="1"/>
  <c r="O23" i="32" s="1"/>
  <c r="V16" i="68" a="1"/>
  <c r="V16" i="68" s="1"/>
  <c r="AG45" i="6"/>
  <c r="O81" i="32" a="1"/>
  <c r="O81" i="32" s="1"/>
  <c r="J81" i="32" a="1"/>
  <c r="J81" i="32" s="1"/>
  <c r="O84" i="32" a="1"/>
  <c r="O84" i="32" s="1"/>
  <c r="O83" i="32" a="1"/>
  <c r="O83" i="32" s="1"/>
  <c r="J84" i="32" a="1"/>
  <c r="J84" i="32" s="1"/>
  <c r="K114" i="32" a="1"/>
  <c r="K114" i="32" s="1"/>
  <c r="J114" i="32" a="1"/>
  <c r="J114" i="32" s="1"/>
  <c r="O38" i="32" a="1"/>
  <c r="O38" i="32" s="1"/>
  <c r="J45" i="32" a="1"/>
  <c r="J45" i="32" s="1"/>
  <c r="O45" i="32" a="1"/>
  <c r="O45" i="32" s="1"/>
  <c r="O35" i="32" a="1"/>
  <c r="O35" i="32" s="1"/>
  <c r="O34" i="32" a="1"/>
  <c r="O34" i="32" s="1"/>
  <c r="O32" i="32" a="1"/>
  <c r="O32" i="32" s="1"/>
  <c r="O15" i="32" a="1"/>
  <c r="O15" i="32" s="1"/>
  <c r="O13" i="32" a="1"/>
  <c r="O13" i="32" s="1"/>
  <c r="O25" i="32" a="1"/>
  <c r="O25" i="32" s="1"/>
  <c r="O27" i="32" a="1"/>
  <c r="O27" i="32" s="1"/>
  <c r="O24" i="32" a="1"/>
  <c r="O24" i="32" s="1"/>
  <c r="O114" i="32" a="1"/>
  <c r="O114" i="32" s="1"/>
  <c r="O43" i="32" a="1"/>
  <c r="O43" i="32" s="1"/>
  <c r="O80" i="32" a="1"/>
  <c r="O80" i="32" s="1"/>
  <c r="O39" i="32" a="1"/>
  <c r="O39" i="32" s="1"/>
  <c r="O40" i="32" a="1"/>
  <c r="O40" i="32" s="1"/>
  <c r="O42" i="32" a="1"/>
  <c r="O42" i="32" s="1"/>
  <c r="O41" i="32" a="1"/>
  <c r="O41" i="32" s="1"/>
  <c r="AZ6" i="57" a="1"/>
  <c r="AZ6" i="57" s="1"/>
  <c r="P19" i="32" a="1"/>
  <c r="P19" i="32" s="1"/>
  <c r="K43" i="32" a="1"/>
  <c r="K43" i="32" s="1"/>
  <c r="CM5" i="76" a="1"/>
  <c r="CM5" i="76" s="1"/>
  <c r="AD24" i="61" a="1"/>
  <c r="AD24" i="61" s="1"/>
  <c r="AD29" i="61" a="1"/>
  <c r="AD29" i="61" s="1"/>
  <c r="P81" i="32" a="1"/>
  <c r="P81" i="32" s="1"/>
  <c r="K81" i="32" a="1"/>
  <c r="K81" i="32" s="1"/>
  <c r="K84" i="32" a="1"/>
  <c r="K84" i="32" s="1"/>
  <c r="P84" i="32" a="1"/>
  <c r="P84" i="32" s="1"/>
  <c r="P83" i="32" a="1"/>
  <c r="P83" i="32" s="1"/>
  <c r="P41" i="32" a="1"/>
  <c r="P41" i="32" s="1"/>
  <c r="P5" i="39"/>
  <c r="P40" i="32" a="1"/>
  <c r="P40" i="32" s="1"/>
  <c r="P114" i="32" a="1"/>
  <c r="P114" i="32" s="1"/>
  <c r="P42" i="32" a="1"/>
  <c r="P42" i="32" s="1"/>
  <c r="F114" i="32" a="1"/>
  <c r="F114" i="32" s="1"/>
  <c r="BW11" i="76" a="1"/>
  <c r="BW11" i="76" s="1"/>
  <c r="BW16" i="76" a="1"/>
  <c r="BW16" i="76" s="1"/>
  <c r="BW10" i="76" a="1"/>
  <c r="BW10" i="76" s="1"/>
  <c r="BW13" i="76" a="1"/>
  <c r="BW13" i="76" s="1"/>
  <c r="BW9" i="76" a="1"/>
  <c r="BW9" i="76" s="1"/>
  <c r="BW8" i="76" a="1"/>
  <c r="BW8" i="76" s="1"/>
  <c r="BW15" i="76" a="1"/>
  <c r="BW15" i="76" s="1"/>
  <c r="BW7" i="76" a="1"/>
  <c r="BW7" i="76" s="1"/>
  <c r="BW6" i="76" a="1"/>
  <c r="BW6" i="76" s="1"/>
  <c r="BW5" i="76" a="1"/>
  <c r="BW5" i="76" s="1"/>
  <c r="BW14" i="76" a="1"/>
  <c r="BW14" i="76" s="1"/>
  <c r="BW12" i="76" a="1"/>
  <c r="BW12" i="76" s="1"/>
  <c r="P38" i="32" a="1"/>
  <c r="P38" i="32" s="1"/>
  <c r="G4" i="65" a="1"/>
  <c r="G4" i="65" s="1"/>
  <c r="P39" i="32" a="1"/>
  <c r="P39" i="32" s="1"/>
  <c r="K45" i="32" a="1"/>
  <c r="K45" i="32" s="1"/>
  <c r="F101" i="32" a="1"/>
  <c r="F101" i="32" s="1"/>
  <c r="P45" i="32" a="1"/>
  <c r="P45" i="32" s="1"/>
  <c r="P27" i="32" a="1"/>
  <c r="P27" i="32" s="1"/>
  <c r="P34" i="32" a="1"/>
  <c r="P34" i="32" s="1"/>
  <c r="P24" i="32" a="1"/>
  <c r="P24" i="32" s="1"/>
  <c r="P32" i="32" a="1"/>
  <c r="P32" i="32" s="1"/>
  <c r="P13" i="32" a="1"/>
  <c r="P13" i="32" s="1"/>
  <c r="P15" i="32" a="1"/>
  <c r="P15" i="32" s="1"/>
  <c r="P25" i="32" a="1"/>
  <c r="P25" i="32" s="1"/>
  <c r="P35" i="32" a="1"/>
  <c r="P35" i="32" s="1"/>
  <c r="P43" i="32" a="1"/>
  <c r="P43" i="32" s="1"/>
  <c r="AD54" i="61" a="1"/>
  <c r="AD54" i="61" s="1"/>
  <c r="AD51" i="61" a="1"/>
  <c r="AD51" i="61" s="1"/>
  <c r="AD27" i="61" a="1"/>
  <c r="AD27" i="61" s="1"/>
  <c r="AD47" i="61" a="1"/>
  <c r="AD47" i="61" s="1"/>
  <c r="AD44" i="61" a="1"/>
  <c r="AD44" i="61" s="1"/>
  <c r="AD32" i="61" a="1"/>
  <c r="AD32" i="61" s="1"/>
  <c r="AD55" i="61" a="1"/>
  <c r="AD55" i="61" s="1"/>
  <c r="AD37" i="61" a="1"/>
  <c r="AD37" i="61" s="1"/>
  <c r="AD52" i="61" a="1"/>
  <c r="AD52" i="61" s="1"/>
  <c r="AD48" i="61" a="1"/>
  <c r="AD48" i="61" s="1"/>
  <c r="AD30" i="61" a="1"/>
  <c r="AD30" i="61" s="1"/>
  <c r="AD35" i="61" a="1"/>
  <c r="AD35" i="61" s="1"/>
  <c r="AD56" i="61" a="1"/>
  <c r="AD56" i="61" s="1"/>
  <c r="AD45" i="61" a="1"/>
  <c r="AD45" i="61" s="1"/>
  <c r="AD28" i="61" a="1"/>
  <c r="AD28" i="61" s="1"/>
  <c r="AD53" i="61" a="1"/>
  <c r="AD53" i="61" s="1"/>
  <c r="AD49" i="61" a="1"/>
  <c r="AD49" i="61" s="1"/>
  <c r="AD33" i="61" a="1"/>
  <c r="AD33" i="61" s="1"/>
  <c r="AD46" i="61" a="1"/>
  <c r="AD46" i="61" s="1"/>
  <c r="AD31" i="61" a="1"/>
  <c r="AD31" i="61" s="1"/>
  <c r="AD57" i="61" a="1"/>
  <c r="AD57" i="61" s="1"/>
  <c r="AD50" i="61" a="1"/>
  <c r="AD50" i="61" s="1"/>
  <c r="AD41" i="61" a="1"/>
  <c r="AD41" i="61" s="1"/>
  <c r="AD36" i="61" a="1"/>
  <c r="AD36" i="61" s="1"/>
  <c r="AD13" i="61" a="1"/>
  <c r="AD13" i="61" s="1"/>
  <c r="AD40" i="61" a="1"/>
  <c r="AD40" i="61" s="1"/>
  <c r="AD22" i="61" a="1"/>
  <c r="AD22" i="61" s="1"/>
  <c r="AD19" i="61" a="1"/>
  <c r="AD19" i="61" s="1"/>
  <c r="AD25" i="61" a="1"/>
  <c r="AD25" i="61" s="1"/>
  <c r="AD20" i="61" a="1"/>
  <c r="AD20" i="61" s="1"/>
  <c r="AD12" i="61" a="1"/>
  <c r="AD12" i="61" s="1"/>
  <c r="AD42" i="61" a="1"/>
  <c r="AD42" i="61" s="1"/>
  <c r="AD15" i="61" a="1"/>
  <c r="AD15" i="61" s="1"/>
  <c r="AD34" i="61" a="1"/>
  <c r="AD34" i="61" s="1"/>
  <c r="AD23" i="61" a="1"/>
  <c r="AD23" i="61" s="1"/>
  <c r="AD11" i="61" a="1"/>
  <c r="AD11" i="61" s="1"/>
  <c r="AD38" i="61" a="1"/>
  <c r="AD38" i="61" s="1"/>
  <c r="AD21" i="61" a="1"/>
  <c r="AD21" i="61" s="1"/>
  <c r="AD43" i="61" a="1"/>
  <c r="AD43" i="61" s="1"/>
  <c r="AD39" i="61" a="1"/>
  <c r="AD39" i="61" s="1"/>
  <c r="AD14" i="61" a="1"/>
  <c r="AD14" i="61" s="1"/>
  <c r="AD9" i="61" a="1"/>
  <c r="AD9" i="61" s="1"/>
  <c r="AD18" i="61" a="1"/>
  <c r="AD18" i="61" s="1"/>
  <c r="AD26" i="61" a="1"/>
  <c r="AD26" i="61" s="1"/>
  <c r="AD17" i="61" a="1"/>
  <c r="AD17" i="61" s="1"/>
  <c r="AD16" i="61" a="1"/>
  <c r="AD16" i="61" s="1"/>
  <c r="AD10" i="61" a="1"/>
  <c r="AD10" i="61" s="1"/>
  <c r="N81" i="29"/>
  <c r="F84" i="32" a="1"/>
  <c r="F84" i="32" s="1"/>
  <c r="E84" i="32" a="1"/>
  <c r="E84" i="32" s="1"/>
  <c r="F81" i="32" a="1"/>
  <c r="F81" i="32" s="1"/>
  <c r="E81" i="32" a="1"/>
  <c r="E81" i="32" s="1"/>
  <c r="E114" i="32" a="1"/>
  <c r="E114" i="32" s="1"/>
  <c r="E80" i="32" a="1"/>
  <c r="E80" i="32" s="1"/>
  <c r="M46" i="7"/>
  <c r="F13" i="54" a="1"/>
  <c r="F13" i="54" s="1"/>
  <c r="BE22" i="34" a="1"/>
  <c r="BE22" i="34" s="1"/>
  <c r="F83" i="32" a="1"/>
  <c r="F83" i="32" s="1"/>
  <c r="E83" i="32" a="1"/>
  <c r="E83" i="32" s="1"/>
  <c r="O27" i="68" a="1"/>
  <c r="O27" i="68" s="1"/>
  <c r="N27" i="68" a="1"/>
  <c r="N27" i="68" s="1"/>
  <c r="M27" i="68" a="1"/>
  <c r="M27" i="68" s="1"/>
  <c r="E27" i="68" a="1"/>
  <c r="E27" i="68" s="1"/>
  <c r="L27" i="68" a="1"/>
  <c r="L27" i="68" s="1"/>
  <c r="K27" i="68" a="1"/>
  <c r="K27" i="68" s="1"/>
  <c r="J27" i="68" a="1"/>
  <c r="J27" i="68" s="1"/>
  <c r="I27" i="68" a="1"/>
  <c r="I27" i="68" s="1"/>
  <c r="H27" i="68" a="1"/>
  <c r="H27" i="68" s="1"/>
  <c r="G27" i="68" a="1"/>
  <c r="G27" i="68" s="1"/>
  <c r="F27" i="68" a="1"/>
  <c r="F27" i="68" s="1"/>
  <c r="E42" i="32" a="1"/>
  <c r="E42" i="32" s="1"/>
  <c r="AC46" i="6" a="1"/>
  <c r="AC46" i="6" s="1"/>
  <c r="P102" i="32"/>
  <c r="E41" i="32" a="1"/>
  <c r="E41" i="32" s="1"/>
  <c r="BC5" i="76" a="1"/>
  <c r="BC5" i="76" s="1"/>
  <c r="AT5" i="76" a="1"/>
  <c r="AT5" i="76" s="1"/>
  <c r="BE6" i="57" a="1"/>
  <c r="BE6" i="57" s="1"/>
  <c r="BN24" i="57"/>
  <c r="BP24" i="57" s="1"/>
  <c r="BO5" i="76" a="1"/>
  <c r="BO5" i="76" s="1"/>
  <c r="BJ24" i="57" a="1"/>
  <c r="BJ24" i="57" s="1"/>
  <c r="BJ25" i="57" a="1"/>
  <c r="BJ25" i="57" s="1"/>
  <c r="BK25" i="57" a="1"/>
  <c r="BK25" i="57" s="1"/>
  <c r="BK21" i="57" s="1"/>
  <c r="BL21" i="57" s="1"/>
  <c r="BO25" i="57" a="1"/>
  <c r="BO25" i="57" s="1"/>
  <c r="BO22" i="57" s="1"/>
  <c r="BL24" i="57" a="1"/>
  <c r="BL24" i="57" s="1"/>
  <c r="BI25" i="57" a="1"/>
  <c r="BI25" i="57" s="1"/>
  <c r="BI24" i="57" a="1"/>
  <c r="BI24" i="57" s="1"/>
  <c r="BN25" i="57" a="1"/>
  <c r="BI5" i="76" a="1"/>
  <c r="BI5" i="76" s="1"/>
  <c r="BJ5" i="76" a="1"/>
  <c r="BJ5" i="76" s="1"/>
  <c r="BN5" i="76" a="1"/>
  <c r="BN5" i="76" s="1"/>
  <c r="BT21" i="76"/>
  <c r="BX21" i="76" s="1"/>
  <c r="BY21" i="76" s="1"/>
  <c r="BW29" i="76"/>
  <c r="BZ29" i="76" s="1"/>
  <c r="BW26" i="76"/>
  <c r="BZ26" i="76" s="1"/>
  <c r="BW24" i="76"/>
  <c r="BZ24" i="76" s="1"/>
  <c r="BW23" i="76"/>
  <c r="BZ23" i="76" s="1"/>
  <c r="BW27" i="76"/>
  <c r="BZ27" i="76" s="1"/>
  <c r="BW28" i="76"/>
  <c r="BZ28" i="76" s="1"/>
  <c r="BW25" i="76"/>
  <c r="BZ25" i="76" s="1"/>
  <c r="BW22" i="76"/>
  <c r="BZ22" i="76" s="1"/>
  <c r="BW21" i="76"/>
  <c r="BZ21" i="76" s="1"/>
  <c r="CA21" i="76" s="1"/>
  <c r="BW33" i="76"/>
  <c r="BZ33" i="76" s="1"/>
  <c r="BW31" i="76"/>
  <c r="BZ31" i="76" s="1"/>
  <c r="BW30" i="76"/>
  <c r="BZ30" i="76" s="1"/>
  <c r="BW32" i="76"/>
  <c r="BZ32" i="76" s="1"/>
  <c r="BT30" i="76"/>
  <c r="BX30" i="76" s="1"/>
  <c r="BT27" i="76"/>
  <c r="BX27" i="76" s="1"/>
  <c r="BT25" i="76"/>
  <c r="BX25" i="76" s="1"/>
  <c r="BT31" i="76"/>
  <c r="BX31" i="76" s="1"/>
  <c r="BT23" i="76"/>
  <c r="BX23" i="76" s="1"/>
  <c r="BT28" i="76"/>
  <c r="BX28" i="76" s="1"/>
  <c r="BT26" i="76"/>
  <c r="BX26" i="76" s="1"/>
  <c r="BT24" i="76"/>
  <c r="BX24" i="76" s="1"/>
  <c r="BT22" i="76"/>
  <c r="BX22" i="76" s="1"/>
  <c r="BT32" i="76"/>
  <c r="BX32" i="76" s="1"/>
  <c r="BT29" i="76"/>
  <c r="BX29" i="76" s="1"/>
  <c r="BT33" i="76"/>
  <c r="BX33" i="76" s="1"/>
  <c r="F25" i="32" a="1"/>
  <c r="F25" i="32" s="1"/>
  <c r="C107" i="40" a="1"/>
  <c r="C107" i="40" s="1"/>
  <c r="C134" i="40" a="1"/>
  <c r="C134" i="40" s="1"/>
  <c r="C135" i="40" s="1"/>
  <c r="BK8" i="73" a="1"/>
  <c r="BK8" i="73" s="1"/>
  <c r="BE3" i="73" a="1"/>
  <c r="BE3" i="73" s="1"/>
  <c r="E43" i="32" a="1"/>
  <c r="E43" i="32" s="1"/>
  <c r="F24" i="32" a="1"/>
  <c r="F24" i="32" s="1"/>
  <c r="F34" i="32" a="1"/>
  <c r="F34" i="32" s="1"/>
  <c r="AQ1" i="73" a="1"/>
  <c r="AQ1" i="73" s="1"/>
  <c r="BO26" i="73" a="1"/>
  <c r="BO26" i="73" s="1"/>
  <c r="BP26" i="73" s="1"/>
  <c r="BO15" i="73" a="1"/>
  <c r="BO15" i="73" s="1"/>
  <c r="BP15" i="73" s="1"/>
  <c r="BO25" i="73" a="1"/>
  <c r="BO25" i="73" s="1"/>
  <c r="BP25" i="73" s="1"/>
  <c r="BO21" i="73" a="1"/>
  <c r="BO21" i="73" s="1"/>
  <c r="BP21" i="73" s="1"/>
  <c r="BO20" i="73" a="1"/>
  <c r="BO20" i="73" s="1"/>
  <c r="BQ20" i="73" s="1"/>
  <c r="BR20" i="73" s="1"/>
  <c r="BO19" i="73" a="1"/>
  <c r="BO19" i="73" s="1"/>
  <c r="BP19" i="73" s="1"/>
  <c r="BO24" i="73" a="1"/>
  <c r="BO24" i="73" s="1"/>
  <c r="BP24" i="73" s="1"/>
  <c r="BO23" i="73" a="1"/>
  <c r="BO23" i="73" s="1"/>
  <c r="BP23" i="73" s="1"/>
  <c r="BO22" i="73" a="1"/>
  <c r="BO22" i="73" s="1"/>
  <c r="BP22" i="73" s="1"/>
  <c r="BO18" i="73" a="1"/>
  <c r="BO18" i="73" s="1"/>
  <c r="BQ18" i="73" s="1"/>
  <c r="BR18" i="73" s="1"/>
  <c r="BO17" i="73" a="1"/>
  <c r="BO17" i="73" s="1"/>
  <c r="BP17" i="73" s="1"/>
  <c r="CM31" i="73" a="1"/>
  <c r="CM31" i="73" s="1"/>
  <c r="BO16" i="73" a="1"/>
  <c r="BO16" i="73" s="1"/>
  <c r="BQ16" i="73" s="1"/>
  <c r="BR16" i="73" s="1"/>
  <c r="BP10" i="73"/>
  <c r="CC31" i="73" a="1"/>
  <c r="CC31" i="73" s="1"/>
  <c r="BO31" i="73" a="1"/>
  <c r="BO31" i="73" s="1"/>
  <c r="BP31" i="73" a="1"/>
  <c r="BP31" i="73" s="1"/>
  <c r="BR31" i="73" a="1"/>
  <c r="BR31" i="73" s="1"/>
  <c r="BS31" i="73" a="1"/>
  <c r="BS31" i="73" s="1"/>
  <c r="AJ81" i="29"/>
  <c r="CX31" i="72" a="1"/>
  <c r="CX31" i="72" s="1"/>
  <c r="CY31" i="72" a="1"/>
  <c r="CC31" i="72" a="1"/>
  <c r="CC31" i="72" s="1"/>
  <c r="AQ1" i="72" a="1"/>
  <c r="F15" i="32" a="1"/>
  <c r="F15" i="32" s="1"/>
  <c r="F41" i="32" a="1"/>
  <c r="F41" i="32" s="1"/>
  <c r="F32" i="32" a="1"/>
  <c r="F32" i="32" s="1"/>
  <c r="F42" i="32" a="1"/>
  <c r="F42" i="32" s="1"/>
  <c r="F13" i="32" a="1"/>
  <c r="F13" i="32" s="1"/>
  <c r="F35" i="32" a="1"/>
  <c r="F35" i="32" s="1"/>
  <c r="F27" i="32" a="1"/>
  <c r="F27" i="32" s="1"/>
  <c r="AB46" i="6" a="1"/>
  <c r="AB46" i="6" s="1"/>
  <c r="AH46" i="6" s="1"/>
  <c r="AK6" i="71" a="1"/>
  <c r="AK6" i="71" s="1"/>
  <c r="AP6" i="71" a="1"/>
  <c r="AP6" i="71" s="1"/>
  <c r="S6" i="61" a="1"/>
  <c r="S6" i="61" s="1"/>
  <c r="AP45" i="6" a="1"/>
  <c r="AP45" i="6" s="1"/>
  <c r="K1" i="2"/>
  <c r="BV31" i="72" a="1"/>
  <c r="BP16" i="72" a="1"/>
  <c r="BP16" i="72" s="1"/>
  <c r="BR15" i="72" a="1"/>
  <c r="BR15" i="72" s="1"/>
  <c r="BR26" i="72" a="1"/>
  <c r="BR26" i="72" s="1"/>
  <c r="BR25" i="72" a="1"/>
  <c r="BR25" i="72" s="1"/>
  <c r="BR24" i="72" a="1"/>
  <c r="BR24" i="72" s="1"/>
  <c r="BR23" i="72" a="1"/>
  <c r="BR23" i="72" s="1"/>
  <c r="BR22" i="72" a="1"/>
  <c r="BR22" i="72" s="1"/>
  <c r="BR21" i="72" a="1"/>
  <c r="BR21" i="72" s="1"/>
  <c r="BR20" i="72" a="1"/>
  <c r="BR20" i="72" s="1"/>
  <c r="BR19" i="72" a="1"/>
  <c r="BR19" i="72" s="1"/>
  <c r="BR18" i="72" a="1"/>
  <c r="BR18" i="72" s="1"/>
  <c r="BR17" i="72" a="1"/>
  <c r="BR17" i="72" s="1"/>
  <c r="BR16" i="72" a="1"/>
  <c r="BR16" i="72" s="1"/>
  <c r="BP15" i="72" a="1"/>
  <c r="BP15" i="72" s="1"/>
  <c r="BP26" i="72" a="1"/>
  <c r="BP26" i="72" s="1"/>
  <c r="BP25" i="72" a="1"/>
  <c r="BP25" i="72" s="1"/>
  <c r="BP24" i="72" a="1"/>
  <c r="BP24" i="72" s="1"/>
  <c r="BP23" i="72" a="1"/>
  <c r="BP23" i="72" s="1"/>
  <c r="BP22" i="72" a="1"/>
  <c r="BP22" i="72" s="1"/>
  <c r="BP21" i="72" a="1"/>
  <c r="BP21" i="72" s="1"/>
  <c r="BP20" i="72" a="1"/>
  <c r="BP20" i="72" s="1"/>
  <c r="BP19" i="72" a="1"/>
  <c r="BP19" i="72" s="1"/>
  <c r="BP18" i="72" a="1"/>
  <c r="BP18" i="72" s="1"/>
  <c r="BP17" i="72" a="1"/>
  <c r="BP17" i="72" s="1"/>
  <c r="BP6" i="72" a="1"/>
  <c r="BP6" i="72" s="1"/>
  <c r="D73" i="32"/>
  <c r="K43" i="68" a="1"/>
  <c r="K43" i="68" s="1"/>
  <c r="N45" i="68" a="1"/>
  <c r="N45" i="68" s="1"/>
  <c r="N17" i="68" a="1"/>
  <c r="N17" i="68" s="1"/>
  <c r="N49" i="68" a="1"/>
  <c r="N49" i="68" s="1"/>
  <c r="BD22" i="34" a="1"/>
  <c r="BD22" i="34" s="1"/>
  <c r="C26" i="40"/>
  <c r="D45" i="68" a="1"/>
  <c r="D45" i="68" s="1"/>
  <c r="S11" i="61" a="1"/>
  <c r="S11" i="61" s="1"/>
  <c r="O17" i="68" a="1"/>
  <c r="O17" i="68" s="1"/>
  <c r="AX6" i="71" a="1"/>
  <c r="AX6" i="71" s="1"/>
  <c r="O50" i="68" a="1"/>
  <c r="O50" i="68" s="1"/>
  <c r="BA6" i="71" a="1"/>
  <c r="BA6" i="71" s="1"/>
  <c r="H45" i="68" a="1"/>
  <c r="H45" i="68" s="1"/>
  <c r="K51" i="68" a="1"/>
  <c r="K51" i="68" s="1"/>
  <c r="N51" i="68" a="1"/>
  <c r="N51" i="68" s="1"/>
  <c r="AQ6" i="71" a="1"/>
  <c r="AQ6" i="71" s="1"/>
  <c r="E65" i="32"/>
  <c r="N6" i="71" a="1"/>
  <c r="N6" i="71" s="1"/>
  <c r="AR6" i="71" a="1"/>
  <c r="AR6" i="71" s="1"/>
  <c r="P6" i="71" a="1"/>
  <c r="P6" i="71" s="1"/>
  <c r="AV6" i="71" a="1"/>
  <c r="AV6" i="71" s="1"/>
  <c r="H17" i="68" a="1"/>
  <c r="H17" i="68" s="1"/>
  <c r="J3" i="29"/>
  <c r="AD2" i="61"/>
  <c r="AJ3" i="29"/>
  <c r="S8" i="61" a="1"/>
  <c r="S8" i="61" s="1"/>
  <c r="J81" i="29"/>
  <c r="W43" i="13"/>
  <c r="X43" i="13" s="1"/>
  <c r="R43" i="10"/>
  <c r="H30" i="10"/>
  <c r="H34" i="10" s="1"/>
  <c r="W43" i="10" s="1"/>
  <c r="X44" i="13"/>
  <c r="O37" i="68" a="1"/>
  <c r="O37" i="68" s="1"/>
  <c r="N41" i="68" a="1"/>
  <c r="N41" i="68" s="1"/>
  <c r="CG31" i="72" a="1"/>
  <c r="CG31" i="72" s="1"/>
  <c r="CE31" i="72" s="1" a="1"/>
  <c r="CE31" i="72" s="1"/>
  <c r="BW31" i="72" a="1"/>
  <c r="BW31" i="72" s="1"/>
  <c r="BR31" i="72" s="1" a="1"/>
  <c r="BS31" i="72" a="1"/>
  <c r="BS31" i="72" s="1"/>
  <c r="BY31" i="72" s="1" a="1"/>
  <c r="BY31" i="72" s="1"/>
  <c r="H1" i="3"/>
  <c r="J1" i="3" s="1"/>
  <c r="BQ31" i="72" a="1"/>
  <c r="BQ31" i="72" s="1"/>
  <c r="BP31" i="72" a="1"/>
  <c r="BP31" i="72" s="1"/>
  <c r="BP9" i="72" a="1"/>
  <c r="BP9" i="72" s="1"/>
  <c r="BP7" i="72" a="1"/>
  <c r="BP7" i="72" s="1"/>
  <c r="BQ7" i="72" s="1"/>
  <c r="F55" i="32" a="1"/>
  <c r="F55" i="32" s="1"/>
  <c r="I37" i="68" a="1"/>
  <c r="I37" i="68" s="1"/>
  <c r="N37" i="68" a="1"/>
  <c r="N37" i="68" s="1"/>
  <c r="F56" i="32" a="1"/>
  <c r="F56" i="32" s="1"/>
  <c r="O39" i="68" a="1"/>
  <c r="O39" i="68" s="1"/>
  <c r="I38" i="68" a="1"/>
  <c r="I38" i="68" s="1"/>
  <c r="O41" i="68" a="1"/>
  <c r="O41" i="68" s="1"/>
  <c r="F53" i="32" a="1"/>
  <c r="F53" i="32" s="1"/>
  <c r="H41" i="68" a="1"/>
  <c r="H41" i="68" s="1"/>
  <c r="N38" i="68" a="1"/>
  <c r="N38" i="68" s="1"/>
  <c r="C38" i="68" a="1"/>
  <c r="C38" i="68" s="1"/>
  <c r="D38" i="68" a="1"/>
  <c r="D38" i="68" s="1"/>
  <c r="H102" i="40"/>
  <c r="E53" i="32" a="1"/>
  <c r="E53" i="32" s="1"/>
  <c r="AN6" i="71" a="1"/>
  <c r="AN6" i="71" s="1"/>
  <c r="E55" i="32" a="1"/>
  <c r="E55" i="32" s="1"/>
  <c r="H39" i="68" a="1"/>
  <c r="H39" i="68" s="1"/>
  <c r="F57" i="32" a="1"/>
  <c r="F57" i="32" s="1"/>
  <c r="F54" i="32" a="1"/>
  <c r="F54" i="32" s="1"/>
  <c r="N39" i="68" a="1"/>
  <c r="N39" i="68" s="1"/>
  <c r="G64" i="40"/>
  <c r="G102" i="40"/>
  <c r="E64" i="40"/>
  <c r="E57" i="32" a="1"/>
  <c r="E57" i="32" s="1"/>
  <c r="C39" i="68" a="1"/>
  <c r="C39" i="68" s="1"/>
  <c r="C37" i="68" a="1"/>
  <c r="C37" i="68" s="1"/>
  <c r="E52" i="32" a="1"/>
  <c r="E52" i="32" s="1"/>
  <c r="J37" i="68" a="1"/>
  <c r="J37" i="68" s="1"/>
  <c r="F41" i="68" a="1"/>
  <c r="F41" i="68" s="1"/>
  <c r="F99" i="32"/>
  <c r="F43" i="32" a="1"/>
  <c r="F43" i="32" s="1"/>
  <c r="F87" i="32"/>
  <c r="AL6" i="71" a="1"/>
  <c r="AL6" i="71" s="1"/>
  <c r="J64" i="40"/>
  <c r="M102" i="40"/>
  <c r="M64" i="40"/>
  <c r="K64" i="40"/>
  <c r="C24" i="40"/>
  <c r="O64" i="40"/>
  <c r="E45" i="68" a="1"/>
  <c r="E45" i="68" s="1"/>
  <c r="E39" i="68" a="1"/>
  <c r="E39" i="68" s="1"/>
  <c r="E50" i="68" a="1"/>
  <c r="E50" i="68" s="1"/>
  <c r="E43" i="68" a="1"/>
  <c r="E43" i="68" s="1"/>
  <c r="E51" i="68" a="1"/>
  <c r="E51" i="68" s="1"/>
  <c r="E54" i="68" a="1"/>
  <c r="E54" i="68" s="1"/>
  <c r="E49" i="68" a="1"/>
  <c r="E49" i="68" s="1"/>
  <c r="E38" i="68" a="1"/>
  <c r="E38" i="68" s="1"/>
  <c r="D54" i="68" a="1"/>
  <c r="D54" i="68" s="1"/>
  <c r="E17" i="68" a="1"/>
  <c r="E17" i="68" s="1"/>
  <c r="E41" i="68" a="1"/>
  <c r="E41" i="68" s="1"/>
  <c r="E37" i="68" a="1"/>
  <c r="E37" i="68" s="1"/>
  <c r="N64" i="40"/>
  <c r="G50" i="68" a="1"/>
  <c r="G50" i="68" s="1"/>
  <c r="G43" i="68" a="1"/>
  <c r="G43" i="68" s="1"/>
  <c r="G54" i="68" a="1"/>
  <c r="G54" i="68" s="1"/>
  <c r="G41" i="68" a="1"/>
  <c r="G41" i="68" s="1"/>
  <c r="G51" i="68" a="1"/>
  <c r="G51" i="68" s="1"/>
  <c r="G37" i="68" a="1"/>
  <c r="G37" i="68" s="1"/>
  <c r="G49" i="68" a="1"/>
  <c r="G49" i="68" s="1"/>
  <c r="G38" i="68" a="1"/>
  <c r="G38" i="68" s="1"/>
  <c r="G17" i="68" a="1"/>
  <c r="G17" i="68" s="1"/>
  <c r="G45" i="68" a="1"/>
  <c r="G45" i="68" s="1"/>
  <c r="G39" i="68" a="1"/>
  <c r="G39" i="68" s="1"/>
  <c r="F64" i="40"/>
  <c r="F102" i="40"/>
  <c r="I64" i="40"/>
  <c r="M51" i="68" a="1"/>
  <c r="M51" i="68" s="1"/>
  <c r="M37" i="68" a="1"/>
  <c r="M37" i="68" s="1"/>
  <c r="M50" i="68" a="1"/>
  <c r="M50" i="68" s="1"/>
  <c r="M45" i="68" a="1"/>
  <c r="M45" i="68" s="1"/>
  <c r="M38" i="68" a="1"/>
  <c r="M38" i="68" s="1"/>
  <c r="M41" i="68" a="1"/>
  <c r="M41" i="68" s="1"/>
  <c r="M39" i="68" a="1"/>
  <c r="M39" i="68" s="1"/>
  <c r="M43" i="68" a="1"/>
  <c r="M43" i="68" s="1"/>
  <c r="M17" i="68" a="1"/>
  <c r="M17" i="68" s="1"/>
  <c r="L50" i="68" a="1"/>
  <c r="L50" i="68" s="1"/>
  <c r="M54" i="68" a="1"/>
  <c r="M54" i="68" s="1"/>
  <c r="M49" i="68" a="1"/>
  <c r="M49" i="68" s="1"/>
  <c r="C17" i="68" a="1"/>
  <c r="C17" i="68" s="1"/>
  <c r="J17" i="68" a="1"/>
  <c r="J17" i="68" s="1"/>
  <c r="D37" i="68" a="1"/>
  <c r="D37" i="68" s="1"/>
  <c r="F39" i="68" a="1"/>
  <c r="F39" i="68" s="1"/>
  <c r="I50" i="68" a="1"/>
  <c r="I50" i="68" s="1"/>
  <c r="H51" i="68" a="1"/>
  <c r="H51" i="68" s="1"/>
  <c r="K54" i="68" a="1"/>
  <c r="K54" i="68" s="1"/>
  <c r="F65" i="32"/>
  <c r="L54" i="68" a="1"/>
  <c r="L54" i="68" s="1"/>
  <c r="C17" i="40"/>
  <c r="H64" i="40"/>
  <c r="C43" i="68" a="1"/>
  <c r="C43" i="68" s="1"/>
  <c r="C42" i="68" s="1"/>
  <c r="D39" i="68" a="1"/>
  <c r="D39" i="68" s="1"/>
  <c r="C54" i="68" a="1"/>
  <c r="C54" i="68" s="1"/>
  <c r="S32" i="68"/>
  <c r="S46" i="68" s="1"/>
  <c r="D51" i="68" a="1"/>
  <c r="D51" i="68" s="1"/>
  <c r="V42" i="68"/>
  <c r="S42" i="68"/>
  <c r="D44" i="68" a="1"/>
  <c r="D44" i="68" s="1"/>
  <c r="D43" i="68" a="1"/>
  <c r="D43" i="68" s="1"/>
  <c r="D16" i="68" a="1"/>
  <c r="D16" i="68" s="1"/>
  <c r="D17" i="68" a="1"/>
  <c r="D17" i="68" s="1"/>
  <c r="K17" i="68" a="1"/>
  <c r="K17" i="68" s="1"/>
  <c r="K38" i="68" a="1"/>
  <c r="K38" i="68" s="1"/>
  <c r="J43" i="68" a="1"/>
  <c r="J43" i="68" s="1"/>
  <c r="F60" i="32"/>
  <c r="F38" i="68" a="1"/>
  <c r="F38" i="68" s="1"/>
  <c r="F45" i="68" a="1"/>
  <c r="F45" i="68" s="1"/>
  <c r="F17" i="68" a="1"/>
  <c r="F17" i="68" s="1"/>
  <c r="F51" i="68" a="1"/>
  <c r="F51" i="68" s="1"/>
  <c r="F49" i="68" a="1"/>
  <c r="F49" i="68" s="1"/>
  <c r="F54" i="68" a="1"/>
  <c r="F54" i="68" s="1"/>
  <c r="L51" i="68" a="1"/>
  <c r="L51" i="68" s="1"/>
  <c r="O54" i="68" a="1"/>
  <c r="O54" i="68" s="1"/>
  <c r="I45" i="68" a="1"/>
  <c r="I45" i="68" s="1"/>
  <c r="C27" i="40"/>
  <c r="L64" i="40"/>
  <c r="H37" i="68" a="1"/>
  <c r="H37" i="68" s="1"/>
  <c r="H49" i="68" a="1"/>
  <c r="H49" i="68" s="1"/>
  <c r="H50" i="68" a="1"/>
  <c r="H50" i="68" s="1"/>
  <c r="H43" i="68" a="1"/>
  <c r="H43" i="68" s="1"/>
  <c r="K41" i="68" a="1"/>
  <c r="K41" i="68" s="1"/>
  <c r="D49" i="68" a="1"/>
  <c r="D49" i="68" s="1"/>
  <c r="E60" i="32"/>
  <c r="I43" i="68" a="1"/>
  <c r="I43" i="68" s="1"/>
  <c r="I54" i="68" a="1"/>
  <c r="I54" i="68" s="1"/>
  <c r="I41" i="68" a="1"/>
  <c r="I41" i="68" s="1"/>
  <c r="I39" i="68" a="1"/>
  <c r="I39" i="68" s="1"/>
  <c r="I51" i="68" a="1"/>
  <c r="I51" i="68" s="1"/>
  <c r="O51" i="68" a="1"/>
  <c r="O51" i="68" s="1"/>
  <c r="J39" i="68" a="1"/>
  <c r="J39" i="68" s="1"/>
  <c r="J45" i="68" a="1"/>
  <c r="J45" i="68" s="1"/>
  <c r="J38" i="68" a="1"/>
  <c r="J38" i="68" s="1"/>
  <c r="J51" i="68" a="1"/>
  <c r="J51" i="68" s="1"/>
  <c r="J50" i="68" a="1"/>
  <c r="J50" i="68" s="1"/>
  <c r="J54" i="68" a="1"/>
  <c r="J54" i="68" s="1"/>
  <c r="J41" i="68" a="1"/>
  <c r="J41" i="68" s="1"/>
  <c r="D50" i="68" a="1"/>
  <c r="D50" i="68" s="1"/>
  <c r="K45" i="68" a="1"/>
  <c r="K45" i="68" s="1"/>
  <c r="K39" i="68" a="1"/>
  <c r="K39" i="68" s="1"/>
  <c r="K37" i="68" a="1"/>
  <c r="K37" i="68" s="1"/>
  <c r="K50" i="68" a="1"/>
  <c r="K50" i="68" s="1"/>
  <c r="K49" i="68" a="1"/>
  <c r="K49" i="68" s="1"/>
  <c r="H54" i="68" a="1"/>
  <c r="H54" i="68" s="1"/>
  <c r="F100" i="32"/>
  <c r="L17" i="68" a="1"/>
  <c r="L17" i="68" s="1"/>
  <c r="L45" i="68" a="1"/>
  <c r="L45" i="68" s="1"/>
  <c r="L43" i="68" a="1"/>
  <c r="L43" i="68" s="1"/>
  <c r="L49" i="68" a="1"/>
  <c r="L49" i="68" s="1"/>
  <c r="L41" i="68" a="1"/>
  <c r="L41" i="68" s="1"/>
  <c r="L39" i="68" a="1"/>
  <c r="L39" i="68" s="1"/>
  <c r="I16" i="68" a="1"/>
  <c r="I16" i="68" s="1"/>
  <c r="I17" i="68" a="1"/>
  <c r="I17" i="68" s="1"/>
  <c r="L37" i="68" a="1"/>
  <c r="L37" i="68" s="1"/>
  <c r="H38" i="68" a="1"/>
  <c r="H38" i="68" s="1"/>
  <c r="F43" i="68" a="1"/>
  <c r="F43" i="68" s="1"/>
  <c r="I49" i="68" a="1"/>
  <c r="I49" i="68" s="1"/>
  <c r="F50" i="68" a="1"/>
  <c r="F50" i="68" s="1"/>
  <c r="J49" i="68" a="1"/>
  <c r="J49" i="68" s="1"/>
  <c r="E87" i="32"/>
  <c r="O43" i="68" a="1"/>
  <c r="O43" i="68" s="1"/>
  <c r="O49" i="68" a="1"/>
  <c r="O49" i="68" s="1"/>
  <c r="O38" i="68" a="1"/>
  <c r="O38" i="68" s="1"/>
  <c r="O45" i="68" a="1"/>
  <c r="O45" i="68" s="1"/>
  <c r="BC22" i="34" a="1"/>
  <c r="BC22" i="34" s="1"/>
  <c r="BR20" i="34" a="1"/>
  <c r="BR20" i="34" s="1"/>
  <c r="N54" i="68" a="1"/>
  <c r="N54" i="68" s="1"/>
  <c r="N43" i="68" a="1"/>
  <c r="N43" i="68" s="1"/>
  <c r="N50" i="68" a="1"/>
  <c r="N50" i="68" s="1"/>
  <c r="P5" i="53" a="1"/>
  <c r="P5" i="53" s="1"/>
  <c r="S10" i="61" a="1"/>
  <c r="S10" i="61" s="1"/>
  <c r="S7" i="61" a="1"/>
  <c r="S7" i="61" s="1"/>
  <c r="S9" i="61" a="1"/>
  <c r="S9" i="61" s="1"/>
  <c r="AE1" i="61"/>
  <c r="I81" i="29"/>
  <c r="U81" i="29" s="1"/>
  <c r="I33" i="13" a="1"/>
  <c r="I33" i="13" s="1"/>
  <c r="W34" i="81" s="1"/>
  <c r="I34" i="13" a="1"/>
  <c r="I34" i="13" s="1"/>
  <c r="W35" i="81" s="1"/>
  <c r="R44" i="10" a="1"/>
  <c r="R44" i="10" s="1"/>
  <c r="Q44" i="10" a="1"/>
  <c r="Q44" i="10" s="1"/>
  <c r="W44" i="10" s="1"/>
  <c r="AB45" i="6"/>
  <c r="AH45" i="6" s="1"/>
  <c r="X46" i="13"/>
  <c r="I31" i="13"/>
  <c r="T34" i="81" s="1"/>
  <c r="R1" i="35"/>
  <c r="K1" i="55"/>
  <c r="I3" i="48"/>
  <c r="U6" i="71" l="1" a="1"/>
  <c r="U6" i="71" s="1"/>
  <c r="M22" i="68" a="1"/>
  <c r="M22" i="68" s="1"/>
  <c r="S22" i="68" a="1"/>
  <c r="S22" i="68" s="1"/>
  <c r="C22" i="68" a="1"/>
  <c r="C22" i="68" s="1"/>
  <c r="N22" i="68" a="1"/>
  <c r="N22" i="68" s="1"/>
  <c r="AT22" i="59" a="1"/>
  <c r="AT22" i="59" s="1"/>
  <c r="K22" i="68" a="1"/>
  <c r="K22" i="68" s="1"/>
  <c r="L22" i="68" a="1"/>
  <c r="L22" i="68" s="1"/>
  <c r="AT24" i="59" a="1"/>
  <c r="AT24" i="59" s="1"/>
  <c r="AU24" i="59" s="1"/>
  <c r="F22" i="68" a="1"/>
  <c r="F22" i="68" s="1"/>
  <c r="I22" i="68" a="1"/>
  <c r="I22" i="68" s="1"/>
  <c r="AT23" i="59" a="1"/>
  <c r="AT23" i="59" s="1"/>
  <c r="AU23" i="59" s="1"/>
  <c r="E22" i="68" a="1"/>
  <c r="E22" i="68" s="1"/>
  <c r="G22" i="68" a="1"/>
  <c r="G22" i="68" s="1"/>
  <c r="D22" i="68" a="1"/>
  <c r="D22" i="68" s="1"/>
  <c r="H22" i="68" a="1"/>
  <c r="H22" i="68" s="1"/>
  <c r="O22" i="68" a="1"/>
  <c r="O22" i="68" s="1"/>
  <c r="J22" i="68" a="1"/>
  <c r="J22" i="68" s="1"/>
  <c r="V22" i="68" a="1"/>
  <c r="V22" i="68" s="1"/>
  <c r="S55" i="68" a="1"/>
  <c r="S55" i="68" s="1"/>
  <c r="AD6" i="29"/>
  <c r="AE6" i="29" s="1"/>
  <c r="AG6" i="29" s="1"/>
  <c r="AD22" i="29"/>
  <c r="AE22" i="29" s="1"/>
  <c r="AG22" i="29" s="1"/>
  <c r="AD55" i="29"/>
  <c r="AE55" i="29" s="1"/>
  <c r="AG55" i="29" s="1"/>
  <c r="AD56" i="29"/>
  <c r="AE56" i="29" s="1"/>
  <c r="AG56" i="29" s="1"/>
  <c r="AD24" i="29"/>
  <c r="AE24" i="29" s="1"/>
  <c r="AG24" i="29" s="1"/>
  <c r="AD18" i="29"/>
  <c r="AE18" i="29" s="1"/>
  <c r="AG18" i="29" s="1"/>
  <c r="AD50" i="29"/>
  <c r="AE50" i="29" s="1"/>
  <c r="AG50" i="29" s="1"/>
  <c r="AD42" i="29"/>
  <c r="AE42" i="29" s="1"/>
  <c r="AG42" i="29" s="1"/>
  <c r="AD23" i="29"/>
  <c r="AE23" i="29" s="1"/>
  <c r="AG23" i="29" s="1"/>
  <c r="AD31" i="29"/>
  <c r="AE31" i="29" s="1"/>
  <c r="AG31" i="29" s="1"/>
  <c r="AD47" i="29"/>
  <c r="AE47" i="29" s="1"/>
  <c r="AD30" i="29"/>
  <c r="AE30" i="29" s="1"/>
  <c r="AG30" i="29" s="1"/>
  <c r="AD16" i="29"/>
  <c r="AE16" i="29" s="1"/>
  <c r="AG16" i="29" s="1"/>
  <c r="M43" i="29"/>
  <c r="N43" i="29"/>
  <c r="M48" i="29"/>
  <c r="N48" i="29"/>
  <c r="M69" i="29"/>
  <c r="N69" i="29"/>
  <c r="M38" i="29"/>
  <c r="N38" i="29"/>
  <c r="M49" i="29"/>
  <c r="N49" i="29"/>
  <c r="M17" i="29"/>
  <c r="N17" i="29"/>
  <c r="M50" i="29"/>
  <c r="N50" i="29"/>
  <c r="M70" i="29"/>
  <c r="N70" i="29"/>
  <c r="M18" i="29"/>
  <c r="N18" i="29"/>
  <c r="M34" i="29"/>
  <c r="N34" i="29"/>
  <c r="M7" i="29"/>
  <c r="N7" i="29"/>
  <c r="M76" i="29"/>
  <c r="N76" i="29"/>
  <c r="M60" i="29"/>
  <c r="N60" i="29"/>
  <c r="M19" i="29"/>
  <c r="N19" i="29"/>
  <c r="M41" i="29"/>
  <c r="N41" i="29"/>
  <c r="M39" i="29"/>
  <c r="N39" i="29"/>
  <c r="M64" i="29"/>
  <c r="N64" i="29"/>
  <c r="M21" i="29"/>
  <c r="N21" i="29"/>
  <c r="M71" i="29"/>
  <c r="N71" i="29"/>
  <c r="M28" i="29"/>
  <c r="N28" i="29"/>
  <c r="M27" i="29"/>
  <c r="N27" i="29"/>
  <c r="M73" i="29"/>
  <c r="N73" i="29"/>
  <c r="M74" i="29"/>
  <c r="N74" i="29"/>
  <c r="M75" i="29"/>
  <c r="N75" i="29"/>
  <c r="M65" i="29"/>
  <c r="N65" i="29"/>
  <c r="M51" i="29"/>
  <c r="N51" i="29"/>
  <c r="M45" i="29"/>
  <c r="N45" i="29"/>
  <c r="M33" i="29"/>
  <c r="N33" i="29"/>
  <c r="M56" i="29"/>
  <c r="N56" i="29"/>
  <c r="M66" i="29"/>
  <c r="N66" i="29"/>
  <c r="M55" i="29"/>
  <c r="N55" i="29"/>
  <c r="M36" i="29"/>
  <c r="N36" i="29"/>
  <c r="M79" i="29"/>
  <c r="N79" i="29"/>
  <c r="M61" i="29"/>
  <c r="N61" i="29"/>
  <c r="M68" i="29"/>
  <c r="N68" i="29"/>
  <c r="M77" i="29"/>
  <c r="N77" i="29"/>
  <c r="M12" i="29"/>
  <c r="N12" i="29"/>
  <c r="M20" i="29"/>
  <c r="N20" i="29"/>
  <c r="M22" i="29"/>
  <c r="N22" i="29"/>
  <c r="M31" i="29"/>
  <c r="N31" i="29"/>
  <c r="M26" i="29"/>
  <c r="N26" i="29"/>
  <c r="M80" i="29"/>
  <c r="N80" i="29"/>
  <c r="M9" i="29"/>
  <c r="N9" i="29"/>
  <c r="M57" i="29"/>
  <c r="N57" i="29"/>
  <c r="M52" i="29"/>
  <c r="N52" i="29"/>
  <c r="M6" i="29"/>
  <c r="N6" i="29"/>
  <c r="M40" i="29"/>
  <c r="N40" i="29"/>
  <c r="M25" i="29"/>
  <c r="N25" i="29"/>
  <c r="M58" i="29"/>
  <c r="N58" i="29"/>
  <c r="M59" i="29"/>
  <c r="N59" i="29"/>
  <c r="M35" i="29"/>
  <c r="N35" i="29"/>
  <c r="M23" i="29"/>
  <c r="N23" i="29"/>
  <c r="M67" i="29"/>
  <c r="N67" i="29"/>
  <c r="M72" i="29"/>
  <c r="N72" i="29"/>
  <c r="M24" i="29"/>
  <c r="N24" i="29"/>
  <c r="M62" i="29"/>
  <c r="N62" i="29"/>
  <c r="M29" i="29"/>
  <c r="N29" i="29"/>
  <c r="M14" i="29"/>
  <c r="N14" i="29"/>
  <c r="M13" i="29"/>
  <c r="N13" i="29"/>
  <c r="M8" i="29"/>
  <c r="N8" i="29"/>
  <c r="M53" i="29"/>
  <c r="N53" i="29"/>
  <c r="M44" i="29"/>
  <c r="N44" i="29"/>
  <c r="M16" i="29"/>
  <c r="N16" i="29"/>
  <c r="M42" i="29"/>
  <c r="N42" i="29"/>
  <c r="M78" i="29"/>
  <c r="N78" i="29"/>
  <c r="M63" i="29"/>
  <c r="N63" i="29"/>
  <c r="M37" i="29"/>
  <c r="N37" i="29"/>
  <c r="M3" i="29"/>
  <c r="N3" i="29"/>
  <c r="M10" i="29"/>
  <c r="N10" i="29"/>
  <c r="M30" i="29"/>
  <c r="N30" i="29"/>
  <c r="M47" i="29"/>
  <c r="N47" i="29"/>
  <c r="M46" i="29"/>
  <c r="N46" i="29"/>
  <c r="M32" i="29"/>
  <c r="N32" i="29"/>
  <c r="M15" i="29"/>
  <c r="N15" i="29"/>
  <c r="M54" i="29"/>
  <c r="N54" i="29"/>
  <c r="AE4" i="61"/>
  <c r="AE5" i="61"/>
  <c r="AL18" i="29"/>
  <c r="AL17" i="29"/>
  <c r="AL6" i="29"/>
  <c r="AL22" i="29"/>
  <c r="AL16" i="29"/>
  <c r="AL23" i="29"/>
  <c r="AA61" i="29"/>
  <c r="AA58" i="29"/>
  <c r="G1" i="30"/>
  <c r="W29" i="29" s="1"/>
  <c r="R53" i="10" s="1"/>
  <c r="U53" i="10" s="1"/>
  <c r="V53" i="10" s="1"/>
  <c r="X25" i="59"/>
  <c r="X26" i="59"/>
  <c r="AI23" i="59"/>
  <c r="X23" i="59"/>
  <c r="X22" i="59"/>
  <c r="AI22" i="59"/>
  <c r="AA33" i="29"/>
  <c r="AA43" i="29"/>
  <c r="AA64" i="29"/>
  <c r="AA17" i="29"/>
  <c r="AA63" i="29"/>
  <c r="AA48" i="29"/>
  <c r="AA70" i="29"/>
  <c r="AA39" i="29"/>
  <c r="AA44" i="29"/>
  <c r="AA27" i="29"/>
  <c r="V33" i="68" a="1"/>
  <c r="V33" i="68" s="1"/>
  <c r="V32" i="68" s="1"/>
  <c r="V46" i="68" s="1"/>
  <c r="O50" i="32" a="1"/>
  <c r="O50" i="32" s="1"/>
  <c r="O49" i="32" s="1"/>
  <c r="P50" i="32" a="1"/>
  <c r="P50" i="32" s="1"/>
  <c r="P49" i="32" s="1"/>
  <c r="P137" i="32" s="1"/>
  <c r="J74" i="32" a="1"/>
  <c r="J74" i="32" s="1"/>
  <c r="P74" i="32" a="1"/>
  <c r="P74" i="32" s="1"/>
  <c r="O74" i="32" a="1"/>
  <c r="O74" i="32" s="1"/>
  <c r="K74" i="32" a="1"/>
  <c r="K74" i="32" s="1"/>
  <c r="M5" i="29"/>
  <c r="AB44" i="6"/>
  <c r="AC44" i="6" s="1"/>
  <c r="AD44" i="6" s="1"/>
  <c r="AE44" i="6" s="1"/>
  <c r="AF44" i="6" s="1"/>
  <c r="AG44" i="6" s="1"/>
  <c r="AH44" i="6" s="1"/>
  <c r="AI44" i="6" s="1"/>
  <c r="AJ44" i="6" s="1"/>
  <c r="AK44" i="6" s="1"/>
  <c r="AL44" i="6" s="1"/>
  <c r="AM44" i="6" s="1"/>
  <c r="AN44" i="6" s="1"/>
  <c r="AO44" i="6" s="1"/>
  <c r="AP44" i="6" s="1"/>
  <c r="AL61" i="29"/>
  <c r="AL31" i="29"/>
  <c r="AL44" i="29"/>
  <c r="AL58" i="29"/>
  <c r="AL43" i="29"/>
  <c r="AL48" i="29"/>
  <c r="AL70" i="29"/>
  <c r="AL55" i="29"/>
  <c r="AL42" i="29"/>
  <c r="AL56" i="29"/>
  <c r="AL39" i="29"/>
  <c r="AL50" i="29"/>
  <c r="AL63" i="29"/>
  <c r="AL33" i="29"/>
  <c r="AL27" i="29"/>
  <c r="AL30" i="29"/>
  <c r="AL47" i="29"/>
  <c r="AL24" i="29"/>
  <c r="AL64" i="29"/>
  <c r="M1" i="2"/>
  <c r="W41" i="29"/>
  <c r="R57" i="10" s="1"/>
  <c r="U57" i="10" s="1"/>
  <c r="V57" i="10" s="1"/>
  <c r="W11" i="29"/>
  <c r="R47" i="10" s="1"/>
  <c r="U47" i="10" s="1"/>
  <c r="V47" i="10" s="1"/>
  <c r="W67" i="29"/>
  <c r="R60" i="10" s="1"/>
  <c r="U60" i="10" s="1"/>
  <c r="V60" i="10" s="1"/>
  <c r="W13" i="29"/>
  <c r="R48" i="10" s="1"/>
  <c r="U48" i="10" s="1"/>
  <c r="V48" i="10" s="1"/>
  <c r="W25" i="29"/>
  <c r="R52" i="10" s="1"/>
  <c r="U52" i="10" s="1"/>
  <c r="V52" i="10" s="1"/>
  <c r="W78" i="29"/>
  <c r="M11" i="29"/>
  <c r="M24" i="58"/>
  <c r="G24" i="58"/>
  <c r="L24" i="58"/>
  <c r="H24" i="58"/>
  <c r="G25" i="58"/>
  <c r="H25" i="58"/>
  <c r="L25" i="58"/>
  <c r="F12" i="68" a="1"/>
  <c r="F12" i="68" s="1"/>
  <c r="E12" i="68" a="1"/>
  <c r="E12" i="68" s="1"/>
  <c r="J12" i="68" a="1"/>
  <c r="J12" i="68" s="1"/>
  <c r="J20" i="32" a="1"/>
  <c r="J20" i="32" s="1"/>
  <c r="O9" i="32" a="1"/>
  <c r="O9" i="32" s="1"/>
  <c r="K20" i="32" a="1"/>
  <c r="K20" i="32" s="1"/>
  <c r="O11" i="32" a="1"/>
  <c r="O11" i="32" s="1"/>
  <c r="O30" i="32" a="1"/>
  <c r="O30" i="32" s="1"/>
  <c r="P11" i="32" a="1"/>
  <c r="P11" i="32" s="1"/>
  <c r="P30" i="32" a="1"/>
  <c r="P30" i="32" s="1"/>
  <c r="V12" i="68" a="1"/>
  <c r="V12" i="68" s="1"/>
  <c r="G12" i="68" a="1"/>
  <c r="G12" i="68" s="1"/>
  <c r="K12" i="68" a="1"/>
  <c r="K12" i="68" s="1"/>
  <c r="O20" i="32" a="1"/>
  <c r="O20" i="32" s="1"/>
  <c r="D12" i="68" a="1"/>
  <c r="D12" i="68" s="1"/>
  <c r="I12" i="68" a="1"/>
  <c r="I12" i="68" s="1"/>
  <c r="K6" i="71" a="1"/>
  <c r="K6" i="71" s="1"/>
  <c r="K11" i="32" a="1"/>
  <c r="K11" i="32" s="1"/>
  <c r="K30" i="32" a="1"/>
  <c r="K30" i="32" s="1"/>
  <c r="N12" i="68" a="1"/>
  <c r="N12" i="68" s="1"/>
  <c r="H12" i="68" a="1"/>
  <c r="H12" i="68" s="1"/>
  <c r="M12" i="68" a="1"/>
  <c r="M12" i="68" s="1"/>
  <c r="P9" i="32" a="1"/>
  <c r="P9" i="32" s="1"/>
  <c r="J11" i="32" a="1"/>
  <c r="J11" i="32" s="1"/>
  <c r="P20" i="32" a="1"/>
  <c r="P20" i="32" s="1"/>
  <c r="J30" i="32" a="1"/>
  <c r="J30" i="32" s="1"/>
  <c r="L12" i="68" a="1"/>
  <c r="L12" i="68" s="1"/>
  <c r="BJ35" i="34" a="1"/>
  <c r="BJ35" i="34" s="1"/>
  <c r="BL36" i="34" a="1"/>
  <c r="BL36" i="34" s="1"/>
  <c r="BO36" i="34" s="1" a="1"/>
  <c r="BO36" i="34" s="1"/>
  <c r="BN36" i="34" s="1"/>
  <c r="BL35" i="34" a="1"/>
  <c r="BL35" i="34" s="1"/>
  <c r="BO35" i="34" s="1" a="1"/>
  <c r="BO35" i="34" s="1"/>
  <c r="BN35" i="34" s="1"/>
  <c r="BJ30" i="34" a="1"/>
  <c r="BJ30" i="34" s="1"/>
  <c r="BJ36" i="34" a="1"/>
  <c r="BJ36" i="34" s="1"/>
  <c r="BJ31" i="34" a="1"/>
  <c r="BJ31" i="34" s="1"/>
  <c r="BQ30" i="34" a="1"/>
  <c r="BQ30" i="34" s="1"/>
  <c r="BQ31" i="34" a="1"/>
  <c r="BQ31" i="34" s="1"/>
  <c r="BL30" i="34" a="1"/>
  <c r="BL30" i="34" s="1"/>
  <c r="BL31" i="34" a="1"/>
  <c r="BL31" i="34" s="1"/>
  <c r="BQ36" i="34" a="1"/>
  <c r="BQ36" i="34" s="1"/>
  <c r="BQ35" i="34" a="1"/>
  <c r="BQ35" i="34" s="1"/>
  <c r="BL26" i="34" a="1"/>
  <c r="BL26" i="34" s="1"/>
  <c r="BJ26" i="34" a="1"/>
  <c r="BJ26" i="34" s="1"/>
  <c r="BQ26" i="34" a="1"/>
  <c r="BQ26" i="34" s="1"/>
  <c r="M6" i="71" a="1"/>
  <c r="M6" i="71" s="1"/>
  <c r="BJ22" i="34" a="1"/>
  <c r="BJ22" i="34" s="1"/>
  <c r="J26" i="58" s="1"/>
  <c r="H26" i="58" s="1"/>
  <c r="BL25" i="34" a="1"/>
  <c r="BL25" i="34" s="1"/>
  <c r="BJ25" i="34" a="1"/>
  <c r="BJ25" i="34" s="1"/>
  <c r="BQ25" i="34" a="1"/>
  <c r="BQ25" i="34" s="1"/>
  <c r="BZ31" i="73" a="1"/>
  <c r="BZ31" i="73" s="1"/>
  <c r="C170" i="40" a="1"/>
  <c r="C170" i="40" s="1"/>
  <c r="F184" i="40" a="1"/>
  <c r="F184" i="40" s="1"/>
  <c r="F185" i="40" s="1"/>
  <c r="F42" i="40" s="1"/>
  <c r="G1" i="40"/>
  <c r="H1" i="40" s="1"/>
  <c r="K103" i="40"/>
  <c r="K16" i="40" s="1"/>
  <c r="O103" i="40"/>
  <c r="O16" i="40" s="1"/>
  <c r="I103" i="40"/>
  <c r="I16" i="40" s="1"/>
  <c r="F103" i="40"/>
  <c r="F16" i="40" s="1"/>
  <c r="H103" i="40"/>
  <c r="H16" i="40" s="1"/>
  <c r="E103" i="40"/>
  <c r="E16" i="40" s="1"/>
  <c r="N103" i="40"/>
  <c r="N16" i="40" s="1"/>
  <c r="M103" i="40"/>
  <c r="M16" i="40" s="1"/>
  <c r="G103" i="40"/>
  <c r="G16" i="40" s="1"/>
  <c r="L103" i="40"/>
  <c r="L16" i="40" s="1"/>
  <c r="J103" i="40"/>
  <c r="J16" i="40" s="1"/>
  <c r="P35" i="6" a="1"/>
  <c r="P35" i="6" s="1"/>
  <c r="Q34" i="81" s="1"/>
  <c r="S53" i="68" a="1"/>
  <c r="S53" i="68" s="1"/>
  <c r="C102" i="40" a="1"/>
  <c r="C102" i="40" s="1"/>
  <c r="C103" i="40" s="1"/>
  <c r="C54" i="40" a="1"/>
  <c r="C54" i="40" s="1"/>
  <c r="C63" i="40" a="1"/>
  <c r="C63" i="40" s="1"/>
  <c r="C69" i="40" a="1"/>
  <c r="C69" i="40" s="1"/>
  <c r="C59" i="40" a="1"/>
  <c r="C59" i="40" s="1"/>
  <c r="T6" i="71" a="1"/>
  <c r="T6" i="71" s="1"/>
  <c r="F38" i="32" a="1"/>
  <c r="F38" i="32" s="1"/>
  <c r="BL9" i="73"/>
  <c r="BF7" i="57"/>
  <c r="BF8" i="57"/>
  <c r="BA12" i="57"/>
  <c r="BA11" i="57"/>
  <c r="BA10" i="57"/>
  <c r="BA9" i="57"/>
  <c r="BA8" i="57"/>
  <c r="BA7" i="57"/>
  <c r="AQ7" i="57"/>
  <c r="AQ8" i="57"/>
  <c r="AQ9" i="57"/>
  <c r="CN31" i="73" a="1"/>
  <c r="CN31" i="73" s="1"/>
  <c r="BG9" i="73"/>
  <c r="BG10" i="73"/>
  <c r="BG11" i="73"/>
  <c r="BG14" i="73"/>
  <c r="BG13" i="73"/>
  <c r="BG12" i="73"/>
  <c r="CD31" i="73" a="1"/>
  <c r="CD31" i="73" s="1"/>
  <c r="CE31" i="73" s="1" a="1"/>
  <c r="CE31" i="73" s="1"/>
  <c r="AS10" i="73"/>
  <c r="AS9" i="73"/>
  <c r="F1" i="14"/>
  <c r="G1" i="14" s="1"/>
  <c r="H1" i="14" s="1"/>
  <c r="I1" i="14" s="1"/>
  <c r="H4" i="46"/>
  <c r="H2" i="46"/>
  <c r="P1" i="60"/>
  <c r="E38" i="32" a="1"/>
  <c r="E38" i="32" s="1"/>
  <c r="K38" i="32" a="1"/>
  <c r="K38" i="32" s="1"/>
  <c r="J38" i="32" a="1"/>
  <c r="J38" i="32" s="1"/>
  <c r="K14" i="32" a="1"/>
  <c r="K14" i="32" s="1"/>
  <c r="O26" i="68" a="1"/>
  <c r="O26" i="68" s="1"/>
  <c r="J14" i="32" a="1"/>
  <c r="J14" i="32" s="1"/>
  <c r="E14" i="32" a="1"/>
  <c r="E14" i="32" s="1"/>
  <c r="J26" i="32" a="1"/>
  <c r="J26" i="32" s="1"/>
  <c r="K26" i="32" a="1"/>
  <c r="K26" i="32" s="1"/>
  <c r="E26" i="32" a="1"/>
  <c r="E26" i="32" s="1"/>
  <c r="J33" i="32" a="1"/>
  <c r="J33" i="32" s="1"/>
  <c r="E33" i="32" a="1"/>
  <c r="E33" i="32" s="1"/>
  <c r="K33" i="32" a="1"/>
  <c r="K33" i="32" s="1"/>
  <c r="M21" i="68" a="1"/>
  <c r="M21" i="68" s="1"/>
  <c r="C14" i="68" a="1"/>
  <c r="C14" i="68" s="1"/>
  <c r="D14" i="68" a="1"/>
  <c r="D14" i="68" s="1"/>
  <c r="H14" i="68" a="1"/>
  <c r="H14" i="68" s="1"/>
  <c r="O14" i="68" a="1"/>
  <c r="O14" i="68" s="1"/>
  <c r="I14" i="68" a="1"/>
  <c r="I14" i="68" s="1"/>
  <c r="N14" i="68" a="1"/>
  <c r="N14" i="68" s="1"/>
  <c r="K14" i="68" a="1"/>
  <c r="K14" i="68" s="1"/>
  <c r="E14" i="68" a="1"/>
  <c r="E14" i="68" s="1"/>
  <c r="M14" i="68" a="1"/>
  <c r="M14" i="68" s="1"/>
  <c r="L14" i="68" a="1"/>
  <c r="L14" i="68" s="1"/>
  <c r="F14" i="68" a="1"/>
  <c r="F14" i="68" s="1"/>
  <c r="J14" i="68" a="1"/>
  <c r="J14" i="68" s="1"/>
  <c r="G14" i="68" a="1"/>
  <c r="G14" i="68" s="1"/>
  <c r="V21" i="68" a="1"/>
  <c r="V21" i="68" s="1"/>
  <c r="J21" i="68" a="1"/>
  <c r="J21" i="68" s="1"/>
  <c r="I21" i="68" a="1"/>
  <c r="I21" i="68" s="1"/>
  <c r="H21" i="68" a="1"/>
  <c r="H21" i="68" s="1"/>
  <c r="F21" i="68" a="1"/>
  <c r="F21" i="68" s="1"/>
  <c r="G21" i="68" a="1"/>
  <c r="G21" i="68" s="1"/>
  <c r="S14" i="68" a="1"/>
  <c r="S14" i="68" s="1"/>
  <c r="V14" i="68" a="1"/>
  <c r="V14" i="68" s="1"/>
  <c r="S21" i="68" a="1"/>
  <c r="S21" i="68" s="1"/>
  <c r="K21" i="68" a="1"/>
  <c r="K21" i="68" s="1"/>
  <c r="L21" i="68" a="1"/>
  <c r="L21" i="68" s="1"/>
  <c r="C21" i="68" a="1"/>
  <c r="C21" i="68" s="1"/>
  <c r="D21" i="68" a="1"/>
  <c r="D21" i="68" s="1"/>
  <c r="E21" i="68" a="1"/>
  <c r="E21" i="68" s="1"/>
  <c r="O21" i="68" a="1"/>
  <c r="O21" i="68" s="1"/>
  <c r="N21" i="68" a="1"/>
  <c r="N21" i="68" s="1"/>
  <c r="J39" i="32" a="1"/>
  <c r="J39" i="32" s="1"/>
  <c r="K39" i="32" a="1"/>
  <c r="K39" i="32" s="1"/>
  <c r="H4" i="65"/>
  <c r="K4" i="65" s="1" a="1"/>
  <c r="K4" i="65" s="1"/>
  <c r="O76" i="32"/>
  <c r="O104" i="32" a="1"/>
  <c r="O104" i="32" s="1"/>
  <c r="P104" i="32" a="1"/>
  <c r="P104" i="32" s="1"/>
  <c r="K104" i="32" a="1"/>
  <c r="K104" i="32" s="1"/>
  <c r="J104" i="32" a="1"/>
  <c r="J104" i="32" s="1"/>
  <c r="J156" i="32" s="1"/>
  <c r="O82" i="32"/>
  <c r="S27" i="68" a="1"/>
  <c r="S27" i="68" s="1"/>
  <c r="C27" i="68" a="1"/>
  <c r="C27" i="68" s="1"/>
  <c r="S48" i="68" a="1"/>
  <c r="S48" i="68" s="1"/>
  <c r="V5" i="68" a="1"/>
  <c r="V5" i="68" s="1"/>
  <c r="S5" i="68" a="1"/>
  <c r="S5" i="68" s="1"/>
  <c r="E104" i="32" a="1"/>
  <c r="E104" i="32" s="1"/>
  <c r="P80" i="32" a="1"/>
  <c r="P80" i="32" s="1"/>
  <c r="J80" i="32" a="1"/>
  <c r="J80" i="32" s="1"/>
  <c r="K80" i="32" a="1"/>
  <c r="K80" i="32" s="1"/>
  <c r="CO5" i="76" a="1"/>
  <c r="CO5" i="76" s="1"/>
  <c r="I5" i="68" a="1"/>
  <c r="I5" i="68" s="1"/>
  <c r="O22" i="32" a="1"/>
  <c r="O22" i="32" s="1"/>
  <c r="O6" i="32" a="1"/>
  <c r="O6" i="32" s="1"/>
  <c r="O158" i="32" s="1"/>
  <c r="J22" i="32" a="1"/>
  <c r="J22" i="32" s="1"/>
  <c r="J6" i="32" a="1"/>
  <c r="J6" i="32" s="1"/>
  <c r="J158" i="32" s="1"/>
  <c r="O37" i="32"/>
  <c r="F104" i="32" a="1"/>
  <c r="F104" i="32" s="1"/>
  <c r="F80" i="32" a="1"/>
  <c r="F80" i="32" s="1"/>
  <c r="AE29" i="61" a="1"/>
  <c r="AE29" i="61" s="1"/>
  <c r="AE24" i="61" a="1"/>
  <c r="AE24" i="61" s="1"/>
  <c r="P82" i="32"/>
  <c r="M81" i="29"/>
  <c r="K22" i="32" a="1"/>
  <c r="K22" i="32" s="1"/>
  <c r="BR11" i="76" a="1"/>
  <c r="BR11" i="76" s="1"/>
  <c r="F22" i="32" a="1"/>
  <c r="F22" i="32" s="1"/>
  <c r="BR7" i="76" a="1"/>
  <c r="BR7" i="76" s="1"/>
  <c r="E22" i="32" a="1"/>
  <c r="E22" i="32" s="1"/>
  <c r="BR12" i="76" a="1"/>
  <c r="BR12" i="76" s="1"/>
  <c r="BR13" i="76" a="1"/>
  <c r="BR13" i="76" s="1"/>
  <c r="BR5" i="76" a="1"/>
  <c r="BR5" i="76" s="1"/>
  <c r="BR9" i="76" a="1"/>
  <c r="BR9" i="76" s="1"/>
  <c r="P6" i="32" a="1"/>
  <c r="P6" i="32" s="1"/>
  <c r="P158" i="32" s="1"/>
  <c r="BR14" i="76" a="1"/>
  <c r="BR14" i="76" s="1"/>
  <c r="BR6" i="76" a="1"/>
  <c r="BR6" i="76" s="1"/>
  <c r="K6" i="32" a="1"/>
  <c r="K6" i="32" s="1"/>
  <c r="K158" i="32" s="1"/>
  <c r="BR15" i="76" a="1"/>
  <c r="BR15" i="76" s="1"/>
  <c r="BR16" i="76" a="1"/>
  <c r="BR16" i="76" s="1"/>
  <c r="BR8" i="76" a="1"/>
  <c r="BR8" i="76" s="1"/>
  <c r="P22" i="32" a="1"/>
  <c r="P22" i="32" s="1"/>
  <c r="BR10" i="76" a="1"/>
  <c r="BR10" i="76" s="1"/>
  <c r="Z5" i="61"/>
  <c r="I4" i="65"/>
  <c r="BI22" i="57"/>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C23" i="49" a="1"/>
  <c r="AC23" i="49" s="1"/>
  <c r="AD23" i="49" s="1" a="1"/>
  <c r="AD23" i="49" s="1"/>
  <c r="D93" i="32" a="1"/>
  <c r="D93" i="32" s="1"/>
  <c r="D91" i="32" s="1"/>
  <c r="D86" i="32" s="1"/>
  <c r="M152" i="40" a="1"/>
  <c r="M152" i="40" s="1"/>
  <c r="M28" i="40" s="1"/>
  <c r="G152" i="40" a="1"/>
  <c r="G152" i="40" s="1"/>
  <c r="G28" i="40" s="1"/>
  <c r="O152" i="40" a="1"/>
  <c r="O152" i="40" s="1"/>
  <c r="O28" i="40" s="1"/>
  <c r="D152" i="40" a="1"/>
  <c r="D152" i="40" s="1"/>
  <c r="D28" i="40" s="1"/>
  <c r="L152" i="40" a="1"/>
  <c r="L152" i="40" s="1"/>
  <c r="L28" i="40" s="1"/>
  <c r="E152" i="40" a="1"/>
  <c r="E152" i="40" s="1"/>
  <c r="E28" i="40" s="1"/>
  <c r="H152" i="40" a="1"/>
  <c r="H152" i="40" s="1"/>
  <c r="H28" i="40" s="1"/>
  <c r="F152" i="40" a="1"/>
  <c r="F152" i="40" s="1"/>
  <c r="F28" i="40" s="1"/>
  <c r="N152" i="40" a="1"/>
  <c r="N152" i="40" s="1"/>
  <c r="N28" i="40" s="1"/>
  <c r="K152" i="40" a="1"/>
  <c r="K152" i="40" s="1"/>
  <c r="K28" i="40" s="1"/>
  <c r="J152" i="40" a="1"/>
  <c r="J152" i="40" s="1"/>
  <c r="J28" i="40" s="1"/>
  <c r="AI46" i="6"/>
  <c r="AL46" i="6" s="1"/>
  <c r="AJ46" i="6" s="1"/>
  <c r="AK46" i="6" s="1"/>
  <c r="E93" i="32" a="1"/>
  <c r="E93" i="32" s="1"/>
  <c r="I152" i="40" a="1"/>
  <c r="I152" i="40" s="1"/>
  <c r="I28" i="40" s="1"/>
  <c r="P91" i="32"/>
  <c r="P86" i="32" s="1"/>
  <c r="E6" i="32" a="1"/>
  <c r="E6" i="32" s="1"/>
  <c r="E158" i="32" s="1"/>
  <c r="D98" i="32"/>
  <c r="D105" i="32"/>
  <c r="CD31" i="72" a="1"/>
  <c r="CD31" i="72" s="1"/>
  <c r="BB3" i="72" s="1"/>
  <c r="BC3" i="72" s="1"/>
  <c r="O36" i="68"/>
  <c r="I36" i="68"/>
  <c r="Q43" i="10"/>
  <c r="U43" i="10" s="1"/>
  <c r="H33" i="10" s="1"/>
  <c r="G16" i="68" a="1"/>
  <c r="G16" i="68" s="1"/>
  <c r="N16" i="68" a="1"/>
  <c r="N16" i="68" s="1"/>
  <c r="E16" i="68" a="1"/>
  <c r="E16" i="68" s="1"/>
  <c r="BF6" i="57"/>
  <c r="BA6" i="57"/>
  <c r="BS24" i="57"/>
  <c r="BM24" i="57"/>
  <c r="AQ6" i="57"/>
  <c r="BQ24" i="57"/>
  <c r="BN25" i="57"/>
  <c r="BN22" i="57" s="1"/>
  <c r="K16" i="68" a="1"/>
  <c r="K16" i="68" s="1"/>
  <c r="L16" i="68" a="1"/>
  <c r="L16" i="68" s="1"/>
  <c r="CA28" i="76"/>
  <c r="BY28" i="76"/>
  <c r="CA26" i="76"/>
  <c r="BY26" i="76"/>
  <c r="CA23" i="76"/>
  <c r="BY23" i="76"/>
  <c r="CA31" i="76"/>
  <c r="BY31" i="76"/>
  <c r="CA25" i="76"/>
  <c r="BY25" i="76"/>
  <c r="CA27" i="76"/>
  <c r="BY27" i="76"/>
  <c r="CA30" i="76"/>
  <c r="BY30" i="76"/>
  <c r="CA33" i="76"/>
  <c r="BY33" i="76"/>
  <c r="CA29" i="76"/>
  <c r="BY29" i="76"/>
  <c r="CA32" i="76"/>
  <c r="BY32" i="76"/>
  <c r="CA22" i="76"/>
  <c r="BY22" i="76"/>
  <c r="CA24" i="76"/>
  <c r="BY24" i="76"/>
  <c r="H16" i="68" a="1"/>
  <c r="H16" i="68" s="1"/>
  <c r="F16" i="68" a="1"/>
  <c r="F16" i="68" s="1"/>
  <c r="M16" i="68" a="1"/>
  <c r="M16" i="68" s="1"/>
  <c r="F23" i="32" a="1"/>
  <c r="F23" i="32" s="1"/>
  <c r="J16" i="68" a="1"/>
  <c r="J16" i="68" s="1"/>
  <c r="P5" i="52"/>
  <c r="Q5" i="52" s="1" a="1"/>
  <c r="Q5" i="52" s="1"/>
  <c r="AO6" i="71"/>
  <c r="BL8" i="73"/>
  <c r="BQ25" i="73"/>
  <c r="BR25" i="73" s="1"/>
  <c r="BQ26" i="73"/>
  <c r="BR26" i="73" s="1"/>
  <c r="BQ19" i="73"/>
  <c r="BR19" i="73" s="1"/>
  <c r="BQ15" i="73"/>
  <c r="BR15" i="73" s="1"/>
  <c r="BP20" i="73"/>
  <c r="BQ21" i="73"/>
  <c r="BR21" i="73" s="1"/>
  <c r="BP18" i="73"/>
  <c r="BO6" i="73" a="1"/>
  <c r="BO6" i="73" s="1"/>
  <c r="BT9" i="72" a="1"/>
  <c r="BT9" i="72" s="1"/>
  <c r="BQ9" i="72"/>
  <c r="BW31" i="73" a="1"/>
  <c r="BW31" i="73" s="1"/>
  <c r="BX31" i="73" s="1" a="1"/>
  <c r="BX31" i="73" s="1"/>
  <c r="BP16" i="73"/>
  <c r="BQ31" i="73" a="1"/>
  <c r="BQ31" i="73" s="1"/>
  <c r="BU31" i="73" s="1" a="1"/>
  <c r="BU31" i="73" s="1"/>
  <c r="BQ24" i="73"/>
  <c r="BR24" i="73" s="1"/>
  <c r="BR6" i="72" a="1"/>
  <c r="BR6" i="72" s="1"/>
  <c r="BS6" i="72" s="1"/>
  <c r="BQ6" i="72"/>
  <c r="BQ17" i="73"/>
  <c r="BR17" i="73" s="1"/>
  <c r="BQ22" i="73"/>
  <c r="BR22" i="73" s="1"/>
  <c r="BQ23" i="73"/>
  <c r="BR23" i="73" s="1"/>
  <c r="AS8" i="73"/>
  <c r="CY31" i="72"/>
  <c r="AQ1" i="72"/>
  <c r="K42" i="68"/>
  <c r="I42" i="68"/>
  <c r="O6" i="71" a="1"/>
  <c r="O6" i="71" s="1"/>
  <c r="BR31" i="72"/>
  <c r="BV31" i="72"/>
  <c r="F50" i="32" a="1"/>
  <c r="F50" i="32" s="1"/>
  <c r="W81" i="29"/>
  <c r="CV49" i="71" a="1"/>
  <c r="CV49" i="71" s="1"/>
  <c r="CX49" i="71" s="1" a="1"/>
  <c r="CX49" i="71" s="1"/>
  <c r="I35" i="13"/>
  <c r="T36" i="81" s="1"/>
  <c r="CV45" i="71" a="1"/>
  <c r="CV45" i="71" s="1"/>
  <c r="CX45" i="71" s="1" a="1"/>
  <c r="CX45" i="71" s="1"/>
  <c r="CZ45" i="71" s="1"/>
  <c r="CV46" i="71" a="1"/>
  <c r="CV46" i="71" s="1"/>
  <c r="CX46" i="71" s="1" a="1"/>
  <c r="CX46" i="71" s="1"/>
  <c r="CZ46" i="71" s="1"/>
  <c r="M42" i="68"/>
  <c r="CV50" i="71" a="1"/>
  <c r="CV50" i="71" s="1"/>
  <c r="CX50" i="71" s="1" a="1"/>
  <c r="CX50" i="71" s="1"/>
  <c r="CZ50" i="71" s="1"/>
  <c r="F42" i="68"/>
  <c r="L42" i="68"/>
  <c r="CV36" i="71" a="1"/>
  <c r="CV36" i="71" s="1"/>
  <c r="CX36" i="71" s="1" a="1"/>
  <c r="CX36" i="71" s="1"/>
  <c r="CZ36" i="71" s="1"/>
  <c r="D42" i="68"/>
  <c r="CV44" i="71" a="1"/>
  <c r="CV44" i="71" s="1"/>
  <c r="CX44" i="71" s="1" a="1"/>
  <c r="CX44" i="71" s="1"/>
  <c r="F39" i="32" a="1"/>
  <c r="F39" i="32" s="1"/>
  <c r="E42" i="68"/>
  <c r="N42" i="68"/>
  <c r="CV41" i="71" a="1"/>
  <c r="CV41" i="71" s="1"/>
  <c r="CX41" i="71" s="1" a="1"/>
  <c r="CX41" i="71" s="1"/>
  <c r="CZ41" i="71" s="1"/>
  <c r="G42" i="68"/>
  <c r="BU31" i="72" a="1"/>
  <c r="BU31" i="72" s="1"/>
  <c r="BT31" i="72" a="1"/>
  <c r="BT31" i="72" s="1"/>
  <c r="CJ31" i="72" a="1"/>
  <c r="CJ31" i="72" s="1"/>
  <c r="BR9" i="72" a="1"/>
  <c r="BR9" i="72" s="1"/>
  <c r="BS9" i="72" s="1"/>
  <c r="BT7" i="72" a="1"/>
  <c r="BT7" i="72" s="1"/>
  <c r="BR7" i="72" a="1"/>
  <c r="BR7" i="72" s="1"/>
  <c r="BS7" i="72" s="1"/>
  <c r="BT6" i="72" a="1"/>
  <c r="BT6" i="72" s="1"/>
  <c r="L38" i="68" a="1"/>
  <c r="L38" i="68" s="1"/>
  <c r="L36" i="68" s="1"/>
  <c r="G115" i="40"/>
  <c r="G116" i="40" s="1"/>
  <c r="G18" i="40" s="1"/>
  <c r="G121" i="40"/>
  <c r="G19" i="40" s="1"/>
  <c r="E115" i="40"/>
  <c r="E116" i="40" s="1"/>
  <c r="E18" i="40" s="1"/>
  <c r="E121" i="40"/>
  <c r="E19" i="40" s="1"/>
  <c r="E54" i="32" a="1"/>
  <c r="E54" i="32" s="1"/>
  <c r="J36" i="68"/>
  <c r="F51" i="32"/>
  <c r="C36" i="68"/>
  <c r="N36" i="68"/>
  <c r="M36" i="68"/>
  <c r="AJ6" i="71" a="1"/>
  <c r="AJ6" i="71" s="1"/>
  <c r="AI6" i="71" s="1"/>
  <c r="D41" i="68" a="1"/>
  <c r="D41" i="68" s="1"/>
  <c r="E56" i="32" a="1"/>
  <c r="E56" i="32" s="1"/>
  <c r="C41" i="68" a="1"/>
  <c r="C41" i="68" s="1"/>
  <c r="E74" i="32" a="1"/>
  <c r="E74" i="32" s="1"/>
  <c r="G36" i="68"/>
  <c r="F74" i="32" a="1"/>
  <c r="F74" i="32" s="1"/>
  <c r="F36" i="68"/>
  <c r="E23" i="32" a="1"/>
  <c r="E23" i="32" s="1"/>
  <c r="O16" i="68" a="1"/>
  <c r="O16" i="68" s="1"/>
  <c r="L5" i="68" a="1"/>
  <c r="L5" i="68" s="1"/>
  <c r="F121" i="40"/>
  <c r="F19" i="40" s="1"/>
  <c r="F115" i="40"/>
  <c r="F116" i="40" s="1"/>
  <c r="F18" i="40" s="1"/>
  <c r="M121" i="40"/>
  <c r="M19" i="40" s="1"/>
  <c r="M115" i="40"/>
  <c r="M116" i="40" s="1"/>
  <c r="M18" i="40" s="1"/>
  <c r="J115" i="40"/>
  <c r="J116" i="40" s="1"/>
  <c r="J18" i="40" s="1"/>
  <c r="J121" i="40"/>
  <c r="J19" i="40" s="1"/>
  <c r="C50" i="40" a="1"/>
  <c r="C50" i="40" s="1"/>
  <c r="F6" i="32" a="1"/>
  <c r="F6" i="32" s="1"/>
  <c r="F158" i="32" s="1"/>
  <c r="O5" i="68" a="1"/>
  <c r="O5" i="68" s="1"/>
  <c r="K5" i="68" a="1"/>
  <c r="K5" i="68" s="1"/>
  <c r="J5" i="68" a="1"/>
  <c r="J5" i="68" s="1"/>
  <c r="C5" i="68" a="1"/>
  <c r="C5" i="68" s="1"/>
  <c r="E6" i="71" a="1"/>
  <c r="E6" i="71" s="1"/>
  <c r="D36" i="68"/>
  <c r="E5" i="68" a="1"/>
  <c r="E5" i="68" s="1"/>
  <c r="O115" i="40"/>
  <c r="O116" i="40" s="1"/>
  <c r="O18" i="40" s="1"/>
  <c r="O121" i="40"/>
  <c r="O19" i="40" s="1"/>
  <c r="AE2" i="61"/>
  <c r="AF1" i="61"/>
  <c r="H42" i="68"/>
  <c r="L121" i="40"/>
  <c r="L19" i="40" s="1"/>
  <c r="L115" i="40"/>
  <c r="L116" i="40" s="1"/>
  <c r="L18" i="40" s="1"/>
  <c r="K36" i="68"/>
  <c r="E36" i="68"/>
  <c r="O5" i="53" a="1"/>
  <c r="O5" i="53" s="1"/>
  <c r="N5" i="68" a="1"/>
  <c r="N5" i="68" s="1"/>
  <c r="J42" i="68"/>
  <c r="H115" i="40"/>
  <c r="H116" i="40" s="1"/>
  <c r="H18" i="40" s="1"/>
  <c r="H121" i="40"/>
  <c r="H19" i="40" s="1"/>
  <c r="N121" i="40"/>
  <c r="N19" i="40" s="1"/>
  <c r="N115" i="40"/>
  <c r="N116" i="40" s="1"/>
  <c r="N18" i="40" s="1"/>
  <c r="O42" i="68"/>
  <c r="O3" i="53" a="1"/>
  <c r="O3" i="53" s="1"/>
  <c r="U44" i="10"/>
  <c r="V44" i="10" s="1"/>
  <c r="D5" i="68" a="1"/>
  <c r="D5" i="68" s="1"/>
  <c r="M5" i="68" a="1"/>
  <c r="M5" i="68" s="1"/>
  <c r="I121" i="40"/>
  <c r="I19" i="40" s="1"/>
  <c r="I115" i="40"/>
  <c r="I116" i="40" s="1"/>
  <c r="I18" i="40" s="1"/>
  <c r="G5" i="68" a="1"/>
  <c r="G5" i="68" s="1"/>
  <c r="E39" i="32" a="1"/>
  <c r="E39" i="32" s="1"/>
  <c r="H5" i="68" a="1"/>
  <c r="H5" i="68" s="1"/>
  <c r="C16" i="68" a="1"/>
  <c r="C16" i="68" s="1"/>
  <c r="F5" i="68" a="1"/>
  <c r="F5" i="68" s="1"/>
  <c r="H36" i="68"/>
  <c r="K115" i="40"/>
  <c r="K116" i="40" s="1"/>
  <c r="K18" i="40" s="1"/>
  <c r="K121" i="40"/>
  <c r="K19" i="40" s="1"/>
  <c r="AJ47" i="29" l="1"/>
  <c r="AG47" i="29"/>
  <c r="J6" i="71"/>
  <c r="AM47" i="29"/>
  <c r="K156" i="32"/>
  <c r="AM24" i="29"/>
  <c r="AB56" i="6"/>
  <c r="AH56" i="6" s="1"/>
  <c r="AJ56" i="6" s="1"/>
  <c r="AK56" i="6" s="1"/>
  <c r="AC56" i="6"/>
  <c r="AJ31" i="29"/>
  <c r="AJ23" i="29"/>
  <c r="AB59" i="6"/>
  <c r="AH59" i="6" s="1"/>
  <c r="AJ59" i="6" s="1"/>
  <c r="AK59" i="6" s="1"/>
  <c r="AC59" i="6"/>
  <c r="AJ42" i="29"/>
  <c r="AB64" i="6"/>
  <c r="AH64" i="6" s="1"/>
  <c r="AC64" i="6"/>
  <c r="AJ50" i="29"/>
  <c r="AC51" i="6"/>
  <c r="AJ18" i="29"/>
  <c r="AB51" i="6"/>
  <c r="AB66" i="6"/>
  <c r="AH66" i="6" s="1"/>
  <c r="AJ66" i="6" s="1"/>
  <c r="AK66" i="6" s="1"/>
  <c r="AC66" i="6"/>
  <c r="AJ56" i="29"/>
  <c r="AC49" i="6"/>
  <c r="AJ16" i="29"/>
  <c r="AB49" i="6"/>
  <c r="AH49" i="6" s="1"/>
  <c r="AB65" i="6"/>
  <c r="AH65" i="6" s="1"/>
  <c r="AJ65" i="6" s="1"/>
  <c r="AK65" i="6" s="1"/>
  <c r="AC65" i="6"/>
  <c r="AJ55" i="29"/>
  <c r="AB55" i="6"/>
  <c r="AH55" i="6" s="1"/>
  <c r="AC55" i="6"/>
  <c r="AJ30" i="29"/>
  <c r="AC52" i="6"/>
  <c r="AJ22" i="29"/>
  <c r="AB52" i="6"/>
  <c r="AH52" i="6" s="1"/>
  <c r="AJ52" i="6" s="1"/>
  <c r="AK52" i="6" s="1"/>
  <c r="AC48" i="6"/>
  <c r="AB48" i="6"/>
  <c r="AH48" i="6" s="1"/>
  <c r="AJ48" i="6" s="1"/>
  <c r="AK48" i="6" s="1"/>
  <c r="AJ6" i="29"/>
  <c r="AD70" i="29"/>
  <c r="AE70" i="29" s="1"/>
  <c r="AG70" i="29" s="1"/>
  <c r="AD48" i="29"/>
  <c r="AE48" i="29" s="1"/>
  <c r="AM30" i="29"/>
  <c r="AD63" i="29"/>
  <c r="AE63" i="29" s="1"/>
  <c r="AG63" i="29" s="1"/>
  <c r="AM23" i="29"/>
  <c r="AB62" i="6"/>
  <c r="AH62" i="6" s="1"/>
  <c r="AJ62" i="6" s="1"/>
  <c r="AK62" i="6" s="1"/>
  <c r="AC62" i="6"/>
  <c r="AB53" i="6"/>
  <c r="AH53" i="6" s="1"/>
  <c r="AC53" i="6"/>
  <c r="AJ24" i="29"/>
  <c r="AM16" i="29"/>
  <c r="AM31" i="29"/>
  <c r="AD17" i="29"/>
  <c r="AE17" i="29" s="1"/>
  <c r="AG17" i="29" s="1"/>
  <c r="AM22" i="29"/>
  <c r="AD27" i="29"/>
  <c r="AE27" i="29" s="1"/>
  <c r="AG27" i="29" s="1"/>
  <c r="AD64" i="29"/>
  <c r="AE64" i="29" s="1"/>
  <c r="AG64" i="29" s="1"/>
  <c r="AD58" i="29"/>
  <c r="AE58" i="29" s="1"/>
  <c r="AG58" i="29" s="1"/>
  <c r="AM6" i="29"/>
  <c r="AM50" i="29"/>
  <c r="AD44" i="29"/>
  <c r="AE44" i="29" s="1"/>
  <c r="AG44" i="29" s="1"/>
  <c r="AD43" i="29"/>
  <c r="AE43" i="29" s="1"/>
  <c r="AG43" i="29" s="1"/>
  <c r="AM18" i="29"/>
  <c r="AM56" i="29"/>
  <c r="AM42" i="29"/>
  <c r="AD39" i="29"/>
  <c r="AE39" i="29" s="1"/>
  <c r="AG39" i="29" s="1"/>
  <c r="AD33" i="29"/>
  <c r="AE33" i="29" s="1"/>
  <c r="AG33" i="29" s="1"/>
  <c r="AD61" i="29"/>
  <c r="AE61" i="29" s="1"/>
  <c r="AG61" i="29" s="1"/>
  <c r="AM55" i="29"/>
  <c r="W14" i="29"/>
  <c r="R49" i="10" s="1"/>
  <c r="U49" i="10" s="1"/>
  <c r="V49" i="10" s="1"/>
  <c r="W38" i="29"/>
  <c r="R55" i="10" s="1"/>
  <c r="U55" i="10" s="1"/>
  <c r="V55" i="10" s="1"/>
  <c r="W21" i="29"/>
  <c r="R51" i="10" s="1"/>
  <c r="U51" i="10" s="1"/>
  <c r="V51" i="10" s="1"/>
  <c r="W10" i="29"/>
  <c r="R46" i="10" s="1"/>
  <c r="U46" i="10" s="1"/>
  <c r="V46" i="10" s="1"/>
  <c r="W40" i="29"/>
  <c r="R56" i="10" s="1"/>
  <c r="U56" i="10" s="1"/>
  <c r="V56" i="10" s="1"/>
  <c r="W69" i="29"/>
  <c r="R61" i="10" s="1"/>
  <c r="U61" i="10" s="1"/>
  <c r="V61" i="10" s="1"/>
  <c r="W80" i="29"/>
  <c r="R64" i="10" s="1"/>
  <c r="U64" i="10" s="1"/>
  <c r="V64" i="10" s="1"/>
  <c r="W32" i="29"/>
  <c r="R54" i="10" s="1"/>
  <c r="U54" i="10" s="1"/>
  <c r="V54" i="10" s="1"/>
  <c r="I1" i="30"/>
  <c r="W62" i="29"/>
  <c r="R59" i="10" s="1"/>
  <c r="U59" i="10" s="1"/>
  <c r="V59" i="10" s="1"/>
  <c r="W15" i="29"/>
  <c r="R50" i="10" s="1"/>
  <c r="U50" i="10" s="1"/>
  <c r="V50" i="10" s="1"/>
  <c r="W73" i="29"/>
  <c r="R62" i="10" s="1"/>
  <c r="U62" i="10" s="1"/>
  <c r="V62" i="10" s="1"/>
  <c r="W57" i="29"/>
  <c r="R58" i="10" s="1"/>
  <c r="U58" i="10" s="1"/>
  <c r="V58" i="10" s="1"/>
  <c r="AF4" i="61"/>
  <c r="AF5" i="61"/>
  <c r="W79" i="29"/>
  <c r="R63" i="10" s="1"/>
  <c r="U63" i="10" s="1"/>
  <c r="V63" i="10" s="1"/>
  <c r="AH51" i="6"/>
  <c r="P156" i="32"/>
  <c r="O156" i="32"/>
  <c r="P135" i="32"/>
  <c r="P163" i="32"/>
  <c r="P136" i="32"/>
  <c r="P70" i="32"/>
  <c r="P164" i="32" s="1"/>
  <c r="O163" i="32"/>
  <c r="O136" i="32"/>
  <c r="O70" i="32"/>
  <c r="O164" i="32" s="1"/>
  <c r="I25" i="9"/>
  <c r="I23" i="9"/>
  <c r="I24" i="9"/>
  <c r="CG5" i="76" a="1"/>
  <c r="CG5" i="76" s="1"/>
  <c r="AQ6" i="76" s="1"/>
  <c r="AU6" i="76" s="1"/>
  <c r="AV6" i="76" s="1"/>
  <c r="L26" i="58"/>
  <c r="N26" i="58" s="1"/>
  <c r="G26" i="58"/>
  <c r="N25" i="58"/>
  <c r="O25" i="58"/>
  <c r="P25" i="58" s="1" a="1"/>
  <c r="P25" i="58" s="1"/>
  <c r="N24" i="58"/>
  <c r="O24" i="58"/>
  <c r="V20" i="68"/>
  <c r="BO31" i="34" a="1"/>
  <c r="BO31" i="34" s="1"/>
  <c r="BN31" i="34" s="1"/>
  <c r="P139" i="32"/>
  <c r="P140" i="32" s="1"/>
  <c r="BO30" i="34" a="1"/>
  <c r="BO30" i="34" s="1"/>
  <c r="BN30" i="34" s="1"/>
  <c r="H184" i="40" a="1"/>
  <c r="H184" i="40" s="1"/>
  <c r="H185" i="40" s="1"/>
  <c r="H42" i="40" s="1"/>
  <c r="BO25" i="34" a="1"/>
  <c r="BO25" i="34" s="1"/>
  <c r="BN25" i="34" s="1"/>
  <c r="BO26" i="34" a="1"/>
  <c r="BO26" i="34" s="1"/>
  <c r="BN26" i="34" s="1"/>
  <c r="P36" i="6"/>
  <c r="Q35" i="81" s="1"/>
  <c r="G184" i="40" a="1"/>
  <c r="G184" i="40" s="1"/>
  <c r="G185" i="40" s="1"/>
  <c r="G42" i="40" s="1"/>
  <c r="AI45" i="6"/>
  <c r="AL45" i="6" s="1"/>
  <c r="AJ45" i="6" s="1"/>
  <c r="AK45" i="6" s="1"/>
  <c r="V53" i="68" a="1"/>
  <c r="V53" i="68" s="1"/>
  <c r="V55" i="68" a="1"/>
  <c r="V55" i="68" s="1"/>
  <c r="C68" i="40"/>
  <c r="AZ7" i="76"/>
  <c r="BD7" i="76" s="1"/>
  <c r="BE7" i="76" s="1"/>
  <c r="AZ8" i="76"/>
  <c r="BD8" i="76" s="1"/>
  <c r="BE8" i="76" s="1"/>
  <c r="AZ9" i="76"/>
  <c r="BD9" i="76" s="1"/>
  <c r="BE9" i="76" s="1"/>
  <c r="AZ6" i="76"/>
  <c r="BD6" i="76" s="1"/>
  <c r="BE6" i="76" s="1"/>
  <c r="CF31" i="73" a="1"/>
  <c r="CF31" i="73" s="1"/>
  <c r="CI31" i="73" s="1" a="1"/>
  <c r="CI31" i="73" s="1"/>
  <c r="AZ10" i="73"/>
  <c r="AZ9" i="73"/>
  <c r="AU9" i="73"/>
  <c r="AU10" i="73"/>
  <c r="J1" i="14"/>
  <c r="K1" i="14" s="1"/>
  <c r="L1" i="14" s="1"/>
  <c r="M1" i="14" s="1"/>
  <c r="BK9" i="72"/>
  <c r="BK10" i="72"/>
  <c r="AS8" i="72"/>
  <c r="AS9" i="72"/>
  <c r="AS10" i="72"/>
  <c r="AS11" i="72"/>
  <c r="AS12" i="72"/>
  <c r="AS13" i="72"/>
  <c r="AS14" i="72"/>
  <c r="P23" i="49" a="1"/>
  <c r="P23" i="49" s="1"/>
  <c r="S26" i="68" a="1"/>
  <c r="S26" i="68" s="1"/>
  <c r="S20" i="68" s="1"/>
  <c r="C26" i="68" a="1"/>
  <c r="C26" i="68" s="1"/>
  <c r="K37" i="32"/>
  <c r="J37" i="32"/>
  <c r="J19" i="32" a="1"/>
  <c r="J19" i="32" s="1"/>
  <c r="J18" i="32" s="1" a="1"/>
  <c r="J18" i="32" s="1"/>
  <c r="J17" i="32" s="1"/>
  <c r="K19" i="32" a="1"/>
  <c r="K19" i="32" s="1"/>
  <c r="K18" i="32" s="1" a="1"/>
  <c r="K18" i="32" s="1"/>
  <c r="O73" i="32"/>
  <c r="O153" i="32" s="1"/>
  <c r="O139" i="32"/>
  <c r="O140" i="32" s="1"/>
  <c r="V40" i="68"/>
  <c r="V35" i="68"/>
  <c r="C15" i="68" a="1"/>
  <c r="C15" i="68" s="1"/>
  <c r="S15" i="68" a="1"/>
  <c r="S15" i="68" s="1"/>
  <c r="V48" i="68" a="1"/>
  <c r="V48" i="68" s="1"/>
  <c r="S35" i="68"/>
  <c r="J159" i="32"/>
  <c r="J10" i="32" a="1"/>
  <c r="J10" i="32" s="1"/>
  <c r="O10" i="32" a="1"/>
  <c r="O10" i="32" s="1"/>
  <c r="O8" i="32" s="1"/>
  <c r="O29" i="32" a="1"/>
  <c r="O29" i="32" s="1"/>
  <c r="O28" i="32" s="1"/>
  <c r="J29" i="32" a="1"/>
  <c r="J29" i="32" s="1"/>
  <c r="J28" i="32" s="1"/>
  <c r="O18" i="32" a="1"/>
  <c r="O18" i="32" s="1"/>
  <c r="O17" i="32" s="1"/>
  <c r="E29" i="32" a="1"/>
  <c r="E29" i="32" s="1"/>
  <c r="P29" i="32" a="1"/>
  <c r="P29" i="32" s="1"/>
  <c r="P28" i="32" s="1"/>
  <c r="K10" i="32" a="1"/>
  <c r="K10" i="32" s="1"/>
  <c r="K29" i="32" a="1"/>
  <c r="K29" i="32" s="1"/>
  <c r="P10" i="32" a="1"/>
  <c r="P10" i="32" s="1"/>
  <c r="P18" i="32" a="1"/>
  <c r="P18" i="32" s="1"/>
  <c r="AF24" i="61" a="1"/>
  <c r="AF24" i="61" s="1"/>
  <c r="AF29" i="61" a="1"/>
  <c r="AF29" i="61" s="1"/>
  <c r="AU22" i="59"/>
  <c r="AU20" i="59"/>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C28" i="40"/>
  <c r="CV47" i="71" a="1"/>
  <c r="CV47" i="71" s="1"/>
  <c r="CX47" i="71" s="1" a="1"/>
  <c r="CX47" i="71" s="1"/>
  <c r="CZ47" i="71" s="1"/>
  <c r="E91" i="32"/>
  <c r="F91" i="32"/>
  <c r="D97" i="32"/>
  <c r="BL12" i="57" a="1"/>
  <c r="BL12" i="57" s="1"/>
  <c r="CN5" i="76" a="1"/>
  <c r="CN5" i="76" s="1"/>
  <c r="V43" i="10"/>
  <c r="BL7" i="57" a="1"/>
  <c r="BL7" i="57" s="1"/>
  <c r="BM17" i="57" a="1"/>
  <c r="BM17" i="57" s="1"/>
  <c r="BL11" i="57" a="1"/>
  <c r="BL11" i="57" s="1"/>
  <c r="BL15" i="57" a="1"/>
  <c r="BL15" i="57" s="1"/>
  <c r="BL17" i="57" a="1"/>
  <c r="BL17" i="57" s="1"/>
  <c r="BM15" i="57" a="1"/>
  <c r="BM15" i="57" s="1"/>
  <c r="BM9" i="57" a="1"/>
  <c r="BM9" i="57" s="1"/>
  <c r="BM12" i="57" a="1"/>
  <c r="BM12" i="57" s="1"/>
  <c r="BM8" i="57" a="1"/>
  <c r="BM8" i="57" s="1"/>
  <c r="BM11" i="57" a="1"/>
  <c r="BM11" i="57" s="1"/>
  <c r="BL14" i="57" a="1"/>
  <c r="BL14" i="57" s="1"/>
  <c r="BM7" i="57" a="1"/>
  <c r="BM7" i="57" s="1"/>
  <c r="BL9" i="57" a="1"/>
  <c r="BL9" i="57" s="1"/>
  <c r="BL8" i="57" a="1"/>
  <c r="BL8" i="57" s="1"/>
  <c r="BM6" i="57" a="1"/>
  <c r="BM6" i="57" s="1"/>
  <c r="BM16" i="57" a="1"/>
  <c r="BM16" i="57" s="1"/>
  <c r="BL13" i="57" a="1"/>
  <c r="BL13" i="57" s="1"/>
  <c r="BL16" i="57" a="1"/>
  <c r="BL16" i="57" s="1"/>
  <c r="BL6" i="57" a="1"/>
  <c r="BL6" i="57" s="1"/>
  <c r="BM14" i="57" a="1"/>
  <c r="BM14" i="57" s="1"/>
  <c r="BM13" i="57" a="1"/>
  <c r="BM13" i="57" s="1"/>
  <c r="BL10" i="57" a="1"/>
  <c r="BL10" i="57" s="1"/>
  <c r="BT25" i="57" a="1"/>
  <c r="BT25" i="57" s="1"/>
  <c r="BV25" i="57" s="1" a="1"/>
  <c r="BV25" i="57" s="1"/>
  <c r="BW25" i="57" s="1" a="1"/>
  <c r="BW25" i="57" s="1"/>
  <c r="BM10" i="57" a="1"/>
  <c r="BM10" i="57" s="1"/>
  <c r="BP25" i="57" a="1"/>
  <c r="BP25" i="57" s="1"/>
  <c r="BO8" i="73" a="1"/>
  <c r="BO8" i="73" s="1"/>
  <c r="BP8" i="73" s="1"/>
  <c r="U65" i="10"/>
  <c r="V65" i="10" s="1"/>
  <c r="BO7" i="73"/>
  <c r="BP6" i="73"/>
  <c r="BQ6" i="73" a="1"/>
  <c r="BQ6" i="73" s="1"/>
  <c r="BS6" i="73" a="1"/>
  <c r="BS6" i="73" s="1"/>
  <c r="BS7" i="73" s="1"/>
  <c r="AZ8" i="73"/>
  <c r="F49" i="32"/>
  <c r="CV40" i="71" a="1"/>
  <c r="CV40" i="71" s="1"/>
  <c r="CX40" i="71" s="1" a="1"/>
  <c r="CX40" i="71" s="1"/>
  <c r="CZ40" i="71" s="1"/>
  <c r="BK8" i="72"/>
  <c r="CT31" i="72" a="1"/>
  <c r="CB31" i="72" a="1"/>
  <c r="CB31" i="72" s="1"/>
  <c r="C23" i="40"/>
  <c r="P76" i="32"/>
  <c r="P73" i="32" s="1"/>
  <c r="V47" i="68" s="1"/>
  <c r="F50" i="40" a="1"/>
  <c r="F50" i="40" s="1"/>
  <c r="E50" i="40" a="1"/>
  <c r="E50" i="40" s="1"/>
  <c r="G50" i="40" a="1"/>
  <c r="G50" i="40" s="1"/>
  <c r="D50" i="40" a="1"/>
  <c r="D50" i="40" s="1"/>
  <c r="E51" i="32"/>
  <c r="E50" i="32" a="1"/>
  <c r="E50" i="32" s="1"/>
  <c r="G153" i="40" a="1"/>
  <c r="G153" i="40" s="1"/>
  <c r="G154" i="40" a="1"/>
  <c r="G154" i="40" s="1"/>
  <c r="CZ49" i="71"/>
  <c r="CV5" i="71" a="1"/>
  <c r="CV5" i="71" s="1"/>
  <c r="H50" i="40" a="1"/>
  <c r="H50" i="40" s="1"/>
  <c r="I1" i="40"/>
  <c r="CZ44" i="71"/>
  <c r="C55" i="40"/>
  <c r="AF2" i="61"/>
  <c r="AG1" i="61"/>
  <c r="P105" i="32"/>
  <c r="AY6" i="71" a="1"/>
  <c r="AY6" i="71" s="1"/>
  <c r="W5" i="53" a="1"/>
  <c r="W5" i="53" s="1"/>
  <c r="K154" i="40" a="1"/>
  <c r="K154" i="40" s="1"/>
  <c r="O154" i="40" a="1"/>
  <c r="O154" i="40" s="1"/>
  <c r="AG48" i="29" l="1"/>
  <c r="AC63" i="6" s="1"/>
  <c r="AI64" i="6"/>
  <c r="AL64" i="6" s="1"/>
  <c r="AI51" i="6"/>
  <c r="AL51" i="6" s="1"/>
  <c r="AI55" i="6"/>
  <c r="AL55" i="6" s="1"/>
  <c r="AJ64" i="6"/>
  <c r="AK64" i="6" s="1"/>
  <c r="AI56" i="6"/>
  <c r="AL56" i="6" s="1"/>
  <c r="AC54" i="6"/>
  <c r="AM27" i="29"/>
  <c r="AC50" i="6"/>
  <c r="AM17" i="29"/>
  <c r="AJ17" i="29"/>
  <c r="AB50" i="6"/>
  <c r="AH50" i="6" s="1"/>
  <c r="AM64" i="29"/>
  <c r="AJ64" i="29"/>
  <c r="AI49" i="6"/>
  <c r="AL49" i="6" s="1"/>
  <c r="AJ55" i="6"/>
  <c r="AK55" i="6" s="1"/>
  <c r="AI65" i="6"/>
  <c r="AL65" i="6" s="1"/>
  <c r="AJ39" i="29"/>
  <c r="AM39" i="29"/>
  <c r="AI53" i="6"/>
  <c r="AL53" i="6" s="1"/>
  <c r="AI48" i="6"/>
  <c r="AL48" i="6" s="1"/>
  <c r="AI52" i="6"/>
  <c r="AL52" i="6" s="1"/>
  <c r="AJ53" i="6"/>
  <c r="AK53" i="6" s="1"/>
  <c r="AC71" i="6"/>
  <c r="AB71" i="6"/>
  <c r="AH71" i="6" s="1"/>
  <c r="AJ70" i="29"/>
  <c r="AM70" i="29"/>
  <c r="AC68" i="6"/>
  <c r="AM61" i="29"/>
  <c r="AB68" i="6"/>
  <c r="AH68" i="6" s="1"/>
  <c r="AJ68" i="6" s="1"/>
  <c r="AK68" i="6" s="1"/>
  <c r="AJ61" i="29"/>
  <c r="AC57" i="6"/>
  <c r="BT31" i="73" a="1"/>
  <c r="BT31" i="73" s="1"/>
  <c r="BV31" i="73" s="1" a="1"/>
  <c r="BV31" i="73" s="1"/>
  <c r="CA31" i="73" a="1"/>
  <c r="CA31" i="73" s="1"/>
  <c r="BB3" i="73" s="1"/>
  <c r="BC3" i="73" s="1"/>
  <c r="BD3" i="73" s="1"/>
  <c r="AM33" i="29"/>
  <c r="AJ33" i="29"/>
  <c r="AB57" i="6"/>
  <c r="AH57" i="6" s="1"/>
  <c r="AC60" i="6"/>
  <c r="AB60" i="6"/>
  <c r="AH60" i="6" s="1"/>
  <c r="AJ43" i="29"/>
  <c r="AM43" i="29"/>
  <c r="AC67" i="6"/>
  <c r="AM58" i="29"/>
  <c r="AB67" i="6"/>
  <c r="AH67" i="6" s="1"/>
  <c r="AJ58" i="29"/>
  <c r="AB69" i="6"/>
  <c r="AH69" i="6" s="1"/>
  <c r="AJ69" i="6" s="1"/>
  <c r="AK69" i="6" s="1"/>
  <c r="AC69" i="6"/>
  <c r="AJ63" i="29"/>
  <c r="AM63" i="29"/>
  <c r="AM48" i="29"/>
  <c r="AB61" i="6"/>
  <c r="AH61" i="6" s="1"/>
  <c r="AJ61" i="6" s="1"/>
  <c r="AK61" i="6" s="1"/>
  <c r="AC61" i="6"/>
  <c r="AM44" i="29"/>
  <c r="AI59" i="6"/>
  <c r="AL59" i="6" s="1"/>
  <c r="AJ27" i="29"/>
  <c r="AB58" i="6"/>
  <c r="AH58" i="6" s="1"/>
  <c r="AJ58" i="6" s="1"/>
  <c r="AK58" i="6" s="1"/>
  <c r="AC58" i="6"/>
  <c r="AI62" i="6"/>
  <c r="AL62" i="6" s="1"/>
  <c r="AJ44" i="29"/>
  <c r="AB70" i="6"/>
  <c r="AH70" i="6" s="1"/>
  <c r="AJ70" i="6" s="1"/>
  <c r="AK70" i="6" s="1"/>
  <c r="AC70" i="6"/>
  <c r="AI66" i="6"/>
  <c r="AL66" i="6" s="1"/>
  <c r="AB54" i="6"/>
  <c r="AH54" i="6" s="1"/>
  <c r="AJ48" i="29"/>
  <c r="AB63" i="6"/>
  <c r="AH63" i="6" s="1"/>
  <c r="AJ63" i="6" s="1"/>
  <c r="AK63" i="6" s="1"/>
  <c r="AM13" i="83"/>
  <c r="P24" i="58" a="1"/>
  <c r="P24" i="58" s="1"/>
  <c r="AJ49" i="6"/>
  <c r="AK49" i="6" s="1"/>
  <c r="AG4" i="61"/>
  <c r="AG5" i="61"/>
  <c r="AJ51" i="6"/>
  <c r="AK51" i="6" s="1"/>
  <c r="I184" i="40" a="1"/>
  <c r="I184" i="40" s="1"/>
  <c r="I185" i="40" s="1"/>
  <c r="I42" i="40" s="1"/>
  <c r="H8" i="47"/>
  <c r="H6" i="47"/>
  <c r="H4" i="47"/>
  <c r="H2" i="47"/>
  <c r="G4" i="47"/>
  <c r="J78" i="32" s="1"/>
  <c r="G2" i="47"/>
  <c r="K99" i="32" s="1"/>
  <c r="G8" i="47"/>
  <c r="J79" i="32" s="1"/>
  <c r="G6" i="47"/>
  <c r="J102" i="32" s="1"/>
  <c r="E2" i="47"/>
  <c r="E4" i="47"/>
  <c r="E8" i="47"/>
  <c r="E6" i="47"/>
  <c r="F8" i="47"/>
  <c r="F4" i="47"/>
  <c r="F2" i="47"/>
  <c r="F6" i="47"/>
  <c r="Z23" i="49" a="1"/>
  <c r="Z23" i="49" s="1"/>
  <c r="AQ8" i="76"/>
  <c r="AU8" i="76" s="1"/>
  <c r="AV8" i="76" s="1"/>
  <c r="AQ7" i="76"/>
  <c r="AU7" i="76" s="1"/>
  <c r="AV7" i="76" s="1"/>
  <c r="AQ10" i="76"/>
  <c r="AU10" i="76" s="1"/>
  <c r="AV10" i="76" s="1"/>
  <c r="AQ9" i="76"/>
  <c r="AU9" i="76" s="1"/>
  <c r="AV9" i="76" s="1"/>
  <c r="O26" i="58"/>
  <c r="P26" i="58" s="1" a="1"/>
  <c r="P26" i="58" s="1"/>
  <c r="AG29" i="61" a="1"/>
  <c r="AG29" i="61" s="1"/>
  <c r="AR7" i="57"/>
  <c r="AR8" i="57"/>
  <c r="AR9" i="57"/>
  <c r="BC9" i="73"/>
  <c r="BC10" i="73"/>
  <c r="CG31" i="73" a="1"/>
  <c r="CG31" i="73" s="1"/>
  <c r="BA9" i="73"/>
  <c r="BA10" i="73"/>
  <c r="CJ31" i="73" a="1"/>
  <c r="CJ31" i="73" s="1"/>
  <c r="P141" i="32"/>
  <c r="P142" i="32" s="1"/>
  <c r="BL10" i="72"/>
  <c r="BL9" i="72"/>
  <c r="BG9" i="72"/>
  <c r="BG10" i="72"/>
  <c r="BG11" i="72"/>
  <c r="BG12" i="72"/>
  <c r="BG13" i="72"/>
  <c r="BG14" i="72"/>
  <c r="AU8" i="72"/>
  <c r="AU9" i="72"/>
  <c r="AU10" i="72"/>
  <c r="AU11" i="72"/>
  <c r="AU12" i="72"/>
  <c r="AU13" i="72"/>
  <c r="AU14" i="72"/>
  <c r="P21" i="49"/>
  <c r="O165" i="32"/>
  <c r="O135" i="32"/>
  <c r="O137" i="32"/>
  <c r="O133" i="32"/>
  <c r="F136" i="32"/>
  <c r="F163" i="32"/>
  <c r="F135" i="32"/>
  <c r="F137" i="32"/>
  <c r="V11" i="68"/>
  <c r="V10" i="68" s="1"/>
  <c r="K130" i="32"/>
  <c r="K159" i="32"/>
  <c r="F156" i="32"/>
  <c r="P165" i="32"/>
  <c r="J130" i="32"/>
  <c r="O143" i="32"/>
  <c r="O144" i="32" s="1"/>
  <c r="P133" i="32"/>
  <c r="P153" i="32"/>
  <c r="AG55" i="61" a="1"/>
  <c r="AG55" i="61" s="1"/>
  <c r="AG52" i="61" a="1"/>
  <c r="AG52" i="61" s="1"/>
  <c r="AG48" i="61" a="1"/>
  <c r="AG48" i="61" s="1"/>
  <c r="AG30" i="61" a="1"/>
  <c r="AG30" i="61" s="1"/>
  <c r="AG35" i="61" a="1"/>
  <c r="AG35" i="61" s="1"/>
  <c r="AG56" i="61" a="1"/>
  <c r="AG56" i="61" s="1"/>
  <c r="AG45" i="61" a="1"/>
  <c r="AG45" i="61" s="1"/>
  <c r="AG53" i="61" a="1"/>
  <c r="AG53" i="61" s="1"/>
  <c r="AG49" i="61" a="1"/>
  <c r="AG49" i="61" s="1"/>
  <c r="AG33" i="61" a="1"/>
  <c r="AG33" i="61" s="1"/>
  <c r="AG42" i="61" a="1"/>
  <c r="AG42" i="61" s="1"/>
  <c r="AG38" i="61" a="1"/>
  <c r="AG38" i="61" s="1"/>
  <c r="AG46" i="61" a="1"/>
  <c r="AG46" i="61" s="1"/>
  <c r="AG31" i="61" a="1"/>
  <c r="AG31" i="61" s="1"/>
  <c r="AG57" i="61" a="1"/>
  <c r="AG57" i="61" s="1"/>
  <c r="AG50" i="61" a="1"/>
  <c r="AG50" i="61" s="1"/>
  <c r="AG41" i="61" a="1"/>
  <c r="AG41" i="61" s="1"/>
  <c r="AG36" i="61" a="1"/>
  <c r="AG36" i="61" s="1"/>
  <c r="AG54" i="61" a="1"/>
  <c r="AG54" i="61" s="1"/>
  <c r="AG51" i="61" a="1"/>
  <c r="AG51" i="61" s="1"/>
  <c r="AG39" i="61" a="1"/>
  <c r="AG39" i="61" s="1"/>
  <c r="AG34" i="61" a="1"/>
  <c r="AG34" i="61" s="1"/>
  <c r="AG27" i="61" a="1"/>
  <c r="AG27" i="61" s="1"/>
  <c r="AG40" i="61" a="1"/>
  <c r="AG40" i="61" s="1"/>
  <c r="AG12" i="61" a="1"/>
  <c r="AG12" i="61" s="1"/>
  <c r="AG25" i="61" a="1"/>
  <c r="AG25" i="61" s="1"/>
  <c r="AG20" i="61" a="1"/>
  <c r="AG20" i="61" s="1"/>
  <c r="AG44" i="61" a="1"/>
  <c r="AG44" i="61" s="1"/>
  <c r="AG23" i="61" a="1"/>
  <c r="AG23" i="61" s="1"/>
  <c r="AG37" i="61" a="1"/>
  <c r="AG37" i="61" s="1"/>
  <c r="AG28" i="61" a="1"/>
  <c r="AG28" i="61" s="1"/>
  <c r="AG15" i="61" a="1"/>
  <c r="AG15" i="61" s="1"/>
  <c r="AG11" i="61" a="1"/>
  <c r="AG11" i="61" s="1"/>
  <c r="AG21" i="61" a="1"/>
  <c r="AG21" i="61" s="1"/>
  <c r="AG16" i="61" a="1"/>
  <c r="AG16" i="61" s="1"/>
  <c r="AG9" i="61" a="1"/>
  <c r="AG9" i="61" s="1"/>
  <c r="AG18" i="61" a="1"/>
  <c r="AG18" i="61" s="1"/>
  <c r="AG14" i="61" a="1"/>
  <c r="AG14" i="61" s="1"/>
  <c r="AG10" i="61" a="1"/>
  <c r="AG10" i="61" s="1"/>
  <c r="AG17" i="61" a="1"/>
  <c r="AG17" i="61" s="1"/>
  <c r="AG47" i="61" a="1"/>
  <c r="AG47" i="61" s="1"/>
  <c r="AG26" i="61" a="1"/>
  <c r="AG26" i="61" s="1"/>
  <c r="AG43" i="61" a="1"/>
  <c r="AG43" i="61" s="1"/>
  <c r="AG24" i="61" a="1"/>
  <c r="AG24" i="61" s="1"/>
  <c r="AG32" i="61" a="1"/>
  <c r="AG32" i="61" s="1"/>
  <c r="AG19" i="61" a="1"/>
  <c r="AG19" i="61" s="1"/>
  <c r="AG13" i="61" a="1"/>
  <c r="AG13" i="61" s="1"/>
  <c r="AG22" i="61" a="1"/>
  <c r="AG22" i="61" s="1"/>
  <c r="F70" i="32"/>
  <c r="F164" i="32" s="1"/>
  <c r="BK24" i="57"/>
  <c r="BR24" i="57" s="1"/>
  <c r="BY31" i="73" a="1"/>
  <c r="BY31" i="73" s="1"/>
  <c r="CH31" i="73" s="1" a="1"/>
  <c r="CH31" i="73" s="1"/>
  <c r="BN7" i="57"/>
  <c r="BN12" i="57"/>
  <c r="BN14" i="57"/>
  <c r="BV13" i="76" a="1"/>
  <c r="BV13" i="76" s="1"/>
  <c r="BX13" i="76" s="1"/>
  <c r="BY13" i="76" s="1"/>
  <c r="BV8" i="76" a="1"/>
  <c r="BV8" i="76" s="1"/>
  <c r="BX8" i="76" s="1"/>
  <c r="BY8" i="76" s="1"/>
  <c r="BV11" i="76" a="1"/>
  <c r="BV11" i="76" s="1"/>
  <c r="BX11" i="76" s="1"/>
  <c r="BY11" i="76" s="1"/>
  <c r="BV14" i="76" a="1"/>
  <c r="BV14" i="76" s="1"/>
  <c r="BX14" i="76" s="1"/>
  <c r="BY14" i="76" s="1"/>
  <c r="BV12" i="76" a="1"/>
  <c r="BV12" i="76" s="1"/>
  <c r="BX12" i="76" s="1"/>
  <c r="BY12" i="76" s="1"/>
  <c r="BN11" i="57"/>
  <c r="BV10" i="76" a="1"/>
  <c r="BV10" i="76" s="1"/>
  <c r="BX10" i="76" s="1"/>
  <c r="BY10" i="76" s="1"/>
  <c r="BV9" i="76" a="1"/>
  <c r="BV9" i="76" s="1"/>
  <c r="BX9" i="76" s="1"/>
  <c r="BY9" i="76" s="1"/>
  <c r="BV15" i="76" a="1"/>
  <c r="BV15" i="76" s="1"/>
  <c r="BX15" i="76" s="1"/>
  <c r="BY15" i="76" s="1"/>
  <c r="BV7" i="76" a="1"/>
  <c r="BV7" i="76" s="1"/>
  <c r="BX7" i="76" s="1"/>
  <c r="BY7" i="76" s="1"/>
  <c r="BV5" i="76" a="1"/>
  <c r="BV5" i="76" s="1"/>
  <c r="BX5" i="76" s="1"/>
  <c r="BY5" i="76" s="1"/>
  <c r="BV6" i="76" a="1"/>
  <c r="BV6" i="76" s="1"/>
  <c r="BX6" i="76" s="1"/>
  <c r="BY6" i="76" s="1"/>
  <c r="BV16" i="76" a="1"/>
  <c r="BV16" i="76" s="1"/>
  <c r="BX16" i="76" s="1"/>
  <c r="BY16" i="76" s="1"/>
  <c r="BN15" i="57"/>
  <c r="BN13" i="57"/>
  <c r="BS9" i="76" a="1"/>
  <c r="BS9" i="76" s="1"/>
  <c r="BN9" i="57"/>
  <c r="BN8" i="57"/>
  <c r="BN16" i="57"/>
  <c r="BN6" i="57"/>
  <c r="BN10" i="57"/>
  <c r="BN17" i="57"/>
  <c r="BW22" i="57"/>
  <c r="AR6" i="57"/>
  <c r="BQ25" i="57" a="1"/>
  <c r="BQ25" i="57" s="1"/>
  <c r="CA25" i="57" s="1" a="1"/>
  <c r="CA25" i="57" s="1"/>
  <c r="BR25" i="57" a="1"/>
  <c r="BR25" i="57" s="1"/>
  <c r="D154" i="40" a="1"/>
  <c r="D154" i="40" s="1"/>
  <c r="BK22" i="34" a="1"/>
  <c r="BK22" i="34" s="1"/>
  <c r="BL22" i="34" s="1" a="1"/>
  <c r="BL22" i="34" s="1"/>
  <c r="CV7" i="71" a="1"/>
  <c r="CV7" i="71" s="1"/>
  <c r="CW7" i="71" s="1"/>
  <c r="BO9" i="73"/>
  <c r="BP9" i="73" s="1"/>
  <c r="BS8" i="73" a="1"/>
  <c r="BS8" i="73" s="1"/>
  <c r="BS9" i="73" s="1"/>
  <c r="BQ8" i="73" a="1"/>
  <c r="BQ8" i="73" s="1"/>
  <c r="BR8" i="73" s="1"/>
  <c r="BR6" i="73"/>
  <c r="BQ7" i="73"/>
  <c r="BR7" i="73" s="1"/>
  <c r="BP7" i="73"/>
  <c r="BQ10" i="73"/>
  <c r="BR10" i="73" s="1"/>
  <c r="BA8" i="73"/>
  <c r="BD3" i="72"/>
  <c r="BL8" i="72"/>
  <c r="CT31" i="72"/>
  <c r="J154" i="40" a="1"/>
  <c r="J154" i="40" s="1"/>
  <c r="I154" i="40" a="1"/>
  <c r="I154" i="40" s="1"/>
  <c r="E76" i="32"/>
  <c r="BQ20" i="72"/>
  <c r="BQ26" i="72"/>
  <c r="BQ17" i="72"/>
  <c r="BQ18" i="72"/>
  <c r="BQ25" i="72"/>
  <c r="BQ21" i="72"/>
  <c r="BQ19" i="72"/>
  <c r="BQ24" i="72"/>
  <c r="BQ15" i="72"/>
  <c r="BQ22" i="72"/>
  <c r="BQ23" i="72"/>
  <c r="F76" i="32"/>
  <c r="I50" i="40" a="1"/>
  <c r="I50" i="40" s="1"/>
  <c r="J1" i="40"/>
  <c r="J184" i="40" s="1" a="1"/>
  <c r="J184" i="40" s="1"/>
  <c r="J185" i="40" s="1"/>
  <c r="J42" i="40" s="1"/>
  <c r="F105" i="32"/>
  <c r="N153" i="40" a="1"/>
  <c r="N153" i="40" s="1"/>
  <c r="M153" i="40" a="1"/>
  <c r="M153" i="40" s="1"/>
  <c r="D153" i="40" a="1"/>
  <c r="D153" i="40" s="1"/>
  <c r="G38" i="40"/>
  <c r="G37" i="40" s="1"/>
  <c r="G29" i="40"/>
  <c r="G22" i="40" s="1"/>
  <c r="K153" i="40" a="1"/>
  <c r="K153" i="40" s="1"/>
  <c r="N154" i="40" a="1"/>
  <c r="N154" i="40" s="1"/>
  <c r="M154" i="40" a="1"/>
  <c r="M154" i="40" s="1"/>
  <c r="E86" i="32"/>
  <c r="K105" i="32"/>
  <c r="E105" i="32"/>
  <c r="AG2" i="61"/>
  <c r="AH1" i="61"/>
  <c r="CY5" i="71" a="1"/>
  <c r="CY5" i="71" s="1"/>
  <c r="DB5" i="71" s="1"/>
  <c r="L154" i="40" a="1"/>
  <c r="L154" i="40" s="1"/>
  <c r="E49" i="32"/>
  <c r="J153" i="40" a="1"/>
  <c r="J153" i="40" s="1"/>
  <c r="I153" i="40" a="1"/>
  <c r="I153" i="40" s="1"/>
  <c r="L153" i="40" a="1"/>
  <c r="L153" i="40" s="1"/>
  <c r="H153" i="40" a="1"/>
  <c r="H153" i="40" s="1"/>
  <c r="F86" i="32"/>
  <c r="D63" i="40"/>
  <c r="D55" i="40"/>
  <c r="D7" i="40" s="1"/>
  <c r="D77" i="40"/>
  <c r="D78" i="40" s="1"/>
  <c r="D14" i="40" s="1"/>
  <c r="H154" i="40" a="1"/>
  <c r="H154" i="40" s="1"/>
  <c r="F154" i="40" a="1"/>
  <c r="F154" i="40" s="1"/>
  <c r="O153" i="40" a="1"/>
  <c r="O153" i="40" s="1"/>
  <c r="F153" i="40" a="1"/>
  <c r="F153" i="40" s="1"/>
  <c r="C64" i="40"/>
  <c r="C120" i="40"/>
  <c r="AD5" i="53" a="1"/>
  <c r="AD5" i="53" s="1"/>
  <c r="F29" i="32" a="1"/>
  <c r="F29" i="32" s="1"/>
  <c r="E154" i="40" a="1"/>
  <c r="E154" i="40" s="1"/>
  <c r="C130" i="40"/>
  <c r="E10" i="32" a="1"/>
  <c r="E10" i="32" s="1"/>
  <c r="P37" i="32"/>
  <c r="E153" i="40" a="1"/>
  <c r="E153" i="40" s="1"/>
  <c r="AI50" i="6" l="1"/>
  <c r="AL50" i="6" s="1"/>
  <c r="AI61" i="6"/>
  <c r="AL61" i="6" s="1"/>
  <c r="AI60" i="6"/>
  <c r="AL60" i="6" s="1"/>
  <c r="AI70" i="6"/>
  <c r="AL70" i="6" s="1"/>
  <c r="E25" i="46" s="1" a="1"/>
  <c r="E25" i="46" s="1"/>
  <c r="AI71" i="6"/>
  <c r="AL71" i="6" s="1"/>
  <c r="AI67" i="6"/>
  <c r="AL67" i="6" s="1"/>
  <c r="AI54" i="6"/>
  <c r="AL54" i="6" s="1"/>
  <c r="AI68" i="6"/>
  <c r="AL68" i="6" s="1"/>
  <c r="E26" i="46" s="1" a="1"/>
  <c r="E26" i="46" s="1"/>
  <c r="AI69" i="6"/>
  <c r="AL69" i="6" s="1"/>
  <c r="G24" i="46" s="1" a="1"/>
  <c r="G24" i="46" s="1"/>
  <c r="AJ60" i="6"/>
  <c r="AK60" i="6" s="1"/>
  <c r="AI63" i="6"/>
  <c r="AL63" i="6" s="1"/>
  <c r="F26" i="46" s="1" a="1"/>
  <c r="F26" i="46" s="1"/>
  <c r="AM48" i="6"/>
  <c r="AN48" i="6" s="1"/>
  <c r="AO48" i="6" s="1"/>
  <c r="AT3" i="73"/>
  <c r="AU3" i="73" s="1"/>
  <c r="AI58" i="6"/>
  <c r="AL58" i="6" s="1"/>
  <c r="AI57" i="6"/>
  <c r="AL57" i="6" s="1"/>
  <c r="BF3" i="73"/>
  <c r="AH5" i="61"/>
  <c r="AH4" i="61"/>
  <c r="AJ71" i="6"/>
  <c r="AK71" i="6" s="1"/>
  <c r="AJ67" i="6"/>
  <c r="AK67" i="6" s="1"/>
  <c r="AJ54" i="6"/>
  <c r="AK54" i="6" s="1"/>
  <c r="AJ57" i="6"/>
  <c r="AK57" i="6" s="1"/>
  <c r="AJ50" i="6"/>
  <c r="AK50" i="6" s="1"/>
  <c r="K102" i="32"/>
  <c r="J99" i="32"/>
  <c r="K78" i="32"/>
  <c r="K79" i="32"/>
  <c r="AM55" i="6"/>
  <c r="AN55" i="6" s="1"/>
  <c r="AO55" i="6" s="1"/>
  <c r="AM56" i="6"/>
  <c r="AN56" i="6" s="1"/>
  <c r="AO56" i="6" s="1"/>
  <c r="AM59" i="6"/>
  <c r="AN59" i="6" s="1"/>
  <c r="AO59" i="6" s="1"/>
  <c r="AM63" i="6"/>
  <c r="AN63" i="6" s="1"/>
  <c r="AO63" i="6" s="1"/>
  <c r="AM68" i="6"/>
  <c r="AN68" i="6" s="1"/>
  <c r="AO68" i="6" s="1"/>
  <c r="AD68" i="6" s="1" a="1"/>
  <c r="AD68" i="6" s="1"/>
  <c r="AM69" i="6"/>
  <c r="AN69" i="6" s="1"/>
  <c r="AO69" i="6" s="1"/>
  <c r="AD69" i="6" s="1" a="1"/>
  <c r="AD69" i="6" s="1"/>
  <c r="AM46" i="6" a="1"/>
  <c r="AM46" i="6" s="1"/>
  <c r="AN46" i="6" s="1" a="1"/>
  <c r="AN46" i="6" s="1"/>
  <c r="AO46" i="6" s="1"/>
  <c r="AM45" i="6" a="1"/>
  <c r="AM45" i="6" s="1"/>
  <c r="AN45" i="6" s="1" a="1"/>
  <c r="AN45" i="6" s="1"/>
  <c r="AO45" i="6" s="1"/>
  <c r="AH29" i="61" a="1"/>
  <c r="AH29" i="61" s="1"/>
  <c r="P130" i="32"/>
  <c r="P159" i="32"/>
  <c r="CB25" i="57" a="1"/>
  <c r="CB25" i="57" s="1"/>
  <c r="AS7" i="57"/>
  <c r="AS8" i="57"/>
  <c r="AS9" i="57"/>
  <c r="BB10" i="73"/>
  <c r="BB9" i="73"/>
  <c r="AT8" i="73"/>
  <c r="AT9" i="73"/>
  <c r="AT10" i="73"/>
  <c r="CC25" i="57" a="1"/>
  <c r="CC25" i="57" s="1"/>
  <c r="K9" i="32" a="1"/>
  <c r="K9" i="32" s="1"/>
  <c r="AK21" i="49"/>
  <c r="AK20" i="49" a="1"/>
  <c r="AK20" i="49" s="1"/>
  <c r="E163" i="32"/>
  <c r="E136" i="32"/>
  <c r="E137" i="32"/>
  <c r="E135" i="32"/>
  <c r="E156" i="32"/>
  <c r="V18" i="68"/>
  <c r="V30" i="68" s="1"/>
  <c r="V31" i="68" s="1"/>
  <c r="V19" i="68"/>
  <c r="J9" i="32" a="1"/>
  <c r="J9" i="32" s="1"/>
  <c r="J8" i="32" s="1"/>
  <c r="O12" i="68" a="1"/>
  <c r="O12" i="68" s="1"/>
  <c r="S12" i="68" a="1"/>
  <c r="S12" i="68" s="1"/>
  <c r="C12" i="68" a="1"/>
  <c r="C12" i="68" s="1"/>
  <c r="C40" i="68" s="1"/>
  <c r="O141" i="32"/>
  <c r="O142" i="32" s="1"/>
  <c r="O145" i="32" s="1"/>
  <c r="O159" i="32"/>
  <c r="O16" i="32"/>
  <c r="O130" i="32"/>
  <c r="AH52" i="61" a="1"/>
  <c r="AH52" i="61" s="1"/>
  <c r="AH48" i="61" a="1"/>
  <c r="AH48" i="61" s="1"/>
  <c r="AH35" i="61" a="1"/>
  <c r="AH35" i="61" s="1"/>
  <c r="AH56" i="61" a="1"/>
  <c r="AH56" i="61" s="1"/>
  <c r="AH45" i="61" a="1"/>
  <c r="AH45" i="61" s="1"/>
  <c r="AH28" i="61" a="1"/>
  <c r="AH28" i="61" s="1"/>
  <c r="AH53" i="61" a="1"/>
  <c r="AH53" i="61" s="1"/>
  <c r="AH49" i="61" a="1"/>
  <c r="AH49" i="61" s="1"/>
  <c r="AH33" i="61" a="1"/>
  <c r="AH33" i="61" s="1"/>
  <c r="AH42" i="61" a="1"/>
  <c r="AH42" i="61" s="1"/>
  <c r="AH38" i="61" a="1"/>
  <c r="AH38" i="61" s="1"/>
  <c r="AH26" i="61" a="1"/>
  <c r="AH26" i="61" s="1"/>
  <c r="AH46" i="61" a="1"/>
  <c r="AH46" i="61" s="1"/>
  <c r="AH31" i="61" a="1"/>
  <c r="AH31" i="61" s="1"/>
  <c r="AH57" i="61" a="1"/>
  <c r="AH57" i="61" s="1"/>
  <c r="AH50" i="61" a="1"/>
  <c r="AH50" i="61" s="1"/>
  <c r="AH41" i="61" a="1"/>
  <c r="AH41" i="61" s="1"/>
  <c r="AH36" i="61" a="1"/>
  <c r="AH36" i="61" s="1"/>
  <c r="AH43" i="61" a="1"/>
  <c r="AH43" i="61" s="1"/>
  <c r="AH40" i="61" a="1"/>
  <c r="AH40" i="61" s="1"/>
  <c r="AH47" i="61" a="1"/>
  <c r="AH47" i="61" s="1"/>
  <c r="AH44" i="61" a="1"/>
  <c r="AH44" i="61" s="1"/>
  <c r="AH32" i="61" a="1"/>
  <c r="AH32" i="61" s="1"/>
  <c r="AH54" i="61" a="1"/>
  <c r="AH54" i="61" s="1"/>
  <c r="AH25" i="61" a="1"/>
  <c r="AH25" i="61" s="1"/>
  <c r="AH20" i="61" a="1"/>
  <c r="AH20" i="61" s="1"/>
  <c r="AH12" i="61" a="1"/>
  <c r="AH12" i="61" s="1"/>
  <c r="AH23" i="61" a="1"/>
  <c r="AH23" i="61" s="1"/>
  <c r="AH37" i="61" a="1"/>
  <c r="AH37" i="61" s="1"/>
  <c r="AH15" i="61" a="1"/>
  <c r="AH15" i="61" s="1"/>
  <c r="AH11" i="61" a="1"/>
  <c r="AH11" i="61" s="1"/>
  <c r="AH34" i="61" a="1"/>
  <c r="AH34" i="61" s="1"/>
  <c r="AH21" i="61" a="1"/>
  <c r="AH21" i="61" s="1"/>
  <c r="AH16" i="61" a="1"/>
  <c r="AH16" i="61" s="1"/>
  <c r="AH9" i="61" a="1"/>
  <c r="AH9" i="61" s="1"/>
  <c r="AH14" i="61" a="1"/>
  <c r="AH14" i="61" s="1"/>
  <c r="AH10" i="61" a="1"/>
  <c r="AH10" i="61" s="1"/>
  <c r="AH55" i="61" a="1"/>
  <c r="AH55" i="61" s="1"/>
  <c r="AH51" i="61" a="1"/>
  <c r="AH51" i="61" s="1"/>
  <c r="AH18" i="61" a="1"/>
  <c r="AH18" i="61" s="1"/>
  <c r="AH17" i="61" a="1"/>
  <c r="AH17" i="61" s="1"/>
  <c r="AH24" i="61" a="1"/>
  <c r="AH24" i="61" s="1"/>
  <c r="AH39" i="61" a="1"/>
  <c r="AH39" i="61" s="1"/>
  <c r="AH30" i="61" a="1"/>
  <c r="AH30" i="61" s="1"/>
  <c r="AH22" i="61" a="1"/>
  <c r="AH22" i="61" s="1"/>
  <c r="AH19" i="61" a="1"/>
  <c r="AH19" i="61" s="1"/>
  <c r="AH27" i="61" a="1"/>
  <c r="AH27" i="61" s="1"/>
  <c r="AH13" i="61" a="1"/>
  <c r="AH13" i="61" s="1"/>
  <c r="BQ13" i="73" a="1"/>
  <c r="BQ13" i="73" s="1"/>
  <c r="BR13" i="72" a="1"/>
  <c r="BR13" i="72" s="1"/>
  <c r="BS15" i="76" a="1"/>
  <c r="BS15" i="76" s="1"/>
  <c r="BS7" i="76" a="1"/>
  <c r="BS7" i="76" s="1"/>
  <c r="BT7" i="76" s="1"/>
  <c r="BU7" i="76" s="1"/>
  <c r="BI10" i="57" a="1"/>
  <c r="BI10" i="57" s="1"/>
  <c r="BS13" i="76" a="1"/>
  <c r="BS13" i="76" s="1"/>
  <c r="BS12" i="76" a="1"/>
  <c r="BS12" i="76" s="1"/>
  <c r="BS5" i="76" a="1"/>
  <c r="BS5" i="76" s="1"/>
  <c r="BL25" i="57" a="1"/>
  <c r="BL25" i="57" s="1"/>
  <c r="BJ17" i="57" a="1"/>
  <c r="BJ17" i="57" s="1"/>
  <c r="BJ9" i="57" a="1"/>
  <c r="BJ9" i="57" s="1"/>
  <c r="BJ7" i="57" a="1"/>
  <c r="BJ7" i="57" s="1"/>
  <c r="BJ10" i="57" a="1"/>
  <c r="BJ10" i="57" s="1"/>
  <c r="BJ15" i="57" a="1"/>
  <c r="BJ15" i="57" s="1"/>
  <c r="BJ16" i="57" a="1"/>
  <c r="BJ16" i="57" s="1"/>
  <c r="BJ13" i="57" a="1"/>
  <c r="BJ13" i="57" s="1"/>
  <c r="BJ11" i="57" a="1"/>
  <c r="BJ11" i="57" s="1"/>
  <c r="BJ14" i="57" a="1"/>
  <c r="BJ14" i="57" s="1"/>
  <c r="BJ12" i="57" a="1"/>
  <c r="BJ12" i="57" s="1"/>
  <c r="BJ8" i="57" a="1"/>
  <c r="BJ8" i="57" s="1"/>
  <c r="BJ6" i="57" a="1"/>
  <c r="BJ6" i="57" s="1"/>
  <c r="AS6" i="57"/>
  <c r="CY7" i="71" a="1"/>
  <c r="CY7" i="71" s="1"/>
  <c r="DA7" i="71" s="1"/>
  <c r="L33" i="68" a="1"/>
  <c r="L33" i="68" s="1"/>
  <c r="BT9" i="76"/>
  <c r="BU9" i="76" s="1"/>
  <c r="AZ5" i="76"/>
  <c r="BD5" i="76" s="1"/>
  <c r="BE5" i="76" s="1"/>
  <c r="CP5" i="76" a="1"/>
  <c r="CP5" i="76" s="1"/>
  <c r="BQ9" i="73"/>
  <c r="BR9" i="73" s="1"/>
  <c r="BQ12" i="73" a="1"/>
  <c r="BQ12" i="73" s="1"/>
  <c r="BO13" i="73" a="1"/>
  <c r="BO13" i="73" s="1"/>
  <c r="E19" i="32" a="1"/>
  <c r="E19" i="32" s="1"/>
  <c r="CV37" i="71" a="1"/>
  <c r="CV37" i="71" s="1"/>
  <c r="CX37" i="71" s="1" a="1"/>
  <c r="CX37" i="71" s="1"/>
  <c r="AS5" i="72"/>
  <c r="AU5" i="72"/>
  <c r="AU6" i="72"/>
  <c r="BE3" i="72"/>
  <c r="BG3" i="72" s="1"/>
  <c r="BF3" i="72" s="1"/>
  <c r="CU31" i="72" a="1"/>
  <c r="CU31" i="72" s="1"/>
  <c r="BG8" i="72"/>
  <c r="AS6" i="72"/>
  <c r="F19" i="32" a="1"/>
  <c r="F19" i="32" s="1"/>
  <c r="F18" i="32" s="1" a="1"/>
  <c r="F18" i="32" s="1"/>
  <c r="BP8" i="72" a="1"/>
  <c r="BP8" i="72" s="1"/>
  <c r="BS23" i="72"/>
  <c r="BR12" i="72" a="1"/>
  <c r="BR12" i="72" s="1"/>
  <c r="BS16" i="72"/>
  <c r="BS19" i="72"/>
  <c r="BS18" i="72"/>
  <c r="BS21" i="72"/>
  <c r="BS26" i="72"/>
  <c r="BP13" i="72" a="1"/>
  <c r="BP13" i="72" s="1"/>
  <c r="BS25" i="72"/>
  <c r="BS20" i="72"/>
  <c r="CV48" i="71" a="1"/>
  <c r="CV48" i="71" s="1"/>
  <c r="CX48" i="71" s="1" a="1"/>
  <c r="CX48" i="71" s="1"/>
  <c r="CZ48" i="71" s="1"/>
  <c r="BS22" i="72"/>
  <c r="BQ16" i="72"/>
  <c r="BS15" i="72"/>
  <c r="BS17" i="72"/>
  <c r="BS24" i="72"/>
  <c r="E38" i="40"/>
  <c r="E37" i="40" s="1"/>
  <c r="E29" i="40"/>
  <c r="E22" i="40" s="1"/>
  <c r="M38" i="40"/>
  <c r="M37" i="40" s="1"/>
  <c r="M29" i="40"/>
  <c r="M22" i="40" s="1"/>
  <c r="C7" i="40"/>
  <c r="H38" i="40"/>
  <c r="H37" i="40" s="1"/>
  <c r="H29" i="40"/>
  <c r="H22" i="40" s="1"/>
  <c r="E70" i="32"/>
  <c r="E164" i="32" s="1"/>
  <c r="E37" i="32"/>
  <c r="D102" i="40"/>
  <c r="D64" i="40"/>
  <c r="K38" i="40"/>
  <c r="K37" i="40" s="1"/>
  <c r="K29" i="40"/>
  <c r="K22" i="40" s="1"/>
  <c r="N38" i="40"/>
  <c r="N37" i="40" s="1"/>
  <c r="N29" i="40"/>
  <c r="N22" i="40" s="1"/>
  <c r="AH2" i="61"/>
  <c r="AI1" i="61"/>
  <c r="H34" i="68" a="1"/>
  <c r="H34" i="68" s="1"/>
  <c r="H33" i="68" a="1"/>
  <c r="H33" i="68" s="1"/>
  <c r="I29" i="40"/>
  <c r="I22" i="40" s="1"/>
  <c r="I38" i="40"/>
  <c r="I37" i="40" s="1"/>
  <c r="D38" i="40"/>
  <c r="D29" i="40"/>
  <c r="F37" i="32"/>
  <c r="K28" i="32"/>
  <c r="L38" i="40"/>
  <c r="L37" i="40" s="1"/>
  <c r="L29" i="40"/>
  <c r="L22" i="40" s="1"/>
  <c r="F38" i="40"/>
  <c r="F37" i="40" s="1"/>
  <c r="F29" i="40"/>
  <c r="F22" i="40" s="1"/>
  <c r="O38" i="40"/>
  <c r="O37" i="40" s="1"/>
  <c r="O29" i="40"/>
  <c r="O22" i="40" s="1"/>
  <c r="J38" i="40"/>
  <c r="J37" i="40" s="1"/>
  <c r="J29" i="40"/>
  <c r="J22" i="40" s="1"/>
  <c r="BS14" i="76" a="1"/>
  <c r="BS14" i="76" s="1"/>
  <c r="J50" i="40" a="1"/>
  <c r="J50" i="40" s="1"/>
  <c r="K1" i="40"/>
  <c r="K184" i="40" s="1" a="1"/>
  <c r="K184" i="40" s="1"/>
  <c r="K185" i="40" s="1"/>
  <c r="K42" i="40" s="1"/>
  <c r="E24" i="46" l="1" a="1"/>
  <c r="E24" i="46" s="1"/>
  <c r="E4" i="46" s="1"/>
  <c r="F25" i="46" a="1"/>
  <c r="F25" i="46" s="1"/>
  <c r="F24" i="46" a="1"/>
  <c r="F24" i="46" s="1"/>
  <c r="G25" i="46" a="1"/>
  <c r="G25" i="46" s="1"/>
  <c r="J7" i="3" s="1"/>
  <c r="G26" i="46" a="1"/>
  <c r="G26" i="46" s="1"/>
  <c r="J6" i="3" s="1"/>
  <c r="J8" i="3"/>
  <c r="AM58" i="6"/>
  <c r="AN58" i="6" s="1"/>
  <c r="AO58" i="6" s="1"/>
  <c r="AY48" i="6"/>
  <c r="AV3" i="73"/>
  <c r="AW3" i="73" s="1" a="1"/>
  <c r="AW3" i="73" s="1"/>
  <c r="AD56" i="6" a="1"/>
  <c r="AD56" i="6" s="1"/>
  <c r="AD55" i="6" a="1"/>
  <c r="AD55" i="6" s="1"/>
  <c r="AD63" i="6" a="1"/>
  <c r="AD63" i="6" s="1"/>
  <c r="AD59" i="6" a="1"/>
  <c r="AD59" i="6" s="1"/>
  <c r="AD48" i="6" a="1"/>
  <c r="AD48" i="6" s="1"/>
  <c r="AM70" i="6"/>
  <c r="AN70" i="6" s="1"/>
  <c r="AO70" i="6" s="1"/>
  <c r="AM71" i="6"/>
  <c r="AN71" i="6" s="1"/>
  <c r="AO71" i="6" s="1"/>
  <c r="AD71" i="6" s="1" a="1"/>
  <c r="AD71" i="6" s="1"/>
  <c r="AM53" i="6"/>
  <c r="AN53" i="6" s="1"/>
  <c r="AO53" i="6" s="1"/>
  <c r="AM67" i="6"/>
  <c r="AN67" i="6" s="1"/>
  <c r="AO67" i="6" s="1"/>
  <c r="AD67" i="6" s="1" a="1"/>
  <c r="AD67" i="6" s="1"/>
  <c r="AM61" i="6"/>
  <c r="AN61" i="6" s="1"/>
  <c r="AO61" i="6" s="1"/>
  <c r="AM60" i="6"/>
  <c r="AN60" i="6" s="1"/>
  <c r="AO60" i="6" s="1"/>
  <c r="AM66" i="6"/>
  <c r="AN66" i="6" s="1"/>
  <c r="AO66" i="6" s="1"/>
  <c r="AM54" i="6"/>
  <c r="AN54" i="6" s="1"/>
  <c r="AO54" i="6" s="1"/>
  <c r="AM62" i="6"/>
  <c r="AN62" i="6" s="1"/>
  <c r="AO62" i="6" s="1"/>
  <c r="AI5" i="61"/>
  <c r="AI4" i="61"/>
  <c r="AM65" i="6"/>
  <c r="AN65" i="6" s="1"/>
  <c r="AO65" i="6" s="1"/>
  <c r="AM51" i="6"/>
  <c r="AN51" i="6" s="1"/>
  <c r="AO51" i="6" s="1"/>
  <c r="AM64" i="6"/>
  <c r="AN64" i="6" s="1"/>
  <c r="AO64" i="6" s="1"/>
  <c r="AM52" i="6"/>
  <c r="AN52" i="6" s="1"/>
  <c r="AO52" i="6" s="1"/>
  <c r="AM50" i="6"/>
  <c r="AN50" i="6" s="1"/>
  <c r="AO50" i="6" s="1"/>
  <c r="AM49" i="6"/>
  <c r="AN49" i="6" s="1"/>
  <c r="AO49" i="6" s="1"/>
  <c r="AM57" i="6"/>
  <c r="AN57" i="6" s="1"/>
  <c r="AO57" i="6" s="1"/>
  <c r="D103" i="40"/>
  <c r="D16" i="40" s="1"/>
  <c r="C16" i="40" s="1"/>
  <c r="D69" i="40"/>
  <c r="D11" i="40" s="1"/>
  <c r="E69" i="40"/>
  <c r="E11" i="40" s="1"/>
  <c r="E34" i="40" s="1"/>
  <c r="F69" i="40"/>
  <c r="F11" i="40" s="1"/>
  <c r="F34" i="40" s="1"/>
  <c r="G69" i="40"/>
  <c r="G11" i="40" s="1"/>
  <c r="G34" i="40" s="1"/>
  <c r="H69" i="40"/>
  <c r="H11" i="40" s="1"/>
  <c r="H34" i="40" s="1"/>
  <c r="I69" i="40"/>
  <c r="I11" i="40" s="1"/>
  <c r="I34" i="40" s="1"/>
  <c r="J69" i="40"/>
  <c r="J11" i="40" s="1"/>
  <c r="J34" i="40" s="1"/>
  <c r="K69" i="40"/>
  <c r="K11" i="40" s="1"/>
  <c r="K34" i="40" s="1"/>
  <c r="L69" i="40"/>
  <c r="L11" i="40" s="1"/>
  <c r="L34" i="40" s="1"/>
  <c r="M69" i="40"/>
  <c r="M11" i="40" s="1"/>
  <c r="M34" i="40" s="1"/>
  <c r="N69" i="40"/>
  <c r="N11" i="40" s="1"/>
  <c r="N34" i="40" s="1"/>
  <c r="O69" i="40"/>
  <c r="O11" i="40" s="1"/>
  <c r="O34" i="40" s="1"/>
  <c r="BM25" i="57" a="1"/>
  <c r="BM25" i="57" s="1"/>
  <c r="BM22" i="57" s="1"/>
  <c r="AN7" i="57"/>
  <c r="AN8" i="57"/>
  <c r="AN9" i="57"/>
  <c r="CD25" i="57" a="1"/>
  <c r="CD25" i="57" s="1"/>
  <c r="CC21" i="57" s="1"/>
  <c r="CD21" i="57" s="1"/>
  <c r="AU8" i="57"/>
  <c r="AU9" i="57"/>
  <c r="AU7" i="57"/>
  <c r="BA8" i="76"/>
  <c r="BA6" i="76"/>
  <c r="BA7" i="76"/>
  <c r="BA9" i="76"/>
  <c r="CP6" i="71" a="1"/>
  <c r="CP6" i="71" s="1"/>
  <c r="CS6" i="71" s="1" a="1"/>
  <c r="CS6" i="71" s="1"/>
  <c r="CQ6" i="71" s="1" a="1"/>
  <c r="CQ6" i="71" s="1"/>
  <c r="CR6" i="71" s="1"/>
  <c r="AT8" i="57"/>
  <c r="AT7" i="57"/>
  <c r="AT9" i="57"/>
  <c r="AU6" i="57"/>
  <c r="V6" i="68"/>
  <c r="V7" i="68" s="1"/>
  <c r="V8" i="68" s="1"/>
  <c r="S40" i="68"/>
  <c r="S11" i="68"/>
  <c r="O121" i="32"/>
  <c r="O160" i="32"/>
  <c r="O36" i="32"/>
  <c r="J143" i="32"/>
  <c r="J144" i="32" s="1"/>
  <c r="J16" i="32"/>
  <c r="AI56" i="61" a="1"/>
  <c r="AI56" i="61" s="1"/>
  <c r="AI45" i="61" a="1"/>
  <c r="AI45" i="61" s="1"/>
  <c r="AI28" i="61" a="1"/>
  <c r="AI28" i="61" s="1"/>
  <c r="AI53" i="61" a="1"/>
  <c r="AI53" i="61" s="1"/>
  <c r="AI49" i="61" a="1"/>
  <c r="AI49" i="61" s="1"/>
  <c r="AI33" i="61" a="1"/>
  <c r="AI33" i="61" s="1"/>
  <c r="AI42" i="61" a="1"/>
  <c r="AI42" i="61" s="1"/>
  <c r="AI38" i="61" a="1"/>
  <c r="AI38" i="61" s="1"/>
  <c r="AI46" i="61" a="1"/>
  <c r="AI46" i="61" s="1"/>
  <c r="AI31" i="61" a="1"/>
  <c r="AI31" i="61" s="1"/>
  <c r="AI57" i="61" a="1"/>
  <c r="AI57" i="61" s="1"/>
  <c r="AI50" i="61" a="1"/>
  <c r="AI50" i="61" s="1"/>
  <c r="AI41" i="61" a="1"/>
  <c r="AI41" i="61" s="1"/>
  <c r="AI36" i="61" a="1"/>
  <c r="AI36" i="61" s="1"/>
  <c r="AI43" i="61" a="1"/>
  <c r="AI43" i="61" s="1"/>
  <c r="AI40" i="61" a="1"/>
  <c r="AI40" i="61" s="1"/>
  <c r="AI29" i="61" a="1"/>
  <c r="AI29" i="61" s="1"/>
  <c r="AI54" i="61" a="1"/>
  <c r="AI54" i="61" s="1"/>
  <c r="AI51" i="61" a="1"/>
  <c r="AI51" i="61" s="1"/>
  <c r="AI39" i="61" a="1"/>
  <c r="AI39" i="61" s="1"/>
  <c r="AI34" i="61" a="1"/>
  <c r="AI34" i="61" s="1"/>
  <c r="AI47" i="61" a="1"/>
  <c r="AI47" i="61" s="1"/>
  <c r="AI44" i="61" a="1"/>
  <c r="AI44" i="61" s="1"/>
  <c r="AI32" i="61" a="1"/>
  <c r="AI32" i="61" s="1"/>
  <c r="AI55" i="61" a="1"/>
  <c r="AI55" i="61" s="1"/>
  <c r="AI37" i="61" a="1"/>
  <c r="AI37" i="61" s="1"/>
  <c r="AI52" i="61" a="1"/>
  <c r="AI52" i="61" s="1"/>
  <c r="AI48" i="61" a="1"/>
  <c r="AI48"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6" i="61" a="1"/>
  <c r="AI26" i="61" s="1"/>
  <c r="AI24" i="61" a="1"/>
  <c r="AI24" i="61" s="1"/>
  <c r="AI35" i="61" a="1"/>
  <c r="AI35" i="61" s="1"/>
  <c r="AI30" i="61" a="1"/>
  <c r="AI30" i="61" s="1"/>
  <c r="AI22" i="61" a="1"/>
  <c r="AI22" i="61" s="1"/>
  <c r="AI27" i="61" a="1"/>
  <c r="AI27" i="61" s="1"/>
  <c r="AI25" i="61" a="1"/>
  <c r="AI25" i="61" s="1"/>
  <c r="AI20" i="61" a="1"/>
  <c r="AI20" i="61" s="1"/>
  <c r="AI19" i="61" a="1"/>
  <c r="AI19" i="61" s="1"/>
  <c r="AI12" i="61" a="1"/>
  <c r="AI12" i="61" s="1"/>
  <c r="AI11" i="61" a="1"/>
  <c r="AI11" i="61" s="1"/>
  <c r="AI15" i="61" a="1"/>
  <c r="AI15" i="61" s="1"/>
  <c r="BT13" i="72"/>
  <c r="I6" i="71"/>
  <c r="K33" i="68" a="1"/>
  <c r="K33" i="68" s="1"/>
  <c r="K35" i="68" s="1"/>
  <c r="BT15" i="76"/>
  <c r="BU15" i="76" s="1"/>
  <c r="BI9" i="57" a="1"/>
  <c r="BI9" i="57" s="1"/>
  <c r="BK9" i="57" s="1"/>
  <c r="BS8" i="76" a="1"/>
  <c r="BS8" i="76" s="1"/>
  <c r="BT8" i="76" s="1"/>
  <c r="BU8" i="76" s="1"/>
  <c r="BI11" i="57" a="1"/>
  <c r="BI11" i="57" s="1"/>
  <c r="BK11" i="57" s="1"/>
  <c r="BS10" i="76" a="1"/>
  <c r="BS10" i="76" s="1"/>
  <c r="BT10" i="76" s="1"/>
  <c r="BU10" i="76" s="1"/>
  <c r="BS25" i="57" a="1"/>
  <c r="BS25" i="57" s="1"/>
  <c r="BX25" i="57" s="1" a="1"/>
  <c r="BX25" i="57" s="1"/>
  <c r="AN6" i="57"/>
  <c r="BK10" i="57"/>
  <c r="BI14" i="57" a="1"/>
  <c r="BI14" i="57" s="1"/>
  <c r="BK14" i="57" s="1"/>
  <c r="BI16" i="57" a="1"/>
  <c r="BI16" i="57" s="1"/>
  <c r="BK16" i="57" s="1"/>
  <c r="BI15" i="57" a="1"/>
  <c r="BI15" i="57" s="1"/>
  <c r="BK15" i="57" s="1"/>
  <c r="AT6" i="57"/>
  <c r="D33" i="68" a="1"/>
  <c r="D33" i="68" s="1"/>
  <c r="D35" i="68" s="1"/>
  <c r="CV34" i="71" a="1"/>
  <c r="CV34" i="71" s="1"/>
  <c r="CX34" i="71" s="1" a="1"/>
  <c r="CX34" i="71" s="1"/>
  <c r="K34" i="68" a="1"/>
  <c r="K34" i="68" s="1"/>
  <c r="F34" i="68" a="1"/>
  <c r="F34" i="68" s="1"/>
  <c r="F33" i="68" a="1"/>
  <c r="F33" i="68" s="1"/>
  <c r="F35" i="68" s="1"/>
  <c r="D34" i="68" a="1"/>
  <c r="D34" i="68" s="1"/>
  <c r="DB7" i="71"/>
  <c r="BT12" i="76"/>
  <c r="BU12" i="76" s="1"/>
  <c r="P17" i="32"/>
  <c r="N34" i="68" a="1"/>
  <c r="N34" i="68" s="1"/>
  <c r="N33" i="68" a="1"/>
  <c r="N33" i="68" s="1"/>
  <c r="L34" i="68" a="1"/>
  <c r="L34" i="68" s="1"/>
  <c r="L32" i="68" s="1"/>
  <c r="L46" i="68" s="1"/>
  <c r="L47" i="68" s="1"/>
  <c r="K17" i="32"/>
  <c r="BT13" i="76"/>
  <c r="BU13" i="76" s="1"/>
  <c r="E18" i="32" a="1"/>
  <c r="E18" i="32" s="1"/>
  <c r="BT5" i="76"/>
  <c r="BU5" i="76" s="1"/>
  <c r="BT14" i="76"/>
  <c r="BU14" i="76" s="1"/>
  <c r="CQ5" i="76" a="1"/>
  <c r="CQ5" i="76" s="1"/>
  <c r="BA5" i="76"/>
  <c r="AX3" i="73"/>
  <c r="AY3" i="73" s="1"/>
  <c r="AT5" i="73"/>
  <c r="AR5" i="73"/>
  <c r="AR6" i="73"/>
  <c r="AT6" i="73"/>
  <c r="BT8" i="72" a="1"/>
  <c r="BT8" i="72" s="1"/>
  <c r="BQ8" i="72"/>
  <c r="BR8" i="72" a="1"/>
  <c r="BR8" i="72" s="1"/>
  <c r="BS8" i="72" s="1"/>
  <c r="CZ37" i="71"/>
  <c r="H32" i="68"/>
  <c r="H46" i="68" s="1"/>
  <c r="H47" i="68" s="1"/>
  <c r="H35" i="68"/>
  <c r="L1" i="40"/>
  <c r="L184" i="40" s="1" a="1"/>
  <c r="L184" i="40" s="1"/>
  <c r="L185" i="40" s="1"/>
  <c r="L42" i="40" s="1"/>
  <c r="K50" i="40" a="1"/>
  <c r="K50" i="40" s="1"/>
  <c r="I34" i="68" a="1"/>
  <c r="I34" i="68" s="1"/>
  <c r="I33" i="68" a="1"/>
  <c r="I33" i="68" s="1"/>
  <c r="G33" i="68" a="1"/>
  <c r="G33" i="68" s="1"/>
  <c r="G34" i="68" a="1"/>
  <c r="G34" i="68" s="1"/>
  <c r="D34" i="40"/>
  <c r="C11" i="40"/>
  <c r="D115" i="40"/>
  <c r="D116" i="40" s="1"/>
  <c r="D18" i="40" s="1"/>
  <c r="D121" i="40"/>
  <c r="C29" i="40"/>
  <c r="D22" i="40"/>
  <c r="C38" i="40"/>
  <c r="C37" i="40" s="1"/>
  <c r="D37" i="40"/>
  <c r="L35" i="68"/>
  <c r="AI2" i="61"/>
  <c r="AJ1" i="61"/>
  <c r="M34" i="68" a="1"/>
  <c r="M34" i="68" s="1"/>
  <c r="M33" i="68" a="1"/>
  <c r="M33" i="68" s="1"/>
  <c r="S6" i="71"/>
  <c r="E2" i="46" l="1"/>
  <c r="G4" i="46"/>
  <c r="J100" i="32" s="1"/>
  <c r="G2" i="46"/>
  <c r="K77" i="32" s="1"/>
  <c r="F2" i="46"/>
  <c r="F4" i="46"/>
  <c r="AD64" i="6" a="1"/>
  <c r="AD64" i="6" s="1"/>
  <c r="AD61" i="6" a="1"/>
  <c r="AD61" i="6" s="1"/>
  <c r="AD58" i="6" a="1"/>
  <c r="AD58" i="6" s="1"/>
  <c r="AD51" i="6" a="1"/>
  <c r="AD51" i="6" s="1"/>
  <c r="AD65" i="6" a="1"/>
  <c r="AD65" i="6" s="1"/>
  <c r="AD70" i="6" a="1"/>
  <c r="AD70" i="6" s="1"/>
  <c r="AD53" i="6" a="1"/>
  <c r="AD53" i="6" s="1"/>
  <c r="AD57" i="6" a="1"/>
  <c r="AD57" i="6" s="1"/>
  <c r="AD62" i="6" a="1"/>
  <c r="AD62" i="6" s="1"/>
  <c r="AD49" i="6" a="1"/>
  <c r="AD49" i="6" s="1"/>
  <c r="AD54" i="6" a="1"/>
  <c r="AD54" i="6" s="1"/>
  <c r="AD50" i="6" a="1"/>
  <c r="AD50" i="6" s="1"/>
  <c r="AD66" i="6" a="1"/>
  <c r="AD66" i="6" s="1"/>
  <c r="AD52" i="6" a="1"/>
  <c r="AD52" i="6" s="1"/>
  <c r="AD60" i="6" a="1"/>
  <c r="AD60" i="6" s="1"/>
  <c r="AJ4" i="61"/>
  <c r="AJ5" i="61"/>
  <c r="AY49" i="6"/>
  <c r="AY50" i="6"/>
  <c r="AY51" i="6"/>
  <c r="AY52" i="6"/>
  <c r="AY53" i="6"/>
  <c r="AY54" i="6"/>
  <c r="AY55" i="6"/>
  <c r="AY56" i="6"/>
  <c r="AY57" i="6"/>
  <c r="AY58" i="6"/>
  <c r="AY59" i="6"/>
  <c r="AY60" i="6"/>
  <c r="AY61" i="6"/>
  <c r="AY62" i="6"/>
  <c r="AY63" i="6"/>
  <c r="AY64" i="6"/>
  <c r="AY65" i="6"/>
  <c r="AY66" i="6"/>
  <c r="AY67" i="6"/>
  <c r="AY68" i="6"/>
  <c r="AY69" i="6"/>
  <c r="AY70" i="6"/>
  <c r="AY71" i="6"/>
  <c r="D19" i="40"/>
  <c r="C19" i="40" s="1"/>
  <c r="L13" i="40"/>
  <c r="K13" i="40"/>
  <c r="N13" i="40"/>
  <c r="M13" i="40"/>
  <c r="I13" i="40"/>
  <c r="H13" i="40"/>
  <c r="G13" i="40"/>
  <c r="F13" i="40"/>
  <c r="E13" i="40"/>
  <c r="E21" i="40" s="1"/>
  <c r="O13" i="40"/>
  <c r="AV6" i="57"/>
  <c r="CB21" i="57"/>
  <c r="AV7" i="57"/>
  <c r="AV8" i="57"/>
  <c r="AV9" i="57"/>
  <c r="BB6" i="76"/>
  <c r="BB7" i="76"/>
  <c r="BB8" i="76"/>
  <c r="BB9" i="76"/>
  <c r="AO7" i="57"/>
  <c r="AO8" i="57"/>
  <c r="AO9" i="57"/>
  <c r="E159" i="32"/>
  <c r="E141" i="32"/>
  <c r="E142" i="32" s="1"/>
  <c r="E130" i="32"/>
  <c r="S18" i="68"/>
  <c r="S19" i="68"/>
  <c r="S10" i="68"/>
  <c r="O128" i="32"/>
  <c r="O126" i="32"/>
  <c r="O127" i="32"/>
  <c r="J121" i="32"/>
  <c r="J160" i="32"/>
  <c r="J36" i="32"/>
  <c r="O122" i="32"/>
  <c r="O161" i="32"/>
  <c r="O132" i="32"/>
  <c r="O131" i="32"/>
  <c r="O44" i="32"/>
  <c r="O46" i="32" s="1"/>
  <c r="BZ25" i="57" a="1"/>
  <c r="BZ25" i="57" s="1"/>
  <c r="AJ56" i="61" a="1"/>
  <c r="AJ56" i="61" s="1"/>
  <c r="AJ45" i="61" a="1"/>
  <c r="AJ45" i="61" s="1"/>
  <c r="AJ53" i="61" a="1"/>
  <c r="AJ53" i="61" s="1"/>
  <c r="AJ49" i="61" a="1"/>
  <c r="AJ49" i="61" s="1"/>
  <c r="AJ33" i="61" a="1"/>
  <c r="AJ33" i="61" s="1"/>
  <c r="AJ42" i="61" a="1"/>
  <c r="AJ42" i="61" s="1"/>
  <c r="AJ38" i="61" a="1"/>
  <c r="AJ38" i="61" s="1"/>
  <c r="AJ46" i="61" a="1"/>
  <c r="AJ46" i="61" s="1"/>
  <c r="AJ57" i="61" a="1"/>
  <c r="AJ57" i="61" s="1"/>
  <c r="AJ50" i="61" a="1"/>
  <c r="AJ50" i="61" s="1"/>
  <c r="AJ41" i="61" a="1"/>
  <c r="AJ41" i="61" s="1"/>
  <c r="AJ36" i="61" a="1"/>
  <c r="AJ36" i="61" s="1"/>
  <c r="AJ43" i="61" a="1"/>
  <c r="AJ43" i="61" s="1"/>
  <c r="AJ40" i="61" a="1"/>
  <c r="AJ40" i="61" s="1"/>
  <c r="AJ54" i="61" a="1"/>
  <c r="AJ54" i="61" s="1"/>
  <c r="AJ51" i="61" a="1"/>
  <c r="AJ51" i="61" s="1"/>
  <c r="AJ39" i="61" a="1"/>
  <c r="AJ39" i="61" s="1"/>
  <c r="AJ34" i="61" a="1"/>
  <c r="AJ34" i="61" s="1"/>
  <c r="AJ55" i="61" a="1"/>
  <c r="AJ55" i="61" s="1"/>
  <c r="AJ37" i="61" a="1"/>
  <c r="AJ37" i="61" s="1"/>
  <c r="AJ52" i="61" a="1"/>
  <c r="AJ52" i="61" s="1"/>
  <c r="AJ48" i="61" a="1"/>
  <c r="AJ48" i="61" s="1"/>
  <c r="AJ30" i="61" a="1"/>
  <c r="AJ30"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6" i="61" a="1"/>
  <c r="AJ26" i="61" s="1"/>
  <c r="AJ24" i="61" a="1"/>
  <c r="AJ24" i="61" s="1"/>
  <c r="AJ47" i="61" a="1"/>
  <c r="AJ47" i="61" s="1"/>
  <c r="AJ13" i="61" a="1"/>
  <c r="AJ13" i="61" s="1"/>
  <c r="AJ35" i="61" a="1"/>
  <c r="AJ35" i="61" s="1"/>
  <c r="AJ31" i="61" a="1"/>
  <c r="AJ31"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K32" i="68"/>
  <c r="K46" i="68" s="1"/>
  <c r="K47" i="68" s="1"/>
  <c r="W23" i="49"/>
  <c r="CV38" i="71" a="1"/>
  <c r="CV38" i="71" s="1"/>
  <c r="CX38" i="71" s="1" a="1"/>
  <c r="CX38" i="71" s="1"/>
  <c r="CZ38" i="71" s="1"/>
  <c r="O34" i="68" a="1"/>
  <c r="O34" i="68" s="1"/>
  <c r="O33" i="68" a="1"/>
  <c r="O33" i="68" s="1"/>
  <c r="BS16" i="76" a="1"/>
  <c r="BS16" i="76" s="1"/>
  <c r="BT16" i="76" s="1"/>
  <c r="BU16" i="76" s="1"/>
  <c r="BI12" i="57" a="1"/>
  <c r="BI12" i="57" s="1"/>
  <c r="BK12" i="57" s="1"/>
  <c r="BS11" i="76" a="1"/>
  <c r="BS11" i="76" s="1"/>
  <c r="BT11" i="76" s="1"/>
  <c r="BU11" i="76" s="1"/>
  <c r="BY25" i="57" a="1"/>
  <c r="BY25" i="57" s="1"/>
  <c r="BY22" i="57" s="1"/>
  <c r="AO6" i="57"/>
  <c r="BI8" i="57" a="1"/>
  <c r="BI8" i="57" s="1"/>
  <c r="BK8" i="57" s="1"/>
  <c r="BI17" i="57" a="1"/>
  <c r="BI17" i="57" s="1"/>
  <c r="BK17" i="57" s="1"/>
  <c r="BI13" i="57" a="1"/>
  <c r="BI13" i="57" s="1"/>
  <c r="BK13" i="57" s="1"/>
  <c r="D32" i="68"/>
  <c r="D46" i="68" s="1"/>
  <c r="D47" i="68" s="1"/>
  <c r="F32" i="68"/>
  <c r="F46" i="68" s="1"/>
  <c r="F47" i="68" s="1"/>
  <c r="N35" i="68"/>
  <c r="N32" i="68"/>
  <c r="N46" i="68" s="1"/>
  <c r="N47" i="68" s="1"/>
  <c r="CV39" i="71" a="1"/>
  <c r="CV39" i="71" s="1"/>
  <c r="CX39" i="71" s="1" a="1"/>
  <c r="CX39" i="71" s="1"/>
  <c r="CZ39" i="71" s="1"/>
  <c r="J33" i="68" a="1"/>
  <c r="J33" i="68" s="1"/>
  <c r="J34" i="68" a="1"/>
  <c r="J34" i="68" s="1"/>
  <c r="AZ3" i="73"/>
  <c r="BA3" i="73" s="1" a="1"/>
  <c r="BA3" i="73" s="1"/>
  <c r="CR5" i="76" a="1"/>
  <c r="CR5" i="76" s="1"/>
  <c r="BB5" i="76"/>
  <c r="CV42" i="71" a="1"/>
  <c r="CV42" i="71" s="1"/>
  <c r="CX42" i="71" s="1" a="1"/>
  <c r="CX42" i="71" s="1"/>
  <c r="CZ42" i="71" s="1"/>
  <c r="Q6" i="71"/>
  <c r="AC6" i="71" s="1"/>
  <c r="AD6" i="71" s="1"/>
  <c r="C18" i="40"/>
  <c r="M32" i="68"/>
  <c r="M46" i="68" s="1"/>
  <c r="M47" i="68" s="1"/>
  <c r="M35" i="68"/>
  <c r="E33" i="68" a="1"/>
  <c r="E33" i="68" s="1"/>
  <c r="E34" i="68" a="1"/>
  <c r="E34" i="68" s="1"/>
  <c r="G32" i="68"/>
  <c r="G46" i="68" s="1"/>
  <c r="G47" i="68" s="1"/>
  <c r="G35" i="68"/>
  <c r="AJ2" i="61"/>
  <c r="AK1" i="61"/>
  <c r="M1" i="40"/>
  <c r="M184" i="40" s="1" a="1"/>
  <c r="M184" i="40" s="1"/>
  <c r="M185" i="40" s="1"/>
  <c r="M42" i="40" s="1"/>
  <c r="L50" i="40" a="1"/>
  <c r="L50" i="40" s="1"/>
  <c r="AM6" i="71"/>
  <c r="R6" i="71"/>
  <c r="C34" i="40"/>
  <c r="I32" i="68"/>
  <c r="I46" i="68" s="1"/>
  <c r="I47" i="68" s="1"/>
  <c r="I35" i="68"/>
  <c r="AG6" i="71" a="1"/>
  <c r="AG6" i="71" s="1"/>
  <c r="AF6" i="71" a="1"/>
  <c r="AF6" i="71" s="1"/>
  <c r="CZ34" i="71"/>
  <c r="C22" i="40"/>
  <c r="C15" i="40"/>
  <c r="J77" i="32" l="1"/>
  <c r="K100" i="32"/>
  <c r="AK5" i="61"/>
  <c r="AK4" i="61"/>
  <c r="K141" i="32"/>
  <c r="K142" i="32" s="1"/>
  <c r="K76" i="32"/>
  <c r="J141" i="32"/>
  <c r="J142" i="32" s="1"/>
  <c r="J76" i="32"/>
  <c r="D55" i="68" a="1"/>
  <c r="D55" i="68" s="1"/>
  <c r="D53" i="68" a="1"/>
  <c r="D53" i="68" s="1"/>
  <c r="D48" i="68" a="1"/>
  <c r="D48" i="68" s="1"/>
  <c r="I21" i="40"/>
  <c r="I20" i="40"/>
  <c r="I160" i="40" s="1"/>
  <c r="I161" i="40" s="1"/>
  <c r="I30" i="40" s="1"/>
  <c r="E20" i="40"/>
  <c r="E160" i="40" s="1"/>
  <c r="E161" i="40" s="1"/>
  <c r="E30" i="40" s="1"/>
  <c r="E12" i="40"/>
  <c r="E36" i="40"/>
  <c r="E33" i="40" s="1"/>
  <c r="E41" i="40" s="1"/>
  <c r="H21" i="40"/>
  <c r="H12" i="40"/>
  <c r="H20" i="40"/>
  <c r="H160" i="40" s="1"/>
  <c r="H161" i="40" s="1"/>
  <c r="H30" i="40" s="1"/>
  <c r="H36" i="40"/>
  <c r="H33" i="40" s="1"/>
  <c r="H41" i="40" s="1"/>
  <c r="M21" i="40"/>
  <c r="M20" i="40"/>
  <c r="M160" i="40" s="1"/>
  <c r="M161" i="40" s="1"/>
  <c r="M30" i="40" s="1"/>
  <c r="M36" i="40"/>
  <c r="M33" i="40" s="1"/>
  <c r="M41" i="40" s="1"/>
  <c r="M12" i="40"/>
  <c r="F12" i="40"/>
  <c r="F21" i="40"/>
  <c r="F36" i="40"/>
  <c r="F33" i="40" s="1"/>
  <c r="F41" i="40" s="1"/>
  <c r="F20" i="40"/>
  <c r="F160" i="40" s="1"/>
  <c r="F161" i="40" s="1"/>
  <c r="F30" i="40" s="1"/>
  <c r="G20" i="40"/>
  <c r="G160" i="40" s="1"/>
  <c r="G161" i="40" s="1"/>
  <c r="G30" i="40" s="1"/>
  <c r="G12" i="40"/>
  <c r="G36" i="40"/>
  <c r="G33" i="40" s="1"/>
  <c r="G41" i="40" s="1"/>
  <c r="G21" i="40"/>
  <c r="O21" i="40"/>
  <c r="O36" i="40"/>
  <c r="O33" i="40" s="1"/>
  <c r="O41" i="40" s="1"/>
  <c r="O20" i="40"/>
  <c r="O160" i="40" s="1"/>
  <c r="O161" i="40" s="1"/>
  <c r="O30" i="40" s="1"/>
  <c r="O12" i="40"/>
  <c r="N21" i="40"/>
  <c r="N36" i="40"/>
  <c r="N33" i="40" s="1"/>
  <c r="N41" i="40" s="1"/>
  <c r="N20" i="40"/>
  <c r="N160" i="40" s="1"/>
  <c r="N161" i="40" s="1"/>
  <c r="N30" i="40" s="1"/>
  <c r="N12" i="40"/>
  <c r="K12" i="40"/>
  <c r="K20" i="40"/>
  <c r="K160" i="40" s="1"/>
  <c r="K161" i="40" s="1"/>
  <c r="K30" i="40" s="1"/>
  <c r="K36" i="40"/>
  <c r="K33" i="40" s="1"/>
  <c r="K41" i="40" s="1"/>
  <c r="K21" i="40"/>
  <c r="L21" i="40"/>
  <c r="L20" i="40"/>
  <c r="L160" i="40" s="1"/>
  <c r="L161" i="40" s="1"/>
  <c r="L30" i="40" s="1"/>
  <c r="L12" i="40"/>
  <c r="L36" i="40"/>
  <c r="L33" i="40" s="1"/>
  <c r="L41" i="40" s="1"/>
  <c r="J13" i="40"/>
  <c r="I36" i="40"/>
  <c r="I33" i="40" s="1"/>
  <c r="I41" i="40" s="1"/>
  <c r="I12" i="40"/>
  <c r="AP6" i="57"/>
  <c r="AP7" i="57"/>
  <c r="AP9" i="57"/>
  <c r="AP8" i="57"/>
  <c r="F141" i="32"/>
  <c r="F142" i="32" s="1"/>
  <c r="F159" i="32"/>
  <c r="F130" i="32"/>
  <c r="S30" i="68"/>
  <c r="S6" i="68"/>
  <c r="S7" i="68" s="1"/>
  <c r="S8" i="68" s="1"/>
  <c r="J127" i="32"/>
  <c r="O123" i="32"/>
  <c r="O162" i="32"/>
  <c r="O124" i="32"/>
  <c r="J122" i="32"/>
  <c r="J161" i="32"/>
  <c r="J132" i="32"/>
  <c r="J131" i="32"/>
  <c r="J44" i="32"/>
  <c r="J46" i="32" s="1"/>
  <c r="BI6" i="57" a="1"/>
  <c r="BI6" i="57" s="1"/>
  <c r="BK6" i="57" s="1"/>
  <c r="BZ22" i="57"/>
  <c r="AK53" i="61" a="1"/>
  <c r="AK53" i="61" s="1"/>
  <c r="AK49" i="61" a="1"/>
  <c r="AK49" i="61" s="1"/>
  <c r="AK42" i="61" a="1"/>
  <c r="AK42" i="61" s="1"/>
  <c r="AK38" i="61" a="1"/>
  <c r="AK38" i="61" s="1"/>
  <c r="AK26" i="61" a="1"/>
  <c r="AK26" i="61" s="1"/>
  <c r="AK46" i="61" a="1"/>
  <c r="AK46" i="61" s="1"/>
  <c r="AK31" i="61" a="1"/>
  <c r="AK31" i="61" s="1"/>
  <c r="AK57" i="61" a="1"/>
  <c r="AK57" i="61" s="1"/>
  <c r="AK50" i="61" a="1"/>
  <c r="AK50" i="61" s="1"/>
  <c r="AK41" i="61" a="1"/>
  <c r="AK41" i="61" s="1"/>
  <c r="AK36" i="61" a="1"/>
  <c r="AK36" i="61" s="1"/>
  <c r="AK43" i="61" a="1"/>
  <c r="AK43" i="61" s="1"/>
  <c r="AK40" i="61" a="1"/>
  <c r="AK40" i="61" s="1"/>
  <c r="AK29" i="61" a="1"/>
  <c r="AK29" i="61" s="1"/>
  <c r="AK54" i="61" a="1"/>
  <c r="AK54" i="61" s="1"/>
  <c r="AK51" i="61" a="1"/>
  <c r="AK51" i="61" s="1"/>
  <c r="AK39" i="61" a="1"/>
  <c r="AK39" i="61" s="1"/>
  <c r="AK34" i="61" a="1"/>
  <c r="AK34" i="61" s="1"/>
  <c r="AK27" i="61" a="1"/>
  <c r="AK27" i="61" s="1"/>
  <c r="AK47" i="61" a="1"/>
  <c r="AK47" i="61" s="1"/>
  <c r="AK44" i="61" a="1"/>
  <c r="AK44" i="61" s="1"/>
  <c r="AK32" i="61" a="1"/>
  <c r="AK32" i="61" s="1"/>
  <c r="AK52" i="61" a="1"/>
  <c r="AK52" i="61" s="1"/>
  <c r="AK48" i="61" a="1"/>
  <c r="AK48" i="61" s="1"/>
  <c r="AK35" i="61" a="1"/>
  <c r="AK35" i="61" s="1"/>
  <c r="AK15" i="61" a="1"/>
  <c r="AK15" i="61" s="1"/>
  <c r="AK11" i="61" a="1"/>
  <c r="AK11" i="61" s="1"/>
  <c r="AK33" i="61" a="1"/>
  <c r="AK33" i="61" s="1"/>
  <c r="AK21" i="61" a="1"/>
  <c r="AK21" i="61" s="1"/>
  <c r="AK16" i="61" a="1"/>
  <c r="AK16" i="61" s="1"/>
  <c r="AK9" i="61" a="1"/>
  <c r="AK9" i="61" s="1"/>
  <c r="AK37" i="61" a="1"/>
  <c r="AK37" i="61" s="1"/>
  <c r="AK28" i="61" a="1"/>
  <c r="AK28" i="61" s="1"/>
  <c r="AK18" i="61" a="1"/>
  <c r="AK18" i="61" s="1"/>
  <c r="AK17" i="61" a="1"/>
  <c r="AK17" i="61" s="1"/>
  <c r="AK24" i="61" a="1"/>
  <c r="AK24" i="61" s="1"/>
  <c r="AK55" i="61" a="1"/>
  <c r="AK55" i="61" s="1"/>
  <c r="AK13" i="61" a="1"/>
  <c r="AK13" i="61" s="1"/>
  <c r="AK22" i="61" a="1"/>
  <c r="AK22" i="61" s="1"/>
  <c r="AK19" i="61" a="1"/>
  <c r="AK19" i="61" s="1"/>
  <c r="AK45" i="61" a="1"/>
  <c r="AK45" i="61" s="1"/>
  <c r="AK30" i="61" a="1"/>
  <c r="AK30" i="61" s="1"/>
  <c r="AK25" i="61" a="1"/>
  <c r="AK25" i="61" s="1"/>
  <c r="AK20" i="61" a="1"/>
  <c r="AK20" i="61" s="1"/>
  <c r="AK12" i="61" a="1"/>
  <c r="AK12" i="61" s="1"/>
  <c r="AK56" i="61" a="1"/>
  <c r="AK56" i="61" s="1"/>
  <c r="AK23" i="61" a="1"/>
  <c r="AK23" i="61" s="1"/>
  <c r="AK10" i="61" a="1"/>
  <c r="AK10" i="61" s="1"/>
  <c r="AK14" i="61" a="1"/>
  <c r="AK14" i="61" s="1"/>
  <c r="O32" i="68"/>
  <c r="O46" i="68" s="1"/>
  <c r="O47" i="68" s="1"/>
  <c r="O35" i="68"/>
  <c r="BI7" i="57" a="1"/>
  <c r="BI7" i="57" s="1"/>
  <c r="BK7" i="57" s="1"/>
  <c r="BS6" i="76" a="1"/>
  <c r="BS6" i="76" s="1"/>
  <c r="BT6" i="76" s="1"/>
  <c r="BU6" i="76" s="1"/>
  <c r="CE5" i="76" a="1"/>
  <c r="CE5" i="76" s="1"/>
  <c r="AQ5" i="76" s="1"/>
  <c r="AU5" i="76" s="1"/>
  <c r="AV5" i="76" s="1"/>
  <c r="DD9" i="71" a="1"/>
  <c r="DD9" i="71" s="1"/>
  <c r="DE9" i="71" s="1" a="1"/>
  <c r="DE9" i="71" s="1"/>
  <c r="J32" i="68"/>
  <c r="J46" i="68" s="1"/>
  <c r="J47" i="68" s="1"/>
  <c r="J35" i="68"/>
  <c r="F45" i="32" a="1"/>
  <c r="F45" i="32" s="1"/>
  <c r="F6" i="71"/>
  <c r="G6" i="71" s="1"/>
  <c r="BP10" i="72" a="1"/>
  <c r="BP10" i="72" s="1"/>
  <c r="BQ10" i="72" s="1"/>
  <c r="BX31" i="72" a="1"/>
  <c r="BX31" i="72" s="1"/>
  <c r="AT3" i="72" s="1"/>
  <c r="CF31" i="72" a="1"/>
  <c r="CF31" i="72" s="1"/>
  <c r="BZ31" i="72" a="1"/>
  <c r="CK31" i="72" a="1"/>
  <c r="AZ9" i="72" s="1"/>
  <c r="AL1" i="61"/>
  <c r="AK2" i="61"/>
  <c r="N1" i="40"/>
  <c r="N184" i="40" s="1" a="1"/>
  <c r="N184" i="40" s="1"/>
  <c r="N185" i="40" s="1"/>
  <c r="N42" i="40" s="1"/>
  <c r="M50" i="40" a="1"/>
  <c r="M50" i="40" s="1"/>
  <c r="C32" i="68"/>
  <c r="C46" i="68" s="1"/>
  <c r="C35" i="68"/>
  <c r="E32" i="68"/>
  <c r="E46" i="68" s="1"/>
  <c r="E47" i="68" s="1"/>
  <c r="E35" i="68"/>
  <c r="AE6" i="71"/>
  <c r="AS6" i="71" s="1"/>
  <c r="AH6" i="71"/>
  <c r="AL5" i="61" l="1"/>
  <c r="AL4" i="61"/>
  <c r="J53" i="68" a="1"/>
  <c r="J53" i="68" s="1"/>
  <c r="O53" i="68" a="1"/>
  <c r="O53" i="68" s="1"/>
  <c r="H53" i="68" a="1"/>
  <c r="H53" i="68" s="1"/>
  <c r="G55" i="68" a="1"/>
  <c r="G55" i="68" s="1"/>
  <c r="K55" i="68" a="1"/>
  <c r="K55" i="68" s="1"/>
  <c r="E48" i="68" a="1"/>
  <c r="E48" i="68" s="1"/>
  <c r="I48" i="68" a="1"/>
  <c r="I48" i="68" s="1"/>
  <c r="M53" i="68" a="1"/>
  <c r="M53" i="68" s="1"/>
  <c r="L48" i="68" a="1"/>
  <c r="L48" i="68" s="1"/>
  <c r="O55" i="68" a="1"/>
  <c r="O55" i="68" s="1"/>
  <c r="H55" i="68" a="1"/>
  <c r="H55" i="68" s="1"/>
  <c r="F48" i="68" a="1"/>
  <c r="F48" i="68" s="1"/>
  <c r="K48" i="68" a="1"/>
  <c r="K48" i="68" s="1"/>
  <c r="E53" i="68" a="1"/>
  <c r="E53" i="68" s="1"/>
  <c r="J48" i="68" a="1"/>
  <c r="J48" i="68" s="1"/>
  <c r="I53" i="68" a="1"/>
  <c r="I53" i="68" s="1"/>
  <c r="M55" i="68" a="1"/>
  <c r="M55" i="68" s="1"/>
  <c r="L53" i="68" a="1"/>
  <c r="L53" i="68" s="1"/>
  <c r="N48" i="68" a="1"/>
  <c r="N48" i="68" s="1"/>
  <c r="G48" i="68" a="1"/>
  <c r="G48" i="68" s="1"/>
  <c r="F53" i="68" a="1"/>
  <c r="F53" i="68" s="1"/>
  <c r="I55" i="68" a="1"/>
  <c r="I55" i="68" s="1"/>
  <c r="J55" i="68" a="1"/>
  <c r="J55" i="68" s="1"/>
  <c r="M48" i="68" a="1"/>
  <c r="M48" i="68" s="1"/>
  <c r="O48" i="68" a="1"/>
  <c r="O48" i="68" s="1"/>
  <c r="H48" i="68" a="1"/>
  <c r="H48" i="68" s="1"/>
  <c r="K53" i="68" a="1"/>
  <c r="K53" i="68" s="1"/>
  <c r="N55" i="68" a="1"/>
  <c r="N55" i="68" s="1"/>
  <c r="G53" i="68" a="1"/>
  <c r="G53" i="68" s="1"/>
  <c r="E55" i="68" a="1"/>
  <c r="E55" i="68" s="1"/>
  <c r="F55" i="68" a="1"/>
  <c r="F55" i="68" s="1"/>
  <c r="N53" i="68" a="1"/>
  <c r="N53" i="68" s="1"/>
  <c r="L55" i="68" a="1"/>
  <c r="L55" i="68" s="1"/>
  <c r="N32" i="40"/>
  <c r="F32" i="40"/>
  <c r="I32" i="40"/>
  <c r="G8" i="40"/>
  <c r="G9" i="40" s="1"/>
  <c r="G10" i="40" s="1"/>
  <c r="G32" i="40"/>
  <c r="N8" i="40"/>
  <c r="N9" i="40" s="1"/>
  <c r="N10" i="40" s="1"/>
  <c r="O32" i="40"/>
  <c r="L8" i="40"/>
  <c r="L9" i="40" s="1"/>
  <c r="L10" i="40" s="1"/>
  <c r="K8" i="40"/>
  <c r="K9" i="40" s="1"/>
  <c r="K10" i="40" s="1"/>
  <c r="K32" i="40"/>
  <c r="H8" i="40"/>
  <c r="H9" i="40" s="1"/>
  <c r="H10" i="40" s="1"/>
  <c r="F8" i="40"/>
  <c r="F9" i="40" s="1"/>
  <c r="F10" i="40" s="1"/>
  <c r="O8" i="40"/>
  <c r="O9" i="40" s="1"/>
  <c r="O10" i="40" s="1"/>
  <c r="L32" i="40"/>
  <c r="H32" i="40"/>
  <c r="M8" i="40"/>
  <c r="M9" i="40" s="1"/>
  <c r="M10" i="40" s="1"/>
  <c r="E8" i="40"/>
  <c r="E9" i="40" s="1"/>
  <c r="E10" i="40" s="1"/>
  <c r="E32" i="40"/>
  <c r="I8" i="40"/>
  <c r="I9" i="40" s="1"/>
  <c r="I10" i="40" s="1"/>
  <c r="M32" i="40"/>
  <c r="J21" i="40"/>
  <c r="J36" i="40"/>
  <c r="J33" i="40" s="1"/>
  <c r="J41" i="40" s="1"/>
  <c r="J12" i="40"/>
  <c r="J20" i="40"/>
  <c r="C53" i="68" a="1"/>
  <c r="C53" i="68" s="1"/>
  <c r="C55" i="68" a="1"/>
  <c r="C55" i="68" s="1"/>
  <c r="AT6" i="71"/>
  <c r="AU6" i="71" a="1"/>
  <c r="AU6" i="71" s="1"/>
  <c r="AZ6" i="71" s="1"/>
  <c r="BB6" i="71" s="1"/>
  <c r="C48" i="68" a="1"/>
  <c r="C48" i="68" s="1"/>
  <c r="J162" i="32"/>
  <c r="J123" i="32"/>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CH31" i="72" a="1"/>
  <c r="CH31" i="72" s="1"/>
  <c r="BH3" i="72" s="1"/>
  <c r="BK3" i="72" s="1"/>
  <c r="BJ3" i="72" s="1"/>
  <c r="S23" i="49" a="1"/>
  <c r="S23" i="49" s="1"/>
  <c r="J13" i="54" a="1"/>
  <c r="J13" i="54" s="1"/>
  <c r="P101" i="32" s="1" a="1"/>
  <c r="P101" i="32" s="1"/>
  <c r="P98" i="32" s="1"/>
  <c r="E45" i="32" a="1"/>
  <c r="E45" i="32" s="1"/>
  <c r="BR10" i="72" a="1"/>
  <c r="BR10" i="72" s="1"/>
  <c r="BS10" i="72" s="1"/>
  <c r="BT10" i="72" a="1"/>
  <c r="BT10" i="72" s="1"/>
  <c r="CF5" i="76" a="1"/>
  <c r="CF5" i="76" s="1"/>
  <c r="CH5" i="76" a="1"/>
  <c r="CH5" i="76" s="1"/>
  <c r="CV9" i="71" a="1"/>
  <c r="CV9" i="71" s="1"/>
  <c r="AV3" i="72"/>
  <c r="AW3" i="72" s="1" a="1"/>
  <c r="AW3" i="72" s="1"/>
  <c r="AU3" i="72"/>
  <c r="BZ31" i="72"/>
  <c r="E101" i="32" a="1"/>
  <c r="E101" i="32" s="1"/>
  <c r="CK31" i="72"/>
  <c r="CM31" i="72" a="1"/>
  <c r="BA9" i="72" s="1"/>
  <c r="CO31" i="72" a="1"/>
  <c r="BB9" i="72" s="1"/>
  <c r="N50" i="40" a="1"/>
  <c r="N50" i="40" s="1"/>
  <c r="O1" i="40"/>
  <c r="O184" i="40" s="1" a="1"/>
  <c r="O184" i="40" s="1"/>
  <c r="O185" i="40" s="1"/>
  <c r="O42" i="40" s="1"/>
  <c r="C42" i="40" s="1"/>
  <c r="AL2" i="61"/>
  <c r="AM1" i="61"/>
  <c r="AM5" i="61" l="1"/>
  <c r="AM4" i="61"/>
  <c r="J160" i="40"/>
  <c r="J161" i="40" s="1"/>
  <c r="J30" i="40" s="1"/>
  <c r="J32" i="40"/>
  <c r="J8" i="40"/>
  <c r="J9" i="40" s="1"/>
  <c r="J10" i="40" s="1"/>
  <c r="AR7" i="76"/>
  <c r="AR6" i="76"/>
  <c r="AR8" i="76"/>
  <c r="AR9" i="76"/>
  <c r="AR10" i="76"/>
  <c r="AT9" i="72"/>
  <c r="AT10" i="72"/>
  <c r="AT11" i="72"/>
  <c r="AT12" i="72"/>
  <c r="AT14" i="72"/>
  <c r="AT13" i="72"/>
  <c r="P97" i="32"/>
  <c r="P150" i="32"/>
  <c r="P147" i="32"/>
  <c r="P149" i="32"/>
  <c r="P148" i="32"/>
  <c r="K101" i="32" a="1"/>
  <c r="K101" i="32" s="1"/>
  <c r="K98" i="32" s="1"/>
  <c r="O101" i="32" a="1"/>
  <c r="O101" i="32" s="1"/>
  <c r="O98" i="32" s="1"/>
  <c r="J101" i="32" a="1"/>
  <c r="J101" i="32" s="1"/>
  <c r="J98" i="32" s="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BI3" i="72"/>
  <c r="CI5" i="76" a="1"/>
  <c r="CI5" i="76" s="1"/>
  <c r="AR5" i="76"/>
  <c r="CY9" i="71" a="1"/>
  <c r="CY9" i="71" s="1"/>
  <c r="DA9" i="71" s="1"/>
  <c r="CW9" i="71"/>
  <c r="CZ9" i="71" a="1"/>
  <c r="CZ9" i="71" s="1"/>
  <c r="AT8" i="72"/>
  <c r="E98" i="32"/>
  <c r="F98" i="32"/>
  <c r="CO31" i="72"/>
  <c r="BB8" i="72" s="1"/>
  <c r="CM31" i="72"/>
  <c r="CP31" i="72" s="1" a="1"/>
  <c r="BC9" i="72" s="1"/>
  <c r="CL31" i="72" a="1"/>
  <c r="CL31" i="72" s="1"/>
  <c r="AZ8" i="72"/>
  <c r="O50" i="40" a="1"/>
  <c r="O50" i="40" s="1"/>
  <c r="AN1" i="61"/>
  <c r="AM2" i="61"/>
  <c r="AN5" i="61" l="1"/>
  <c r="AN4" i="61"/>
  <c r="AS9" i="76"/>
  <c r="AS10" i="76"/>
  <c r="AS6" i="76"/>
  <c r="AS7" i="76"/>
  <c r="AS8" i="76"/>
  <c r="E147" i="32"/>
  <c r="E150" i="32"/>
  <c r="F150" i="32"/>
  <c r="F147" i="32"/>
  <c r="J97" i="32"/>
  <c r="J150" i="32"/>
  <c r="J147" i="32"/>
  <c r="O97" i="32"/>
  <c r="O150" i="32"/>
  <c r="O147" i="32"/>
  <c r="O149" i="32"/>
  <c r="O148" i="32"/>
  <c r="K97" i="32"/>
  <c r="K150" i="32"/>
  <c r="K147" i="32"/>
  <c r="P155" i="32"/>
  <c r="P152" i="32"/>
  <c r="AN57" i="61" a="1"/>
  <c r="AN57" i="61" s="1"/>
  <c r="AN43" i="61" a="1"/>
  <c r="AN43" i="61" s="1"/>
  <c r="AN40" i="61" a="1"/>
  <c r="AN40" i="61" s="1"/>
  <c r="AN39" i="61" a="1"/>
  <c r="AN39" i="61" s="1"/>
  <c r="AN29" i="61" a="1"/>
  <c r="AN29" i="61" s="1"/>
  <c r="AN54" i="61" a="1"/>
  <c r="AN54" i="61" s="1"/>
  <c r="AN51" i="61" a="1"/>
  <c r="AN51" i="61" s="1"/>
  <c r="AN34" i="61" a="1"/>
  <c r="AN34" i="61" s="1"/>
  <c r="AN55" i="61" a="1"/>
  <c r="AN55" i="61" s="1"/>
  <c r="AN47" i="61" a="1"/>
  <c r="AN47" i="61" s="1"/>
  <c r="AN44" i="61" a="1"/>
  <c r="AN44" i="61" s="1"/>
  <c r="AN32" i="61" a="1"/>
  <c r="AN32" i="61" s="1"/>
  <c r="AN37" i="61" a="1"/>
  <c r="AN37" i="61" s="1"/>
  <c r="AN52" i="61" a="1"/>
  <c r="AN52" i="61" s="1"/>
  <c r="AN48" i="61" a="1"/>
  <c r="AN48" i="61" s="1"/>
  <c r="AN30" i="61" a="1"/>
  <c r="AN30" i="61" s="1"/>
  <c r="AN35" i="61" a="1"/>
  <c r="AN35" i="61" s="1"/>
  <c r="AN53" i="61" a="1"/>
  <c r="AN53" i="61" s="1"/>
  <c r="AN33" i="61" a="1"/>
  <c r="AN33" i="61" s="1"/>
  <c r="AN42" i="61" a="1"/>
  <c r="AN42" i="61" s="1"/>
  <c r="AN38" i="61" a="1"/>
  <c r="AN38" i="61" s="1"/>
  <c r="AN26" i="61" a="1"/>
  <c r="AN26" i="61" s="1"/>
  <c r="AN50" i="61" a="1"/>
  <c r="AN50" i="61" s="1"/>
  <c r="AN46" i="61" a="1"/>
  <c r="AN46" i="61" s="1"/>
  <c r="AN28" i="61" a="1"/>
  <c r="AN28" i="61" s="1"/>
  <c r="AN18" i="61" a="1"/>
  <c r="AN18" i="61" s="1"/>
  <c r="AN17" i="61" a="1"/>
  <c r="AN17" i="61" s="1"/>
  <c r="AN13" i="61" a="1"/>
  <c r="AN13" i="61" s="1"/>
  <c r="AN41" i="61" a="1"/>
  <c r="AN41" i="61" s="1"/>
  <c r="AN24" i="61" a="1"/>
  <c r="AN24" i="61" s="1"/>
  <c r="AN22" i="61" a="1"/>
  <c r="AN22" i="61" s="1"/>
  <c r="AN19" i="61" a="1"/>
  <c r="AN19" i="61" s="1"/>
  <c r="AN49" i="61" a="1"/>
  <c r="AN49" i="61" s="1"/>
  <c r="AN31" i="61" a="1"/>
  <c r="AN31"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56" i="61" a="1"/>
  <c r="AN56" i="61" s="1"/>
  <c r="AN10" i="61" a="1"/>
  <c r="AN10" i="61" s="1"/>
  <c r="AN16" i="61" a="1"/>
  <c r="AN16" i="61" s="1"/>
  <c r="AN15" i="61" a="1"/>
  <c r="AN15" i="61" s="1"/>
  <c r="AN9" i="61" a="1"/>
  <c r="AN9" i="61" s="1"/>
  <c r="E97" i="32"/>
  <c r="E155" i="32" s="1"/>
  <c r="AS5" i="76"/>
  <c r="CJ5" i="76" a="1"/>
  <c r="CJ5" i="76" s="1"/>
  <c r="F97" i="32"/>
  <c r="F155" i="32" s="1"/>
  <c r="AR5" i="72"/>
  <c r="AT6" i="72"/>
  <c r="AV13" i="72" s="1" a="1"/>
  <c r="AV13" i="72" s="1"/>
  <c r="AT5" i="72"/>
  <c r="AX3" i="72"/>
  <c r="AY3" i="72" s="1"/>
  <c r="AR6" i="72"/>
  <c r="CP31" i="72"/>
  <c r="CN31" i="72" a="1"/>
  <c r="CN31" i="72" s="1"/>
  <c r="BA8" i="72"/>
  <c r="AO1" i="61"/>
  <c r="AN2" i="61"/>
  <c r="AO4" i="61" l="1"/>
  <c r="AO5" i="61"/>
  <c r="AV9" i="72" a="1"/>
  <c r="AV9" i="72" s="1"/>
  <c r="AV10" i="72" a="1"/>
  <c r="AV10" i="72" s="1"/>
  <c r="AV11" i="72" a="1"/>
  <c r="AV11" i="72" s="1"/>
  <c r="AV12" i="72" a="1"/>
  <c r="AV12" i="72" s="1"/>
  <c r="AV14" i="72" a="1"/>
  <c r="AV14" i="72" s="1"/>
  <c r="K155" i="32"/>
  <c r="O155" i="32"/>
  <c r="O152" i="32"/>
  <c r="J155" i="32"/>
  <c r="AO54" i="61" a="1"/>
  <c r="AO54" i="61" s="1"/>
  <c r="AO51" i="61" a="1"/>
  <c r="AO51" i="61" s="1"/>
  <c r="AO34" i="61" a="1"/>
  <c r="AO34" i="61" s="1"/>
  <c r="AO27" i="61" a="1"/>
  <c r="AO27" i="61" s="1"/>
  <c r="AO55" i="61" a="1"/>
  <c r="AO55" i="61" s="1"/>
  <c r="AO47" i="61" a="1"/>
  <c r="AO47" i="61" s="1"/>
  <c r="AO44" i="61" a="1"/>
  <c r="AO44" i="61" s="1"/>
  <c r="AO32" i="61" a="1"/>
  <c r="AO32" i="61" s="1"/>
  <c r="AO48" i="61" a="1"/>
  <c r="AO48" i="61" s="1"/>
  <c r="AO37" i="61" a="1"/>
  <c r="AO37" i="61" s="1"/>
  <c r="AO52" i="61" a="1"/>
  <c r="AO52" i="61" s="1"/>
  <c r="AO30" i="61" a="1"/>
  <c r="AO30" i="61" s="1"/>
  <c r="AO35" i="61" a="1"/>
  <c r="AO35" i="61" s="1"/>
  <c r="AO56" i="61" a="1"/>
  <c r="AO56" i="61" s="1"/>
  <c r="AO49" i="61" a="1"/>
  <c r="AO49" i="61" s="1"/>
  <c r="AO45" i="61" a="1"/>
  <c r="AO45" i="61" s="1"/>
  <c r="AO28" i="61" a="1"/>
  <c r="AO28" i="61" s="1"/>
  <c r="AO41" i="61" a="1"/>
  <c r="AO41" i="61" s="1"/>
  <c r="AO38" i="61" a="1"/>
  <c r="AO38" i="61" s="1"/>
  <c r="AO50" i="61" a="1"/>
  <c r="AO50" i="61" s="1"/>
  <c r="AO46" i="61" a="1"/>
  <c r="AO46" i="61" s="1"/>
  <c r="AO31" i="61" a="1"/>
  <c r="AO31" i="61" s="1"/>
  <c r="AO24" i="61" a="1"/>
  <c r="AO24" i="61" s="1"/>
  <c r="AO42" i="61" a="1"/>
  <c r="AO42" i="61" s="1"/>
  <c r="AO26" i="61" a="1"/>
  <c r="AO26" i="61" s="1"/>
  <c r="AO22" i="61" a="1"/>
  <c r="AO22" i="61" s="1"/>
  <c r="AO19" i="61" a="1"/>
  <c r="AO19" i="61" s="1"/>
  <c r="AO12" i="61" a="1"/>
  <c r="AO12" i="61" s="1"/>
  <c r="AO57" i="61" a="1"/>
  <c r="AO57" i="61" s="1"/>
  <c r="AO53" i="61" a="1"/>
  <c r="AO53" i="61" s="1"/>
  <c r="AO25" i="61" a="1"/>
  <c r="AO25" i="61" s="1"/>
  <c r="AO20" i="61" a="1"/>
  <c r="AO20" i="61" s="1"/>
  <c r="AO15" i="61" a="1"/>
  <c r="AO15" i="61" s="1"/>
  <c r="AO43" i="61" a="1"/>
  <c r="AO43" i="61" s="1"/>
  <c r="AO23" i="61" a="1"/>
  <c r="AO23" i="61" s="1"/>
  <c r="AO11" i="61" a="1"/>
  <c r="AO11" i="61" s="1"/>
  <c r="AO39" i="61" a="1"/>
  <c r="AO39" i="61" s="1"/>
  <c r="AO29" i="61" a="1"/>
  <c r="AO29" i="61" s="1"/>
  <c r="AO21" i="61" a="1"/>
  <c r="AO21" i="61" s="1"/>
  <c r="AO40" i="61" a="1"/>
  <c r="AO40" i="61" s="1"/>
  <c r="AO33" i="61" a="1"/>
  <c r="AO33" i="61" s="1"/>
  <c r="AO18" i="61" a="1"/>
  <c r="AO18" i="61" s="1"/>
  <c r="AO10" i="61" a="1"/>
  <c r="AO10" i="61" s="1"/>
  <c r="AO16" i="61" a="1"/>
  <c r="AO16" i="61" s="1"/>
  <c r="AO17" i="61" a="1"/>
  <c r="AO17" i="61" s="1"/>
  <c r="AO14" i="61" a="1"/>
  <c r="AO14" i="61" s="1"/>
  <c r="AO13" i="61" a="1"/>
  <c r="AO13" i="61" s="1"/>
  <c r="AO9" i="61" a="1"/>
  <c r="AO9" i="61" s="1"/>
  <c r="AO36" i="61" a="1"/>
  <c r="AO36" i="61" s="1"/>
  <c r="AZ3" i="72"/>
  <c r="BA3" i="72" s="1" a="1"/>
  <c r="BA3" i="72" s="1"/>
  <c r="AV8" i="72" a="1"/>
  <c r="AV8" i="72" s="1"/>
  <c r="CQ31" i="72" a="1"/>
  <c r="CQ31" i="72" s="1"/>
  <c r="BC8" i="72"/>
  <c r="AO2" i="61"/>
  <c r="AP1" i="61"/>
  <c r="AP4" i="61" l="1"/>
  <c r="AP5" i="6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S3" i="72"/>
  <c r="AP2" i="61"/>
  <c r="AP51" i="61" s="1" a="1"/>
  <c r="AP51" i="61" s="1"/>
  <c r="AQ1" i="61"/>
  <c r="AQ4" i="61" l="1"/>
  <c r="AQ5"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7" i="61" a="1"/>
  <c r="AQ47" i="61" s="1"/>
  <c r="AQ55" i="61" a="1"/>
  <c r="AQ55" i="61" s="1"/>
  <c r="AQ44" i="61" a="1"/>
  <c r="AQ44" i="61" s="1"/>
  <c r="AQ32" i="61" a="1"/>
  <c r="AQ32" i="61" s="1"/>
  <c r="AQ52" i="61" a="1"/>
  <c r="AQ52" i="61" s="1"/>
  <c r="AQ48" i="61" a="1"/>
  <c r="AQ48" i="61" s="1"/>
  <c r="AQ37" i="61" a="1"/>
  <c r="AQ37" i="61" s="1"/>
  <c r="AQ35" i="61" a="1"/>
  <c r="AQ35" i="61" s="1"/>
  <c r="AQ56" i="61" a="1"/>
  <c r="AQ56" i="61" s="1"/>
  <c r="AQ49" i="61" a="1"/>
  <c r="AQ49" i="61" s="1"/>
  <c r="AQ45" i="61" a="1"/>
  <c r="AQ45" i="61" s="1"/>
  <c r="AQ53" i="61" a="1"/>
  <c r="AQ53" i="61" s="1"/>
  <c r="AQ42" i="61" a="1"/>
  <c r="AQ42" i="61" s="1"/>
  <c r="AQ41" i="61" a="1"/>
  <c r="AQ41" i="61" s="1"/>
  <c r="AQ33" i="61" a="1"/>
  <c r="AQ33" i="61" s="1"/>
  <c r="AQ38" i="61" a="1"/>
  <c r="AQ38" i="61" s="1"/>
  <c r="AQ57" i="61" a="1"/>
  <c r="AQ57" i="61" s="1"/>
  <c r="AQ43" i="61" a="1"/>
  <c r="AQ43" i="61" s="1"/>
  <c r="AQ39" i="61" a="1"/>
  <c r="AQ39" i="61" s="1"/>
  <c r="AQ36" i="61" a="1"/>
  <c r="AQ36" i="61" s="1"/>
  <c r="AQ54" i="61" a="1"/>
  <c r="AQ54" i="61" s="1"/>
  <c r="AQ40" i="61" a="1"/>
  <c r="AQ40" i="61" s="1"/>
  <c r="AQ29" i="61" a="1"/>
  <c r="AQ29" i="61" s="1"/>
  <c r="AQ26" i="61" a="1"/>
  <c r="AQ26" i="61" s="1"/>
  <c r="AQ22" i="61" a="1"/>
  <c r="AQ22" i="61" s="1"/>
  <c r="AQ19" i="61" a="1"/>
  <c r="AQ19" i="61" s="1"/>
  <c r="AQ12" i="61" a="1"/>
  <c r="AQ12" i="61" s="1"/>
  <c r="AQ34" i="61" a="1"/>
  <c r="AQ34" i="61" s="1"/>
  <c r="AQ25" i="61" a="1"/>
  <c r="AQ25" i="61" s="1"/>
  <c r="AQ20" i="61" a="1"/>
  <c r="AQ20" i="61" s="1"/>
  <c r="AQ31" i="61" a="1"/>
  <c r="AQ31" i="61" s="1"/>
  <c r="AQ15" i="61" a="1"/>
  <c r="AQ15" i="61" s="1"/>
  <c r="AQ51" i="61" a="1"/>
  <c r="AQ51" i="61" s="1"/>
  <c r="AQ30" i="61" a="1"/>
  <c r="AQ30" i="61" s="1"/>
  <c r="AQ27" i="61" a="1"/>
  <c r="AQ27"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50" i="61" a="1"/>
  <c r="AQ50" i="61" s="1"/>
  <c r="AQ46" i="61" a="1"/>
  <c r="AQ46" i="61" s="1"/>
  <c r="AQ28" i="61" a="1"/>
  <c r="AQ28" i="61" s="1"/>
  <c r="AQ24" i="61" a="1"/>
  <c r="AQ24" i="61" s="1"/>
  <c r="AQ2" i="61"/>
  <c r="AR1" i="61"/>
  <c r="AR4" i="61" l="1"/>
  <c r="AR5" i="61"/>
  <c r="AR55" i="61" a="1"/>
  <c r="AR55" i="61" s="1"/>
  <c r="AR44" i="61" a="1"/>
  <c r="AR44" i="61" s="1"/>
  <c r="AR52" i="61" a="1"/>
  <c r="AR52" i="61" s="1"/>
  <c r="AR48" i="61" a="1"/>
  <c r="AR48" i="61" s="1"/>
  <c r="AR37" i="61" a="1"/>
  <c r="AR37" i="61" s="1"/>
  <c r="AR30" i="61" a="1"/>
  <c r="AR30" i="61" s="1"/>
  <c r="AR45" i="61" a="1"/>
  <c r="AR45" i="61" s="1"/>
  <c r="AR35" i="61" a="1"/>
  <c r="AR35" i="61" s="1"/>
  <c r="AR56" i="61" a="1"/>
  <c r="AR56" i="61" s="1"/>
  <c r="AR49" i="61" a="1"/>
  <c r="AR49" i="61" s="1"/>
  <c r="AR28" i="61" a="1"/>
  <c r="AR28" i="61" s="1"/>
  <c r="AR53" i="61" a="1"/>
  <c r="AR53" i="61" s="1"/>
  <c r="AR42" i="61" a="1"/>
  <c r="AR42" i="61" s="1"/>
  <c r="AR41" i="61" a="1"/>
  <c r="AR41" i="61" s="1"/>
  <c r="AR33" i="61" a="1"/>
  <c r="AR33" i="61" s="1"/>
  <c r="AR38" i="61" a="1"/>
  <c r="AR38" i="61" s="1"/>
  <c r="AR26" i="61" a="1"/>
  <c r="AR26" i="61" s="1"/>
  <c r="AR50" i="61" a="1"/>
  <c r="AR50" i="61" s="1"/>
  <c r="AR46" i="61" a="1"/>
  <c r="AR46" i="61" s="1"/>
  <c r="AR31" i="61" a="1"/>
  <c r="AR31" i="61" s="1"/>
  <c r="AR54" i="61" a="1"/>
  <c r="AR54" i="61" s="1"/>
  <c r="AR51" i="61" a="1"/>
  <c r="AR51" i="61" s="1"/>
  <c r="AR34" i="61" a="1"/>
  <c r="AR34" i="61" s="1"/>
  <c r="AR12" i="61" a="1"/>
  <c r="AR12" i="61" s="1"/>
  <c r="AR25" i="61" a="1"/>
  <c r="AR25" i="61" s="1"/>
  <c r="AR20" i="61" a="1"/>
  <c r="AR20" i="61" s="1"/>
  <c r="AR57" i="61" a="1"/>
  <c r="AR57" i="61" s="1"/>
  <c r="AR27" i="61" a="1"/>
  <c r="AR27" i="61" s="1"/>
  <c r="AR23" i="61" a="1"/>
  <c r="AR23" i="61" s="1"/>
  <c r="AR11" i="61" a="1"/>
  <c r="AR11" i="61" s="1"/>
  <c r="AR47" i="61" a="1"/>
  <c r="AR47" i="61" s="1"/>
  <c r="AR16" i="61" a="1"/>
  <c r="AR16" i="61" s="1"/>
  <c r="AR14" i="61" a="1"/>
  <c r="AR14" i="61" s="1"/>
  <c r="AR10" i="61" a="1"/>
  <c r="AR10" i="61" s="1"/>
  <c r="AR9" i="61" a="1"/>
  <c r="AR9" i="61" s="1"/>
  <c r="AR43" i="61" a="1"/>
  <c r="AR43" i="61" s="1"/>
  <c r="AR39" i="61" a="1"/>
  <c r="AR39" i="61" s="1"/>
  <c r="AR21" i="61" a="1"/>
  <c r="AR21" i="61" s="1"/>
  <c r="AR17" i="61" a="1"/>
  <c r="AR17" i="61" s="1"/>
  <c r="AR32" i="61" a="1"/>
  <c r="AR32" i="61" s="1"/>
  <c r="AR29" i="61" a="1"/>
  <c r="AR29" i="61" s="1"/>
  <c r="AR13" i="61" a="1"/>
  <c r="AR13" i="61" s="1"/>
  <c r="AR40" i="61" a="1"/>
  <c r="AR40" i="61" s="1"/>
  <c r="AR36" i="61" a="1"/>
  <c r="AR36" i="61" s="1"/>
  <c r="AR24" i="61" a="1"/>
  <c r="AR24" i="61" s="1"/>
  <c r="AR22" i="61" a="1"/>
  <c r="AR22" i="61" s="1"/>
  <c r="AR19" i="61" a="1"/>
  <c r="AR19" i="61" s="1"/>
  <c r="AR15" i="61" a="1"/>
  <c r="AR15" i="61" s="1"/>
  <c r="AR18" i="61" a="1"/>
  <c r="AR18" i="61" s="1"/>
  <c r="AR2" i="61"/>
  <c r="AS1" i="61"/>
  <c r="AS4" i="61" l="1"/>
  <c r="AS5" i="6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45" i="61" a="1"/>
  <c r="AU45" i="61" s="1"/>
  <c r="AU56" i="61" a="1"/>
  <c r="AU56" i="61" s="1"/>
  <c r="AU49" i="61" a="1"/>
  <c r="AU49" i="61" s="1"/>
  <c r="AU28" i="61" a="1"/>
  <c r="AU28" i="61" s="1"/>
  <c r="AU53" i="61" a="1"/>
  <c r="AU53" i="61" s="1"/>
  <c r="AU42" i="61" a="1"/>
  <c r="AU42" i="61" s="1"/>
  <c r="AU33" i="61" a="1"/>
  <c r="AU33" i="61" s="1"/>
  <c r="AU38" i="61" a="1"/>
  <c r="AU38" i="61" s="1"/>
  <c r="AU50" i="61" a="1"/>
  <c r="AU50" i="61" s="1"/>
  <c r="AU46" i="61" a="1"/>
  <c r="AU46" i="61" s="1"/>
  <c r="AU39" i="61" a="1"/>
  <c r="AU39" i="61" s="1"/>
  <c r="AU31" i="61" a="1"/>
  <c r="AU31" i="61" s="1"/>
  <c r="AU57" i="61" a="1"/>
  <c r="AU57" i="61" s="1"/>
  <c r="AU43" i="61" a="1"/>
  <c r="AU43" i="61" s="1"/>
  <c r="AU40" i="61" a="1"/>
  <c r="AU40" i="61" s="1"/>
  <c r="AU36" i="61" a="1"/>
  <c r="AU36" i="61" s="1"/>
  <c r="AU54" i="61" a="1"/>
  <c r="AU54" i="61" s="1"/>
  <c r="AU29" i="61" a="1"/>
  <c r="AU29" i="61" s="1"/>
  <c r="AU51" i="61" a="1"/>
  <c r="AU51" i="61" s="1"/>
  <c r="AU34" i="61" a="1"/>
  <c r="AU34" i="61" s="1"/>
  <c r="AU48" i="61" a="1"/>
  <c r="AU48" i="61" s="1"/>
  <c r="AU44" i="61" a="1"/>
  <c r="AU44" i="61" s="1"/>
  <c r="AU32" i="61" a="1"/>
  <c r="AU32" i="61" s="1"/>
  <c r="AU52" i="61" a="1"/>
  <c r="AU52" i="61" s="1"/>
  <c r="AU37" i="61" a="1"/>
  <c r="AU37" i="61" s="1"/>
  <c r="AU14" i="61" a="1"/>
  <c r="AU14" i="61" s="1"/>
  <c r="AU11" i="61" a="1"/>
  <c r="AU11" i="61" s="1"/>
  <c r="AU10" i="61" a="1"/>
  <c r="AU10" i="61" s="1"/>
  <c r="AU9" i="61" a="1"/>
  <c r="AU9" i="61" s="1"/>
  <c r="AU23" i="61" a="1"/>
  <c r="AU23" i="61" s="1"/>
  <c r="AU27" i="61" a="1"/>
  <c r="AU27" i="61" s="1"/>
  <c r="AU55" i="61" a="1"/>
  <c r="AU55" i="61" s="1"/>
  <c r="AU30" i="61" a="1"/>
  <c r="AU30" i="61" s="1"/>
  <c r="AU21" i="61" a="1"/>
  <c r="AU21" i="61" s="1"/>
  <c r="AU13" i="61" a="1"/>
  <c r="AU13" i="61" s="1"/>
  <c r="AU47" i="61" a="1"/>
  <c r="AU47" i="61" s="1"/>
  <c r="AU35" i="61" a="1"/>
  <c r="AU35" i="61" s="1"/>
  <c r="AU18" i="61" a="1"/>
  <c r="AU18" i="61" s="1"/>
  <c r="AU24" i="61" a="1"/>
  <c r="AU24" i="61" s="1"/>
  <c r="AU22" i="61" a="1"/>
  <c r="AU22" i="61" s="1"/>
  <c r="AU41" i="61" a="1"/>
  <c r="AU41" i="61" s="1"/>
  <c r="AU25" i="61" a="1"/>
  <c r="AU25" i="61" s="1"/>
  <c r="AU20" i="61" a="1"/>
  <c r="AU20" i="61" s="1"/>
  <c r="AU17" i="61" a="1"/>
  <c r="AU17" i="61" s="1"/>
  <c r="AU16" i="61" a="1"/>
  <c r="AU16" i="61" s="1"/>
  <c r="AU15" i="61" a="1"/>
  <c r="AU15" i="61" s="1"/>
  <c r="AU26" i="61" a="1"/>
  <c r="AU26" i="61" s="1"/>
  <c r="AU12" i="61" a="1"/>
  <c r="AU12" i="61" s="1"/>
  <c r="AU19" i="61" a="1"/>
  <c r="AU19" i="61" s="1"/>
  <c r="AU2" i="61"/>
  <c r="AV1" i="61"/>
  <c r="AV4" i="61" l="1"/>
  <c r="AV5" i="61"/>
  <c r="AV56" i="61" a="1"/>
  <c r="AV56" i="61" s="1"/>
  <c r="AV49" i="61" a="1"/>
  <c r="AV49" i="61" s="1"/>
  <c r="AV53" i="61" a="1"/>
  <c r="AV53" i="61" s="1"/>
  <c r="AV42" i="61" a="1"/>
  <c r="AV42" i="61" s="1"/>
  <c r="AV33" i="61" a="1"/>
  <c r="AV33" i="61" s="1"/>
  <c r="AV38" i="61" a="1"/>
  <c r="AV38" i="61" s="1"/>
  <c r="AV50" i="61" a="1"/>
  <c r="AV50" i="61" s="1"/>
  <c r="AV46" i="61" a="1"/>
  <c r="AV46" i="61" s="1"/>
  <c r="AV39" i="61" a="1"/>
  <c r="AV39" i="61" s="1"/>
  <c r="AV57" i="61" a="1"/>
  <c r="AV57" i="61" s="1"/>
  <c r="AV43" i="61" a="1"/>
  <c r="AV43" i="61" s="1"/>
  <c r="AV40" i="61" a="1"/>
  <c r="AV40" i="61" s="1"/>
  <c r="AV36" i="61" a="1"/>
  <c r="AV36" i="61" s="1"/>
  <c r="AV54" i="61" a="1"/>
  <c r="AV54" i="61" s="1"/>
  <c r="AV51" i="61" a="1"/>
  <c r="AV51" i="61" s="1"/>
  <c r="AV34" i="61" a="1"/>
  <c r="AV34" i="61" s="1"/>
  <c r="AV55" i="61" a="1"/>
  <c r="AV55" i="61" s="1"/>
  <c r="AV47" i="61" a="1"/>
  <c r="AV47" i="61" s="1"/>
  <c r="AV52" i="61" a="1"/>
  <c r="AV52" i="61" s="1"/>
  <c r="AV37" i="61" a="1"/>
  <c r="AV37" i="61" s="1"/>
  <c r="AV41" i="61" a="1"/>
  <c r="AV41" i="61" s="1"/>
  <c r="AV30" i="61" a="1"/>
  <c r="AV30" i="61" s="1"/>
  <c r="AV23" i="61" a="1"/>
  <c r="AV23" i="61" s="1"/>
  <c r="AV9" i="61" a="1"/>
  <c r="AV9" i="61" s="1"/>
  <c r="AV27" i="61" a="1"/>
  <c r="AV27" i="61" s="1"/>
  <c r="AV17" i="61" a="1"/>
  <c r="AV17" i="61" s="1"/>
  <c r="AV16" i="61" a="1"/>
  <c r="AV16" i="61" s="1"/>
  <c r="AV21" i="61" a="1"/>
  <c r="AV21" i="61" s="1"/>
  <c r="AV31" i="61" a="1"/>
  <c r="AV3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48" i="61" a="1"/>
  <c r="AV48" i="61" s="1"/>
  <c r="AV28" i="61" a="1"/>
  <c r="AV28"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W1" i="61"/>
  <c r="AW5" i="61" l="1"/>
  <c r="AW4" i="61"/>
  <c r="AW53" i="61" a="1"/>
  <c r="AW53" i="61" s="1"/>
  <c r="AW38" i="61" a="1"/>
  <c r="AW38" i="61" s="1"/>
  <c r="AW26" i="61" a="1"/>
  <c r="AW26" i="61" s="1"/>
  <c r="AW50" i="61" a="1"/>
  <c r="AW50" i="61" s="1"/>
  <c r="AW46" i="61" a="1"/>
  <c r="AW46" i="61" s="1"/>
  <c r="AW40" i="61" a="1"/>
  <c r="AW40" i="61" s="1"/>
  <c r="AW39" i="61" a="1"/>
  <c r="AW39" i="61" s="1"/>
  <c r="AW31" i="61" a="1"/>
  <c r="AW31" i="61" s="1"/>
  <c r="AW57" i="61" a="1"/>
  <c r="AW57" i="61" s="1"/>
  <c r="AW43" i="61" a="1"/>
  <c r="AW43" i="61" s="1"/>
  <c r="AW36" i="61" a="1"/>
  <c r="AW36" i="61" s="1"/>
  <c r="AW54" i="61" a="1"/>
  <c r="AW54" i="61" s="1"/>
  <c r="AW29" i="61" a="1"/>
  <c r="AW29" i="61" s="1"/>
  <c r="AW51" i="61" a="1"/>
  <c r="AW51" i="61" s="1"/>
  <c r="AW34" i="61" a="1"/>
  <c r="AW34" i="61" s="1"/>
  <c r="AW55" i="61" a="1"/>
  <c r="AW55" i="61" s="1"/>
  <c r="AW47" i="61" a="1"/>
  <c r="AW47" i="61" s="1"/>
  <c r="AW27" i="61" a="1"/>
  <c r="AW27" i="61" s="1"/>
  <c r="AW48" i="61" a="1"/>
  <c r="AW48" i="61" s="1"/>
  <c r="AW44" i="61" a="1"/>
  <c r="AW44" i="61" s="1"/>
  <c r="AW32" i="61" a="1"/>
  <c r="AW32" i="61" s="1"/>
  <c r="AW41" i="61" a="1"/>
  <c r="AW41" i="61" s="1"/>
  <c r="AW45" i="61" a="1"/>
  <c r="AW45" i="61" s="1"/>
  <c r="AW35" i="61" a="1"/>
  <c r="AW35" i="61" s="1"/>
  <c r="AW17" i="61" a="1"/>
  <c r="AW17" i="61" s="1"/>
  <c r="AW16" i="61" a="1"/>
  <c r="AW16" i="61" s="1"/>
  <c r="AW42" i="61" a="1"/>
  <c r="AW42" i="61" s="1"/>
  <c r="AW21" i="61" a="1"/>
  <c r="AW21" i="61" s="1"/>
  <c r="AW13" i="61" a="1"/>
  <c r="AW13" i="61" s="1"/>
  <c r="AW30" i="61" a="1"/>
  <c r="AW30" i="61" s="1"/>
  <c r="AW49" i="61" a="1"/>
  <c r="AW49" i="61" s="1"/>
  <c r="AW24" i="61" a="1"/>
  <c r="AW24" i="61" s="1"/>
  <c r="AW22" i="61" a="1"/>
  <c r="AW22" i="61" s="1"/>
  <c r="AW19" i="61" a="1"/>
  <c r="AW19" i="61" s="1"/>
  <c r="AW12" i="61" a="1"/>
  <c r="AW12" i="61" s="1"/>
  <c r="AW28" i="61" a="1"/>
  <c r="AW28" i="61" s="1"/>
  <c r="AW56" i="61" a="1"/>
  <c r="AW56" i="61" s="1"/>
  <c r="AW52" i="61" a="1"/>
  <c r="AW5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X5" i="61" l="1"/>
  <c r="AX4" i="61"/>
  <c r="AX57" i="61" a="1"/>
  <c r="AX57" i="61" s="1"/>
  <c r="AX50" i="61" a="1"/>
  <c r="AX50" i="61" s="1"/>
  <c r="AX46" i="61" a="1"/>
  <c r="AX46" i="61" s="1"/>
  <c r="AX40" i="61" a="1"/>
  <c r="AX40" i="61" s="1"/>
  <c r="AX39" i="61" a="1"/>
  <c r="AX39" i="61" s="1"/>
  <c r="AX31" i="61" a="1"/>
  <c r="AX31" i="61" s="1"/>
  <c r="AX43" i="61" a="1"/>
  <c r="AX43" i="61" s="1"/>
  <c r="AX36" i="61" a="1"/>
  <c r="AX36" i="61" s="1"/>
  <c r="AX54" i="61" a="1"/>
  <c r="AX54" i="61" s="1"/>
  <c r="AX51" i="61" a="1"/>
  <c r="AX51" i="61" s="1"/>
  <c r="AX34" i="61" a="1"/>
  <c r="AX34" i="61" s="1"/>
  <c r="AX55" i="61" a="1"/>
  <c r="AX55" i="61" s="1"/>
  <c r="AX47" i="61" a="1"/>
  <c r="AX47" i="61" s="1"/>
  <c r="AX48" i="61" a="1"/>
  <c r="AX48" i="61" s="1"/>
  <c r="AX44" i="61" a="1"/>
  <c r="AX44" i="61" s="1"/>
  <c r="AX32" i="61" a="1"/>
  <c r="AX32" i="61" s="1"/>
  <c r="AX52" i="61" a="1"/>
  <c r="AX52" i="61" s="1"/>
  <c r="AX37" i="61" a="1"/>
  <c r="AX37" i="61" s="1"/>
  <c r="AX35" i="61" a="1"/>
  <c r="AX35" i="61" s="1"/>
  <c r="AX56" i="61" a="1"/>
  <c r="AX56" i="61" s="1"/>
  <c r="AX49" i="61" a="1"/>
  <c r="AX49" i="61" s="1"/>
  <c r="AX28" i="61" a="1"/>
  <c r="AX28" i="61" s="1"/>
  <c r="AX42" i="61" a="1"/>
  <c r="AX42" i="61" s="1"/>
  <c r="AX27" i="61" a="1"/>
  <c r="AX27" i="61" s="1"/>
  <c r="AX21" i="61" a="1"/>
  <c r="AX21" i="61" s="1"/>
  <c r="AX13" i="61" a="1"/>
  <c r="AX13" i="61" s="1"/>
  <c r="AX30" i="61" a="1"/>
  <c r="AX30"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6" i="61" a="1"/>
  <c r="AX26" i="61" s="1"/>
  <c r="AX25" i="61" a="1"/>
  <c r="AX25" i="61" s="1"/>
  <c r="AX41" i="61" a="1"/>
  <c r="AX41"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Y1" i="61"/>
  <c r="AY5" i="61" l="1"/>
  <c r="AY4" i="61"/>
  <c r="AY57" i="61" a="1"/>
  <c r="AY57" i="61" s="1"/>
  <c r="AY46" i="61" a="1"/>
  <c r="AY46" i="61" s="1"/>
  <c r="AY43" i="61" a="1"/>
  <c r="AY43" i="61" s="1"/>
  <c r="AY36" i="61" a="1"/>
  <c r="AY36" i="61" s="1"/>
  <c r="AY54" i="61" a="1"/>
  <c r="AY54" i="61" s="1"/>
  <c r="AY51" i="61" a="1"/>
  <c r="AY51" i="61" s="1"/>
  <c r="AY29" i="61" a="1"/>
  <c r="AY29" i="61" s="1"/>
  <c r="AY34" i="61" a="1"/>
  <c r="AY34" i="61" s="1"/>
  <c r="AY55" i="61" a="1"/>
  <c r="AY55" i="61" s="1"/>
  <c r="AY47" i="61" a="1"/>
  <c r="AY47" i="61" s="1"/>
  <c r="AY44" i="61" a="1"/>
  <c r="AY44" i="61" s="1"/>
  <c r="AY27" i="61" a="1"/>
  <c r="AY27" i="61" s="1"/>
  <c r="AY48" i="61" a="1"/>
  <c r="AY48" i="61" s="1"/>
  <c r="AY32" i="61" a="1"/>
  <c r="AY32" i="61" s="1"/>
  <c r="AY52" i="61" a="1"/>
  <c r="AY52" i="61" s="1"/>
  <c r="AY37" i="61" a="1"/>
  <c r="AY37" i="61" s="1"/>
  <c r="AY45" i="61" a="1"/>
  <c r="AY45" i="61" s="1"/>
  <c r="AY41" i="61" a="1"/>
  <c r="AY41" i="61" s="1"/>
  <c r="AY30" i="61" a="1"/>
  <c r="AY30" i="61" s="1"/>
  <c r="AY49" i="61" a="1"/>
  <c r="AY49" i="61" s="1"/>
  <c r="AY53" i="61" a="1"/>
  <c r="AY53" i="61" s="1"/>
  <c r="AY42" i="61" a="1"/>
  <c r="AY42" i="61" s="1"/>
  <c r="AY33" i="61" a="1"/>
  <c r="AY33" i="61" s="1"/>
  <c r="AY38" i="61" a="1"/>
  <c r="AY38" i="61" s="1"/>
  <c r="AY31" i="61" a="1"/>
  <c r="AY31" i="61" s="1"/>
  <c r="AY24" i="61" a="1"/>
  <c r="AY24" i="61" s="1"/>
  <c r="AY35" i="61" a="1"/>
  <c r="AY35" i="61" s="1"/>
  <c r="AY12" i="61" a="1"/>
  <c r="AY12" i="61" s="1"/>
  <c r="AY39" i="61" a="1"/>
  <c r="AY39" i="61" s="1"/>
  <c r="AY22" i="61" a="1"/>
  <c r="AY22" i="61" s="1"/>
  <c r="AY19" i="61" a="1"/>
  <c r="AY19" i="61" s="1"/>
  <c r="AY15" i="61" a="1"/>
  <c r="AY15" i="61" s="1"/>
  <c r="AY11" i="61" a="1"/>
  <c r="AY11" i="61" s="1"/>
  <c r="AY10" i="61" a="1"/>
  <c r="AY10" i="61" s="1"/>
  <c r="AY20" i="61" a="1"/>
  <c r="AY20" i="61" s="1"/>
  <c r="AY28" i="61" a="1"/>
  <c r="AY28" i="61" s="1"/>
  <c r="AY26" i="61" a="1"/>
  <c r="AY26" i="61" s="1"/>
  <c r="AY25" i="61" a="1"/>
  <c r="AY25" i="61" s="1"/>
  <c r="AY14" i="61" a="1"/>
  <c r="AY14" i="61" s="1"/>
  <c r="AY56" i="61" a="1"/>
  <c r="AY56" i="61" s="1"/>
  <c r="AY40" i="61" a="1"/>
  <c r="AY40" i="61" s="1"/>
  <c r="AY23" i="61" a="1"/>
  <c r="AY23" i="61" s="1"/>
  <c r="AY16" i="61" a="1"/>
  <c r="AY16" i="61" s="1"/>
  <c r="AY21" i="61" a="1"/>
  <c r="AY21" i="61" s="1"/>
  <c r="AY18" i="61" a="1"/>
  <c r="AY18" i="61" s="1"/>
  <c r="AY50" i="61" a="1"/>
  <c r="AY50" i="61" s="1"/>
  <c r="AY9" i="61" a="1"/>
  <c r="AY9" i="61" s="1"/>
  <c r="AY17" i="61" a="1"/>
  <c r="AY17" i="61" s="1"/>
  <c r="AY13" i="61" a="1"/>
  <c r="AY13" i="61" s="1"/>
  <c r="AY2" i="61"/>
  <c r="AZ1" i="61"/>
  <c r="AZ5" i="61" l="1"/>
  <c r="AZ4" i="6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4" i="61" l="1"/>
  <c r="BA5"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4" i="61" l="1"/>
  <c r="BB5" i="61"/>
  <c r="BB47" i="61" a="1"/>
  <c r="BB47" i="61" s="1"/>
  <c r="BB55" i="61" a="1"/>
  <c r="BB55" i="61" s="1"/>
  <c r="BB44" i="61" a="1"/>
  <c r="BB44" i="61" s="1"/>
  <c r="BB27" i="61" a="1"/>
  <c r="BB27" i="61" s="1"/>
  <c r="BB48" i="61" a="1"/>
  <c r="BB48" i="61" s="1"/>
  <c r="BB32" i="61" a="1"/>
  <c r="BB32" i="61" s="1"/>
  <c r="BB52" i="61" a="1"/>
  <c r="BB52" i="61" s="1"/>
  <c r="BB41" i="61" a="1"/>
  <c r="BB41" i="61" s="1"/>
  <c r="BB37" i="61" a="1"/>
  <c r="BB37" i="61" s="1"/>
  <c r="BB45" i="61" a="1"/>
  <c r="BB45" i="61" s="1"/>
  <c r="BB30" i="61" a="1"/>
  <c r="BB30" i="61" s="1"/>
  <c r="BB56" i="61" a="1"/>
  <c r="BB56" i="61" s="1"/>
  <c r="BB49" i="61" a="1"/>
  <c r="BB49" i="61" s="1"/>
  <c r="BB35" i="61" a="1"/>
  <c r="BB35" i="61" s="1"/>
  <c r="BB42" i="61" a="1"/>
  <c r="BB42" i="61" s="1"/>
  <c r="BB28" i="61" a="1"/>
  <c r="BB28" i="61" s="1"/>
  <c r="BB53" i="61" a="1"/>
  <c r="BB53" i="61" s="1"/>
  <c r="BB33" i="61" a="1"/>
  <c r="BB33" i="61" s="1"/>
  <c r="BB57" i="61" a="1"/>
  <c r="BB57" i="61" s="1"/>
  <c r="BB46" i="61" a="1"/>
  <c r="BB46" i="61" s="1"/>
  <c r="BB43" i="61" a="1"/>
  <c r="BB43" i="61" s="1"/>
  <c r="BB31" i="61" a="1"/>
  <c r="BB31" i="61" s="1"/>
  <c r="BB54" i="61" a="1"/>
  <c r="BB54" i="61" s="1"/>
  <c r="BB36" i="61" a="1"/>
  <c r="BB36" i="61" s="1"/>
  <c r="BB34" i="61" a="1"/>
  <c r="BB34" i="61" s="1"/>
  <c r="BB19" i="61" a="1"/>
  <c r="BB19" i="61" s="1"/>
  <c r="BB38" i="61" a="1"/>
  <c r="BB38" i="61" s="1"/>
  <c r="BB22" i="61" a="1"/>
  <c r="BB22" i="61" s="1"/>
  <c r="BB29" i="61" a="1"/>
  <c r="BB29" i="61" s="1"/>
  <c r="BB51" i="61" a="1"/>
  <c r="BB51" i="61" s="1"/>
  <c r="BB39" i="61" a="1"/>
  <c r="BB39" i="61" s="1"/>
  <c r="BB14" i="61" a="1"/>
  <c r="BB14" i="61" s="1"/>
  <c r="BB10" i="61" a="1"/>
  <c r="BB10" i="61" s="1"/>
  <c r="BB25" i="61" a="1"/>
  <c r="BB25" i="61" s="1"/>
  <c r="BB20" i="61" a="1"/>
  <c r="BB20" i="61" s="1"/>
  <c r="BB15" i="61" a="1"/>
  <c r="BB15" i="61" s="1"/>
  <c r="BB26" i="61" a="1"/>
  <c r="BB26" i="61" s="1"/>
  <c r="BB9" i="61" a="1"/>
  <c r="BB9" i="61" s="1"/>
  <c r="BB40" i="61" a="1"/>
  <c r="BB40" i="61" s="1"/>
  <c r="BB23" i="61" a="1"/>
  <c r="BB23" i="61" s="1"/>
  <c r="BB17" i="61" a="1"/>
  <c r="BB17" i="61" s="1"/>
  <c r="BB16" i="61" a="1"/>
  <c r="BB16" i="61" s="1"/>
  <c r="BB13" i="61" a="1"/>
  <c r="BB13" i="61" s="1"/>
  <c r="BB21" i="61" a="1"/>
  <c r="BB21" i="61" s="1"/>
  <c r="BB50" i="61" a="1"/>
  <c r="BB50" i="61" s="1"/>
  <c r="BB24" i="61" a="1"/>
  <c r="BB24" i="61" s="1"/>
  <c r="BB18" i="61" a="1"/>
  <c r="BB18" i="61" s="1"/>
  <c r="BB12" i="61" a="1"/>
  <c r="BB12" i="61" s="1"/>
  <c r="BB11" i="61" a="1"/>
  <c r="BB11" i="61" s="1"/>
  <c r="BC1" i="61"/>
  <c r="BB2" i="61"/>
  <c r="BC5" i="61" l="1"/>
  <c r="BC4" i="61"/>
  <c r="BC55" i="61" a="1"/>
  <c r="BC55" i="61" s="1"/>
  <c r="BC44" i="61" a="1"/>
  <c r="BC44" i="61" s="1"/>
  <c r="BC52" i="61" a="1"/>
  <c r="BC52" i="61" s="1"/>
  <c r="BC48" i="61" a="1"/>
  <c r="BC48" i="61" s="1"/>
  <c r="BC32" i="61" a="1"/>
  <c r="BC32" i="61" s="1"/>
  <c r="BC41" i="61" a="1"/>
  <c r="BC41" i="61" s="1"/>
  <c r="BC37" i="61" a="1"/>
  <c r="BC37" i="61" s="1"/>
  <c r="BC45" i="61" a="1"/>
  <c r="BC45" i="61" s="1"/>
  <c r="BC56" i="61" a="1"/>
  <c r="BC56" i="61" s="1"/>
  <c r="BC49" i="61" a="1"/>
  <c r="BC49" i="61" s="1"/>
  <c r="BC35" i="61" a="1"/>
  <c r="BC35" i="61" s="1"/>
  <c r="BC42" i="61" a="1"/>
  <c r="BC42" i="61" s="1"/>
  <c r="BC53" i="61" a="1"/>
  <c r="BC53" i="61" s="1"/>
  <c r="BC40" i="61" a="1"/>
  <c r="BC40" i="61" s="1"/>
  <c r="BC33" i="61" a="1"/>
  <c r="BC33" i="61" s="1"/>
  <c r="BC50" i="61" a="1"/>
  <c r="BC50" i="61" s="1"/>
  <c r="BC39" i="61" a="1"/>
  <c r="BC39" i="61" s="1"/>
  <c r="BC38" i="61" a="1"/>
  <c r="BC38" i="61" s="1"/>
  <c r="BC54" i="61" a="1"/>
  <c r="BC54" i="61" s="1"/>
  <c r="BC36" i="61" a="1"/>
  <c r="BC36" i="61" s="1"/>
  <c r="BC51" i="61" a="1"/>
  <c r="BC51" i="61" s="1"/>
  <c r="BC29" i="61" a="1"/>
  <c r="BC29" i="61" s="1"/>
  <c r="BC31" i="61" a="1"/>
  <c r="BC31" i="61" s="1"/>
  <c r="BC30" i="61" a="1"/>
  <c r="BC30" i="61" s="1"/>
  <c r="BC22" i="61" a="1"/>
  <c r="BC22" i="61" s="1"/>
  <c r="BC11" i="61" a="1"/>
  <c r="BC11" i="61" s="1"/>
  <c r="BC10" i="61" a="1"/>
  <c r="BC10" i="61" s="1"/>
  <c r="BC57" i="61" a="1"/>
  <c r="BC57" i="61" s="1"/>
  <c r="BC47" i="61" a="1"/>
  <c r="BC47" i="61" s="1"/>
  <c r="BC25" i="61" a="1"/>
  <c r="BC25" i="61" s="1"/>
  <c r="BC20" i="61" a="1"/>
  <c r="BC20" i="61" s="1"/>
  <c r="BC15" i="61" a="1"/>
  <c r="BC15" i="61" s="1"/>
  <c r="BC43" i="61" a="1"/>
  <c r="BC43" i="61" s="1"/>
  <c r="BC26" i="61" a="1"/>
  <c r="BC26" i="61" s="1"/>
  <c r="BC17" i="61" a="1"/>
  <c r="BC17" i="61" s="1"/>
  <c r="BC9" i="61" a="1"/>
  <c r="BC9" i="61" s="1"/>
  <c r="BC28" i="61" a="1"/>
  <c r="BC28"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27" i="61" a="1"/>
  <c r="BC27" i="61" s="1"/>
  <c r="BC12" i="61" a="1"/>
  <c r="BC12" i="61" s="1"/>
  <c r="BC2" i="61"/>
  <c r="BD1" i="61"/>
  <c r="BD5" i="61" l="1"/>
  <c r="BD4" i="61"/>
  <c r="BD52" i="61" a="1"/>
  <c r="BD52" i="61" s="1"/>
  <c r="BD48" i="61" a="1"/>
  <c r="BD48" i="61" s="1"/>
  <c r="BD41" i="61" a="1"/>
  <c r="BD41" i="61" s="1"/>
  <c r="BD37" i="61" a="1"/>
  <c r="BD37" i="61" s="1"/>
  <c r="BD45" i="61" a="1"/>
  <c r="BD45" i="61" s="1"/>
  <c r="BD30" i="61" a="1"/>
  <c r="BD30" i="61" s="1"/>
  <c r="BD56" i="61" a="1"/>
  <c r="BD56" i="61" s="1"/>
  <c r="BD49" i="61" a="1"/>
  <c r="BD49" i="61" s="1"/>
  <c r="BD35" i="61" a="1"/>
  <c r="BD35" i="61" s="1"/>
  <c r="BD42" i="61" a="1"/>
  <c r="BD42" i="61" s="1"/>
  <c r="BD40" i="61" a="1"/>
  <c r="BD40" i="61" s="1"/>
  <c r="BD28" i="61" a="1"/>
  <c r="BD28" i="61" s="1"/>
  <c r="BD53" i="61" a="1"/>
  <c r="BD53" i="61" s="1"/>
  <c r="BD39" i="61" a="1"/>
  <c r="BD39" i="61" s="1"/>
  <c r="BD33" i="61" a="1"/>
  <c r="BD33" i="61" s="1"/>
  <c r="BD57" i="61" a="1"/>
  <c r="BD57" i="61" s="1"/>
  <c r="BD50" i="61" a="1"/>
  <c r="BD50" i="61" s="1"/>
  <c r="BD38" i="61" a="1"/>
  <c r="BD38" i="61" s="1"/>
  <c r="BD26" i="61" a="1"/>
  <c r="BD26" i="61" s="1"/>
  <c r="BD46" i="61" a="1"/>
  <c r="BD46" i="61" s="1"/>
  <c r="BD43" i="61" a="1"/>
  <c r="BD43" i="61" s="1"/>
  <c r="BD31" i="61" a="1"/>
  <c r="BD31" i="61" s="1"/>
  <c r="BD51" i="61" a="1"/>
  <c r="BD51" i="61" s="1"/>
  <c r="BD47" i="61" a="1"/>
  <c r="BD47"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32" i="61" a="1"/>
  <c r="BD32" i="61" s="1"/>
  <c r="BD23" i="61" a="1"/>
  <c r="BD23" i="61" s="1"/>
  <c r="BD13" i="61" a="1"/>
  <c r="BD13" i="61" s="1"/>
  <c r="BD36" i="61" a="1"/>
  <c r="BD36"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44" i="61" a="1"/>
  <c r="BD44" i="61" s="1"/>
  <c r="BD2" i="61"/>
  <c r="BE1" i="61"/>
  <c r="BE5" i="61" l="1"/>
  <c r="BE4" i="61"/>
  <c r="BE45" i="61" a="1"/>
  <c r="BE45" i="61" s="1"/>
  <c r="BE30" i="61" a="1"/>
  <c r="BE30" i="61" s="1"/>
  <c r="BE56" i="61" a="1"/>
  <c r="BE56" i="61" s="1"/>
  <c r="BE49" i="61" a="1"/>
  <c r="BE49" i="61" s="1"/>
  <c r="BE35" i="61" a="1"/>
  <c r="BE35" i="61" s="1"/>
  <c r="BE42" i="61" a="1"/>
  <c r="BE42" i="61" s="1"/>
  <c r="BE40" i="61" a="1"/>
  <c r="BE40" i="61" s="1"/>
  <c r="BE39" i="61" a="1"/>
  <c r="BE39" i="61" s="1"/>
  <c r="BE53" i="61" a="1"/>
  <c r="BE53" i="61" s="1"/>
  <c r="BE50" i="61" a="1"/>
  <c r="BE50" i="61" s="1"/>
  <c r="BE33" i="61" a="1"/>
  <c r="BE33" i="61" s="1"/>
  <c r="BE57" i="61" a="1"/>
  <c r="BE57" i="61" s="1"/>
  <c r="BE38" i="61" a="1"/>
  <c r="BE38" i="61" s="1"/>
  <c r="BE46" i="61" a="1"/>
  <c r="BE46" i="61" s="1"/>
  <c r="BE43" i="61" a="1"/>
  <c r="BE43" i="61" s="1"/>
  <c r="BE31" i="61" a="1"/>
  <c r="BE31" i="61" s="1"/>
  <c r="BE54" i="61" a="1"/>
  <c r="BE54" i="61" s="1"/>
  <c r="BE36" i="61" a="1"/>
  <c r="BE36" i="61" s="1"/>
  <c r="BE47" i="61" a="1"/>
  <c r="BE47" i="61" s="1"/>
  <c r="BE34" i="61" a="1"/>
  <c r="BE34" i="61" s="1"/>
  <c r="BE55" i="61" a="1"/>
  <c r="BE55" i="61" s="1"/>
  <c r="BE44" i="61" a="1"/>
  <c r="BE44" i="61" s="1"/>
  <c r="BE27" i="61" a="1"/>
  <c r="BE27" i="61" s="1"/>
  <c r="BE29" i="61" a="1"/>
  <c r="BE29" i="61" s="1"/>
  <c r="BE25" i="61" a="1"/>
  <c r="BE25" i="61" s="1"/>
  <c r="BE20" i="61" a="1"/>
  <c r="BE20" i="61" s="1"/>
  <c r="BE15" i="61" a="1"/>
  <c r="BE15" i="61" s="1"/>
  <c r="BE51" i="61" a="1"/>
  <c r="BE51" i="61" s="1"/>
  <c r="BE32" i="61" a="1"/>
  <c r="BE32" i="61" s="1"/>
  <c r="BE26" i="61" a="1"/>
  <c r="BE26" i="61" s="1"/>
  <c r="BE23" i="61" a="1"/>
  <c r="BE23" i="61" s="1"/>
  <c r="BE13" i="61" a="1"/>
  <c r="BE13" i="61" s="1"/>
  <c r="BE28" i="61" a="1"/>
  <c r="BE28" i="61" s="1"/>
  <c r="BE21" i="61" a="1"/>
  <c r="BE21" i="61" s="1"/>
  <c r="BE18" i="61" a="1"/>
  <c r="BE18" i="61" s="1"/>
  <c r="BE12" i="61" a="1"/>
  <c r="BE12" i="61" s="1"/>
  <c r="BE52" i="61" a="1"/>
  <c r="BE52" i="61" s="1"/>
  <c r="BE48" i="61" a="1"/>
  <c r="BE48" i="61" s="1"/>
  <c r="BE41" i="61" a="1"/>
  <c r="BE41" i="61" s="1"/>
  <c r="BE24" i="61" a="1"/>
  <c r="BE24" i="61" s="1"/>
  <c r="BE17" i="61" a="1"/>
  <c r="BE17" i="61" s="1"/>
  <c r="BE16" i="61" a="1"/>
  <c r="BE16" i="61" s="1"/>
  <c r="BE14" i="61" a="1"/>
  <c r="BE14" i="61" s="1"/>
  <c r="BE9" i="61" a="1"/>
  <c r="BE9" i="61" s="1"/>
  <c r="BE11" i="61" a="1"/>
  <c r="BE11" i="61" s="1"/>
  <c r="BE10" i="61" a="1"/>
  <c r="BE10" i="61" s="1"/>
  <c r="BE22" i="61" a="1"/>
  <c r="BE22" i="61" s="1"/>
  <c r="BE37" i="61" a="1"/>
  <c r="BE37" i="61" s="1"/>
  <c r="BE19" i="61" a="1"/>
  <c r="BE19" i="61" s="1"/>
  <c r="BE2" i="61"/>
  <c r="BF1" i="61"/>
  <c r="BF5" i="61" l="1"/>
  <c r="BF4" i="61"/>
  <c r="BF45" i="61" a="1"/>
  <c r="BF45" i="61" s="1"/>
  <c r="BF56" i="61" a="1"/>
  <c r="BF56" i="61" s="1"/>
  <c r="BF49" i="61" a="1"/>
  <c r="BF49" i="61" s="1"/>
  <c r="BF35" i="61" a="1"/>
  <c r="BF35"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26" i="61" a="1"/>
  <c r="BF26" i="61" s="1"/>
  <c r="BF46" i="61" a="1"/>
  <c r="BF46" i="61" s="1"/>
  <c r="BF43" i="61" a="1"/>
  <c r="BF43" i="61" s="1"/>
  <c r="BF31" i="61" a="1"/>
  <c r="BF31" i="61" s="1"/>
  <c r="BF54" i="61" a="1"/>
  <c r="BF54" i="61" s="1"/>
  <c r="BF36" i="61" a="1"/>
  <c r="BF36" i="61" s="1"/>
  <c r="BF51" i="61" a="1"/>
  <c r="BF51" i="61" s="1"/>
  <c r="BF29" i="61" a="1"/>
  <c r="BF29" i="61" s="1"/>
  <c r="BF55" i="61" a="1"/>
  <c r="BF55" i="61" s="1"/>
  <c r="BF44" i="61" a="1"/>
  <c r="BF44" i="61" s="1"/>
  <c r="BF52" i="61" a="1"/>
  <c r="BF52" i="61" s="1"/>
  <c r="BF48" i="61" a="1"/>
  <c r="BF48" i="61" s="1"/>
  <c r="BF32" i="61" a="1"/>
  <c r="BF32" i="61" s="1"/>
  <c r="BF25" i="61" a="1"/>
  <c r="BF25" i="61" s="1"/>
  <c r="BF15" i="61" a="1"/>
  <c r="BF15" i="61" s="1"/>
  <c r="BF9" i="61" a="1"/>
  <c r="BF9" i="61" s="1"/>
  <c r="BF13" i="61" a="1"/>
  <c r="BF13" i="61" s="1"/>
  <c r="BF17" i="61" a="1"/>
  <c r="BF17" i="61" s="1"/>
  <c r="BF16" i="61" a="1"/>
  <c r="BF16" i="61" s="1"/>
  <c r="BF47" i="61" a="1"/>
  <c r="BF47" i="61" s="1"/>
  <c r="BF23" i="61" a="1"/>
  <c r="BF23" i="61" s="1"/>
  <c r="BF21" i="61" a="1"/>
  <c r="BF21" i="61" s="1"/>
  <c r="BF18" i="61" a="1"/>
  <c r="BF18" i="61" s="1"/>
  <c r="BF12" i="61" a="1"/>
  <c r="BF12" i="61" s="1"/>
  <c r="BF41" i="61" a="1"/>
  <c r="BF41" i="61" s="1"/>
  <c r="BF24" i="61" a="1"/>
  <c r="BF24" i="61" s="1"/>
  <c r="BF19" i="61" a="1"/>
  <c r="BF19" i="61" s="1"/>
  <c r="BF27" i="61" a="1"/>
  <c r="BF27" i="61" s="1"/>
  <c r="BF37" i="61" a="1"/>
  <c r="BF37" i="61" s="1"/>
  <c r="BF22" i="61" a="1"/>
  <c r="BF22" i="61" s="1"/>
  <c r="BF11" i="61" a="1"/>
  <c r="BF11" i="61" s="1"/>
  <c r="BF30" i="61" a="1"/>
  <c r="BF30" i="61" s="1"/>
  <c r="BF20" i="61" a="1"/>
  <c r="BF20" i="61" s="1"/>
  <c r="BF34" i="61" a="1"/>
  <c r="BF34" i="61" s="1"/>
  <c r="BF10" i="61" a="1"/>
  <c r="BF10" i="61" s="1"/>
  <c r="BF14" i="61" a="1"/>
  <c r="BF14" i="61" s="1"/>
  <c r="BF2" i="61"/>
  <c r="BG1" i="61"/>
  <c r="BG5" i="61" l="1"/>
  <c r="BG4" i="6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U5" i="53" l="1"/>
  <c r="U3" i="53"/>
  <c r="N3" i="53"/>
  <c r="AA3" i="53" s="1"/>
  <c r="AB3" i="53" s="1"/>
  <c r="N5" i="53"/>
  <c r="AA5" i="53" s="1"/>
  <c r="O115" i="32" l="1" a="1"/>
  <c r="O115" i="32" s="1"/>
  <c r="O112" i="32" s="1"/>
  <c r="O111" i="32" s="1"/>
  <c r="J115" i="32" a="1"/>
  <c r="J115" i="32" s="1"/>
  <c r="J112" i="32" s="1"/>
  <c r="J111" i="32" s="1"/>
  <c r="K115" i="32" a="1"/>
  <c r="K115" i="32" s="1"/>
  <c r="F115" i="32" a="1"/>
  <c r="F115" i="32" s="1"/>
  <c r="P115" i="32" a="1"/>
  <c r="P115" i="32" s="1"/>
  <c r="AB5" i="53"/>
  <c r="S52" i="68" l="1"/>
  <c r="C52" i="68"/>
  <c r="J166" i="32"/>
  <c r="J134" i="32"/>
  <c r="J154" i="32"/>
  <c r="J125" i="32"/>
  <c r="O166" i="32"/>
  <c r="O134" i="32"/>
  <c r="O154" i="32"/>
  <c r="O125" i="32"/>
  <c r="D20" i="68" l="1"/>
  <c r="F20" i="32" a="1"/>
  <c r="F20" i="32" s="1"/>
  <c r="E20" i="68" l="1"/>
  <c r="F17" i="32"/>
  <c r="F20" i="68" l="1"/>
  <c r="G20" i="68"/>
  <c r="H20" i="68" l="1"/>
  <c r="F11" i="32" a="1"/>
  <c r="F11" i="32" s="1"/>
  <c r="P8" i="32" s="1"/>
  <c r="P16" i="32" l="1"/>
  <c r="P143" i="32"/>
  <c r="P144" i="32" s="1"/>
  <c r="P145" i="32" s="1"/>
  <c r="I20" i="68"/>
  <c r="E20" i="32" a="1"/>
  <c r="E20" i="32" s="1"/>
  <c r="P36" i="32" l="1"/>
  <c r="P128" i="32" s="1"/>
  <c r="P160" i="32"/>
  <c r="P121" i="32"/>
  <c r="F30" i="32" a="1"/>
  <c r="F30" i="32" s="1"/>
  <c r="J20" i="68"/>
  <c r="E17" i="32"/>
  <c r="P44" i="32" l="1"/>
  <c r="P46" i="32" s="1"/>
  <c r="P123" i="32" s="1"/>
  <c r="P132" i="32"/>
  <c r="P131" i="32"/>
  <c r="P161" i="32"/>
  <c r="P122" i="32"/>
  <c r="P127" i="32"/>
  <c r="P126" i="32"/>
  <c r="F28" i="32"/>
  <c r="P124" i="32" l="1"/>
  <c r="P162" i="32"/>
  <c r="M20" i="68"/>
  <c r="K20" i="68"/>
  <c r="E11" i="32" l="1" a="1"/>
  <c r="E11" i="32" s="1"/>
  <c r="K8" i="32" s="1"/>
  <c r="L20" i="68"/>
  <c r="N20" i="68"/>
  <c r="C82" i="40" a="1"/>
  <c r="C82" i="40" s="1"/>
  <c r="C83" i="40" s="1"/>
  <c r="K16" i="32" l="1"/>
  <c r="K36" i="32" s="1"/>
  <c r="K143" i="32"/>
  <c r="K144" i="32" s="1"/>
  <c r="K127" i="32" l="1"/>
  <c r="K122" i="32"/>
  <c r="K161" i="32"/>
  <c r="K132" i="32"/>
  <c r="K131" i="32"/>
  <c r="K121" i="32"/>
  <c r="K160" i="32"/>
  <c r="K44" i="32"/>
  <c r="K46" i="32" s="1"/>
  <c r="O20" i="68"/>
  <c r="C20" i="68"/>
  <c r="E30" i="32" a="1"/>
  <c r="E30" i="32" s="1"/>
  <c r="K123" i="32" l="1"/>
  <c r="K162" i="32"/>
  <c r="CV43" i="71" a="1"/>
  <c r="CV43" i="71" s="1"/>
  <c r="E28" i="32"/>
  <c r="CV29" i="71" l="1"/>
  <c r="CW29" i="71" s="1"/>
  <c r="CX43" i="71" a="1"/>
  <c r="CX43" i="71" s="1"/>
  <c r="CZ43" i="71" s="1"/>
  <c r="D13" i="40" l="1"/>
  <c r="C14" i="40"/>
  <c r="D12" i="40" l="1"/>
  <c r="C13" i="40"/>
  <c r="D36" i="40"/>
  <c r="D20" i="40"/>
  <c r="D21" i="40"/>
  <c r="D160" i="40" l="1"/>
  <c r="D161" i="40" s="1"/>
  <c r="D33" i="40"/>
  <c r="D41" i="40" s="1"/>
  <c r="C21" i="40"/>
  <c r="C12" i="40"/>
  <c r="C36" i="40"/>
  <c r="C20" i="40"/>
  <c r="D8" i="40"/>
  <c r="D9" i="40" s="1"/>
  <c r="D10" i="40" s="1"/>
  <c r="D32" i="40"/>
  <c r="J46" i="40" l="1" a="1"/>
  <c r="J46" i="40" s="1"/>
  <c r="G46" i="40" a="1"/>
  <c r="G46" i="40" s="1"/>
  <c r="N46" i="40" a="1"/>
  <c r="N46" i="40" s="1"/>
  <c r="H46" i="40" a="1"/>
  <c r="H46" i="40" s="1"/>
  <c r="M46" i="40" a="1"/>
  <c r="M46" i="40" s="1"/>
  <c r="D46" i="40" a="1"/>
  <c r="D46" i="40" s="1"/>
  <c r="I46" i="40" a="1"/>
  <c r="I46" i="40" s="1"/>
  <c r="K46" i="40" a="1"/>
  <c r="K46" i="40" s="1"/>
  <c r="L46" i="40" a="1"/>
  <c r="L46" i="40" s="1"/>
  <c r="O46" i="40" a="1"/>
  <c r="O46" i="40" s="1"/>
  <c r="E46" i="40" a="1"/>
  <c r="E46" i="40" s="1"/>
  <c r="F46" i="40" a="1"/>
  <c r="F46" i="40" s="1"/>
  <c r="D30" i="40"/>
  <c r="C30" i="40" s="1"/>
  <c r="C33" i="40"/>
  <c r="C41" i="40" s="1"/>
  <c r="C9" i="40"/>
  <c r="C10" i="40" s="1"/>
  <c r="C8" i="40"/>
  <c r="C32" i="40"/>
  <c r="C46" i="40" l="1" a="1"/>
  <c r="C46" i="40" s="1"/>
  <c r="D11" i="68" l="1"/>
  <c r="D40" i="68" l="1"/>
  <c r="D19" i="68"/>
  <c r="D10" i="68"/>
  <c r="D18" i="68"/>
  <c r="D30" i="68" l="1"/>
  <c r="D31" i="68" s="1"/>
  <c r="D6" i="68"/>
  <c r="D7" i="68" s="1"/>
  <c r="D8" i="68" s="1"/>
  <c r="CV14" i="71" a="1"/>
  <c r="CV14" i="71" s="1"/>
  <c r="CP5" i="71" a="1"/>
  <c r="CP5" i="71" s="1"/>
  <c r="CS5" i="71" l="1" a="1"/>
  <c r="CS5" i="71" s="1"/>
  <c r="CQ5" i="71" s="1" a="1"/>
  <c r="CQ5" i="71" s="1"/>
  <c r="CR5" i="71" s="1"/>
  <c r="CY14" i="71" a="1"/>
  <c r="CY14" i="71" s="1"/>
  <c r="CW14" i="71" s="1" a="1"/>
  <c r="CW14" i="71" s="1"/>
  <c r="CX14" i="71" s="1"/>
  <c r="E40" i="68" l="1"/>
  <c r="E11" i="68"/>
  <c r="E18" i="68" l="1"/>
  <c r="E10" i="68"/>
  <c r="E19" i="68"/>
  <c r="F11" i="68" l="1"/>
  <c r="CV15" i="71" a="1"/>
  <c r="CV15" i="71" s="1"/>
  <c r="E6" i="68"/>
  <c r="E7" i="68" s="1"/>
  <c r="E8" i="68" s="1"/>
  <c r="E30" i="68"/>
  <c r="E31" i="68" s="1"/>
  <c r="F40" i="68" l="1"/>
  <c r="CY15" i="71" a="1"/>
  <c r="CY15" i="71" s="1"/>
  <c r="CW15" i="71" s="1" a="1"/>
  <c r="CW15" i="71" s="1"/>
  <c r="CX15" i="71" s="1"/>
  <c r="F19" i="68"/>
  <c r="F18" i="68"/>
  <c r="F10" i="68"/>
  <c r="CV16" i="71" l="1" a="1"/>
  <c r="CV16" i="71" s="1"/>
  <c r="F6" i="68"/>
  <c r="F7" i="68" s="1"/>
  <c r="F8" i="68" s="1"/>
  <c r="F30" i="68"/>
  <c r="F31" i="68" s="1"/>
  <c r="G11" i="68" l="1"/>
  <c r="G40" i="68"/>
  <c r="CY16" i="71" a="1"/>
  <c r="CY16" i="71" s="1"/>
  <c r="CW16" i="71" s="1" a="1"/>
  <c r="CW16" i="71" s="1"/>
  <c r="CX16" i="71" s="1"/>
  <c r="G10" i="68" l="1"/>
  <c r="G19" i="68"/>
  <c r="G18" i="68"/>
  <c r="G30" i="68" l="1"/>
  <c r="G31" i="68" s="1"/>
  <c r="G6" i="68"/>
  <c r="G7" i="68" s="1"/>
  <c r="G8" i="68" s="1"/>
  <c r="CV17" i="71" a="1"/>
  <c r="CV17" i="71" s="1"/>
  <c r="CY17" i="71" l="1" a="1"/>
  <c r="CY17" i="71" s="1"/>
  <c r="CW17" i="71" s="1" a="1"/>
  <c r="CW17" i="71" s="1"/>
  <c r="CX17" i="71" s="1"/>
  <c r="CX9" i="71" l="1" a="1"/>
  <c r="CX9" i="71" s="1"/>
  <c r="H40" i="68"/>
  <c r="H11" i="68"/>
  <c r="I40" i="68" l="1"/>
  <c r="I11" i="68"/>
  <c r="H18" i="68"/>
  <c r="H19" i="68"/>
  <c r="H10" i="68"/>
  <c r="DB9" i="71" a="1"/>
  <c r="DB9" i="71" s="1"/>
  <c r="DC9" i="71" a="1"/>
  <c r="DC9" i="71" s="1"/>
  <c r="CV18" i="71" l="1" a="1"/>
  <c r="CV18" i="71" s="1"/>
  <c r="I10" i="68"/>
  <c r="I19" i="68"/>
  <c r="I18" i="68"/>
  <c r="H6" i="68"/>
  <c r="H7" i="68" s="1"/>
  <c r="H8" i="68" s="1"/>
  <c r="H30" i="68"/>
  <c r="H31" i="68" s="1"/>
  <c r="I6" i="68" l="1"/>
  <c r="I7" i="68" s="1"/>
  <c r="I8" i="68" s="1"/>
  <c r="I30" i="68"/>
  <c r="I31" i="68" s="1"/>
  <c r="CY18" i="71" a="1"/>
  <c r="CY18" i="71" s="1"/>
  <c r="CW18" i="71" s="1" a="1"/>
  <c r="CW18" i="71" s="1"/>
  <c r="CX18" i="71" s="1"/>
  <c r="CV19" i="71" l="1" a="1"/>
  <c r="CV19" i="71" s="1"/>
  <c r="F9" i="32" a="1"/>
  <c r="F9" i="32" s="1"/>
  <c r="CY19" i="71" l="1" a="1"/>
  <c r="CY19" i="71" s="1"/>
  <c r="CW19" i="71" s="1" a="1"/>
  <c r="CW19" i="71" s="1"/>
  <c r="CX19" i="71" s="1"/>
  <c r="J11" i="68"/>
  <c r="J40" i="68"/>
  <c r="F8" i="32"/>
  <c r="F143" i="32" s="1"/>
  <c r="F144" i="32" s="1"/>
  <c r="J18" i="68" l="1"/>
  <c r="J19" i="68"/>
  <c r="J10" i="68"/>
  <c r="F16" i="32"/>
  <c r="F121" i="32" l="1"/>
  <c r="F160" i="32"/>
  <c r="F36" i="32"/>
  <c r="J6" i="68"/>
  <c r="J7" i="68" s="1"/>
  <c r="J8" i="68" s="1"/>
  <c r="J30" i="68"/>
  <c r="J31" i="68" s="1"/>
  <c r="F122" i="32" l="1"/>
  <c r="F132" i="32"/>
  <c r="F131" i="32"/>
  <c r="F161" i="32"/>
  <c r="F127" i="32"/>
  <c r="F126" i="32"/>
  <c r="F128" i="32"/>
  <c r="F44" i="32"/>
  <c r="CV20" i="71" a="1"/>
  <c r="CV20" i="71" s="1"/>
  <c r="CY20" i="71" l="1" a="1"/>
  <c r="CY20" i="71" s="1"/>
  <c r="CW20" i="71" s="1" a="1"/>
  <c r="CW20" i="71" s="1"/>
  <c r="F46" i="32"/>
  <c r="F162" i="32" l="1"/>
  <c r="F123" i="32"/>
  <c r="CX20" i="71"/>
  <c r="K11" i="68" l="1"/>
  <c r="K40" i="68"/>
  <c r="L40" i="68" l="1"/>
  <c r="L11" i="68"/>
  <c r="K18" i="68"/>
  <c r="K10" i="68"/>
  <c r="K19" i="68"/>
  <c r="K6" i="68" l="1"/>
  <c r="K7" i="68" s="1"/>
  <c r="K8" i="68" s="1"/>
  <c r="K30" i="68"/>
  <c r="K31" i="68" s="1"/>
  <c r="L10" i="68"/>
  <c r="L19" i="68"/>
  <c r="L18" i="68"/>
  <c r="L30" i="68" l="1"/>
  <c r="L31" i="68" s="1"/>
  <c r="L6" i="68"/>
  <c r="L7" i="68" s="1"/>
  <c r="L8" i="68" s="1"/>
  <c r="CV21" i="71" a="1"/>
  <c r="CV21" i="71" s="1"/>
  <c r="C77" i="40" a="1"/>
  <c r="C77" i="40" s="1"/>
  <c r="C78" i="40" s="1"/>
  <c r="M40" i="68" l="1"/>
  <c r="M11" i="68"/>
  <c r="CV22" i="71" a="1"/>
  <c r="CV22" i="71" s="1"/>
  <c r="CY21" i="71" a="1"/>
  <c r="CY21" i="71" s="1"/>
  <c r="CW21" i="71" s="1" a="1"/>
  <c r="CW21" i="71" s="1"/>
  <c r="CX21" i="71" l="1"/>
  <c r="CY22" i="71" a="1"/>
  <c r="CY22" i="71" s="1"/>
  <c r="CW22" i="71" s="1" a="1"/>
  <c r="CW22" i="71" s="1"/>
  <c r="CX22" i="71" s="1"/>
  <c r="M19" i="68"/>
  <c r="M10" i="68"/>
  <c r="M18" i="68"/>
  <c r="AU8" i="73" l="1"/>
  <c r="M30" i="68"/>
  <c r="M31" i="68" s="1"/>
  <c r="M6" i="68"/>
  <c r="M7" i="68" s="1"/>
  <c r="M8" i="68" s="1"/>
  <c r="BB8" i="73"/>
  <c r="AS5" i="73" l="1"/>
  <c r="AU5" i="73"/>
  <c r="AS6" i="73"/>
  <c r="AU6" i="73"/>
  <c r="CV23" i="71" a="1"/>
  <c r="CV23" i="71" s="1"/>
  <c r="BG8" i="73"/>
  <c r="AV10" i="73" l="1" a="1"/>
  <c r="AV10" i="73" s="1"/>
  <c r="AV9" i="73" a="1"/>
  <c r="AV9" i="73" s="1"/>
  <c r="AV8" i="73" a="1"/>
  <c r="AV8" i="73" s="1"/>
  <c r="BC8" i="73"/>
  <c r="AS3" i="73" l="1"/>
  <c r="N40" i="68"/>
  <c r="N11" i="68"/>
  <c r="N10" i="68" l="1"/>
  <c r="N19" i="68"/>
  <c r="N18" i="68"/>
  <c r="N30" i="68" l="1"/>
  <c r="N31" i="68" s="1"/>
  <c r="N6" i="68"/>
  <c r="N7" i="68" s="1"/>
  <c r="N8" i="68" s="1"/>
  <c r="BO22" i="34" l="1" a="1"/>
  <c r="BO22" i="34" s="1"/>
  <c r="CY23" i="71" a="1"/>
  <c r="CY23" i="71" s="1"/>
  <c r="CW23" i="71" s="1" a="1"/>
  <c r="CW23" i="71" s="1"/>
  <c r="CX23" i="71" s="1"/>
  <c r="P112" i="32"/>
  <c r="P111" i="32" s="1"/>
  <c r="E9" i="32" a="1"/>
  <c r="E9" i="32" s="1"/>
  <c r="CV35" i="71" a="1"/>
  <c r="CV35" i="71" s="1"/>
  <c r="CW48" i="71" s="1"/>
  <c r="CV24" i="71" a="1"/>
  <c r="CV24" i="71" s="1"/>
  <c r="BN22" i="34" l="1"/>
  <c r="P1" i="58"/>
  <c r="P166" i="32"/>
  <c r="P134" i="32"/>
  <c r="P154" i="32"/>
  <c r="P125" i="32"/>
  <c r="K83" i="32" a="1"/>
  <c r="K83" i="32" s="1"/>
  <c r="J83" i="32" a="1"/>
  <c r="J83" i="32" s="1"/>
  <c r="F112" i="32"/>
  <c r="K112" i="32"/>
  <c r="K111" i="32" s="1"/>
  <c r="E112" i="32"/>
  <c r="E82" i="32"/>
  <c r="E139" i="32" s="1"/>
  <c r="E140" i="32" s="1"/>
  <c r="F82" i="32"/>
  <c r="F139" i="32" s="1"/>
  <c r="F140" i="32" s="1"/>
  <c r="F145" i="32" s="1"/>
  <c r="CW40" i="71"/>
  <c r="CW44" i="71"/>
  <c r="CW38" i="71"/>
  <c r="CW37" i="71"/>
  <c r="CW36" i="71"/>
  <c r="CX35" i="71" a="1"/>
  <c r="CX35" i="71" s="1"/>
  <c r="CZ35" i="71" s="1"/>
  <c r="CX55" i="71" s="1" a="1"/>
  <c r="CX55" i="71" s="1"/>
  <c r="CY55" i="71" s="1" a="1"/>
  <c r="CY55" i="71" s="1"/>
  <c r="CW42" i="71"/>
  <c r="CW47" i="71"/>
  <c r="CV55" i="71" a="1"/>
  <c r="CV55" i="71" s="1"/>
  <c r="CW50" i="71"/>
  <c r="CV28" i="71"/>
  <c r="CW28" i="71" s="1"/>
  <c r="CW46" i="71"/>
  <c r="CV54" i="71" a="1"/>
  <c r="CV54" i="71" s="1"/>
  <c r="CW43" i="71"/>
  <c r="CW34" i="71"/>
  <c r="CW35" i="71"/>
  <c r="CW41" i="71"/>
  <c r="CW45" i="71"/>
  <c r="CV53" i="71" a="1"/>
  <c r="CV53" i="71" s="1"/>
  <c r="CW39" i="71"/>
  <c r="CW49" i="71"/>
  <c r="C11" i="68"/>
  <c r="O11" i="68"/>
  <c r="O40" i="68"/>
  <c r="E8" i="32"/>
  <c r="E143" i="32" s="1"/>
  <c r="E144" i="32" s="1"/>
  <c r="CY24" i="71" a="1"/>
  <c r="CY24" i="71" s="1"/>
  <c r="CW24" i="71" s="1" a="1"/>
  <c r="CW24" i="71" s="1"/>
  <c r="E145" i="32" l="1"/>
  <c r="J82" i="32"/>
  <c r="J139" i="32" s="1"/>
  <c r="J140" i="32" s="1"/>
  <c r="J145" i="32" s="1"/>
  <c r="J135" i="32"/>
  <c r="J137" i="32"/>
  <c r="J126" i="32"/>
  <c r="J128" i="32"/>
  <c r="K82" i="32"/>
  <c r="K73" i="32" s="1"/>
  <c r="K137" i="32"/>
  <c r="K135" i="32"/>
  <c r="K128" i="32"/>
  <c r="K126" i="32"/>
  <c r="K166" i="32"/>
  <c r="V52" i="68" s="1"/>
  <c r="K134" i="32"/>
  <c r="K154" i="32"/>
  <c r="K125" i="32"/>
  <c r="F73" i="32"/>
  <c r="E73" i="32"/>
  <c r="E111" i="32"/>
  <c r="F111" i="32"/>
  <c r="CY40" i="71"/>
  <c r="CY41" i="71"/>
  <c r="CX53" i="71" a="1"/>
  <c r="CX53" i="71" s="1"/>
  <c r="CY53" i="71" s="1" a="1"/>
  <c r="CY53" i="71" s="1"/>
  <c r="CX54" i="71" a="1"/>
  <c r="CX54" i="71" s="1"/>
  <c r="CY54" i="71" s="1" a="1"/>
  <c r="CY54" i="71" s="1"/>
  <c r="CY34" i="71"/>
  <c r="CY44" i="71"/>
  <c r="CY35" i="71"/>
  <c r="CY36" i="71"/>
  <c r="CY39" i="71"/>
  <c r="CW53" i="71" a="1"/>
  <c r="CW53" i="71" s="1"/>
  <c r="CY50" i="71"/>
  <c r="CY49" i="71"/>
  <c r="CW32" i="71"/>
  <c r="CY38" i="71"/>
  <c r="CY45" i="71"/>
  <c r="CW54" i="71" a="1"/>
  <c r="CW54" i="71" s="1"/>
  <c r="CY43" i="71"/>
  <c r="CW55" i="71" a="1"/>
  <c r="CW55" i="71" s="1"/>
  <c r="CY48" i="71"/>
  <c r="CY37" i="71"/>
  <c r="CY47" i="71"/>
  <c r="CY42" i="71"/>
  <c r="CY46" i="71"/>
  <c r="E16" i="32"/>
  <c r="O19" i="68"/>
  <c r="O10" i="68"/>
  <c r="O18" i="68"/>
  <c r="DD8" i="71" a="1"/>
  <c r="DD8" i="71" s="1"/>
  <c r="DE8" i="71" s="1" a="1"/>
  <c r="DE8" i="71" s="1"/>
  <c r="C10" i="68"/>
  <c r="C19" i="68"/>
  <c r="C18" i="68"/>
  <c r="CX24" i="71"/>
  <c r="S31" i="68" l="1"/>
  <c r="C47" i="68"/>
  <c r="S47" i="68"/>
  <c r="J73" i="32"/>
  <c r="J148" i="32" s="1"/>
  <c r="K139" i="32"/>
  <c r="K140" i="32" s="1"/>
  <c r="K145" i="32" s="1"/>
  <c r="F154" i="32"/>
  <c r="F166" i="32"/>
  <c r="F134" i="32"/>
  <c r="F125" i="32"/>
  <c r="E166" i="32"/>
  <c r="E134" i="32"/>
  <c r="E154" i="32"/>
  <c r="E165" i="32"/>
  <c r="E152" i="32"/>
  <c r="E149" i="32"/>
  <c r="E133" i="32"/>
  <c r="E148" i="32"/>
  <c r="E153" i="32"/>
  <c r="E121" i="32"/>
  <c r="E160" i="32"/>
  <c r="F149" i="32"/>
  <c r="F148" i="32"/>
  <c r="F153" i="32"/>
  <c r="F165" i="32"/>
  <c r="F152" i="32"/>
  <c r="F133" i="32"/>
  <c r="F124" i="32"/>
  <c r="K165" i="32"/>
  <c r="K149" i="32"/>
  <c r="K148" i="32"/>
  <c r="K133" i="32"/>
  <c r="K153" i="32"/>
  <c r="K152" i="32"/>
  <c r="K124" i="32"/>
  <c r="E2" i="32"/>
  <c r="F2" i="32"/>
  <c r="CY32" i="71"/>
  <c r="O30" i="68"/>
  <c r="O31" i="68" s="1"/>
  <c r="O6" i="68"/>
  <c r="O7" i="68" s="1"/>
  <c r="O8" i="68" s="1"/>
  <c r="E36" i="32"/>
  <c r="C6" i="68"/>
  <c r="C30" i="68"/>
  <c r="C31" i="68" s="1"/>
  <c r="C7" i="68"/>
  <c r="C8" i="68" s="1"/>
  <c r="J152" i="32" l="1"/>
  <c r="J133" i="32"/>
  <c r="J153" i="32"/>
  <c r="J124" i="32"/>
  <c r="J149" i="32"/>
  <c r="J165" i="32"/>
  <c r="E122" i="32"/>
  <c r="E132" i="32"/>
  <c r="E128" i="32"/>
  <c r="E161" i="32"/>
  <c r="E131" i="32"/>
  <c r="E127" i="32"/>
  <c r="E126" i="32"/>
  <c r="CV6" i="71" a="1"/>
  <c r="CV6" i="71" s="1"/>
  <c r="CX5" i="71" s="1"/>
  <c r="CV25" i="71" a="1"/>
  <c r="CV25" i="71" s="1"/>
  <c r="CV8" i="71" a="1"/>
  <c r="CV8" i="71" s="1"/>
  <c r="E44" i="32"/>
  <c r="CZ8" i="71" l="1" a="1"/>
  <c r="CZ8" i="71" s="1"/>
  <c r="CX8" i="71" a="1"/>
  <c r="CX8" i="71" s="1"/>
  <c r="CY8" i="71" a="1"/>
  <c r="CY8" i="71" s="1"/>
  <c r="DA8" i="71" s="1"/>
  <c r="CW8" i="71"/>
  <c r="CY25" i="71" a="1"/>
  <c r="CY25" i="71" s="1"/>
  <c r="CW25" i="71" s="1" a="1"/>
  <c r="CW25" i="71" s="1"/>
  <c r="E46" i="32"/>
  <c r="E123" i="32" l="1"/>
  <c r="E162" i="32"/>
  <c r="E125" i="32"/>
  <c r="E124" i="32"/>
  <c r="CW12" i="71"/>
  <c r="CX25" i="71"/>
  <c r="CW11" i="71"/>
  <c r="DB8" i="71" a="1"/>
  <c r="DB8" i="71" s="1"/>
  <c r="DC8" i="71" a="1"/>
  <c r="DC8" i="71" s="1"/>
  <c r="I3" i="29" l="1"/>
  <c r="U3" i="29" s="1"/>
  <c r="AM22" i="59" l="1"/>
  <c r="AM20" i="59" s="1"/>
  <c r="K19" i="37" l="1"/>
  <c r="K18" i="37"/>
  <c r="K20" i="37"/>
  <c r="K21" i="37" s="1"/>
  <c r="K17"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5BFF10-C4EA-440F-B71B-22327E4C7FB6}" name="WorksheetConnection_Dashboard.xlsx!Ref_Dates" type="102" refreshedVersion="8" minRefreshableVersion="5">
    <extLst>
      <ext xmlns:x15="http://schemas.microsoft.com/office/spreadsheetml/2010/11/main" uri="{DE250136-89BD-433C-8126-D09CA5730AF9}">
        <x15:connection id="Ref_Dates">
          <x15:rangePr sourceName="_xlcn.WorksheetConnection_Dashboard.xlsxRef_Dates1"/>
        </x15:connection>
      </ext>
    </extLst>
  </connection>
  <connection id="3" xr16:uid="{7048F2A2-F120-4CA1-B6D1-46F79E022B62}" name="WorksheetConnection_Dashboard.xlsx!Ref_Periods" type="102" refreshedVersion="8" minRefreshableVersion="5">
    <extLst>
      <ext xmlns:x15="http://schemas.microsoft.com/office/spreadsheetml/2010/11/main" uri="{DE250136-89BD-433C-8126-D09CA5730AF9}">
        <x15:connection id="Ref_Periods">
          <x15:rangePr sourceName="_xlcn.WorksheetConnection_Dashboard.xlsxRef_Periods1"/>
        </x15:connection>
      </ext>
    </extLst>
  </connection>
  <connection id="4" xr16:uid="{B39D36C0-3F54-42AC-B575-0AA584B06E61}" name="WorksheetConnection_Dashboard.xlsx!Table_ChuongTrinh" type="102" refreshedVersion="8" minRefreshableVersion="5">
    <extLst>
      <ext xmlns:x15="http://schemas.microsoft.com/office/spreadsheetml/2010/11/main" uri="{DE250136-89BD-433C-8126-D09CA5730AF9}">
        <x15:connection id="Table_ChuongTrinh">
          <x15:rangePr sourceName="_xlcn.WorksheetConnection_Dashboard.xlsxTable_ChuongTrinh1"/>
        </x15:connection>
      </ext>
    </extLst>
  </connection>
  <connection id="5"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 id="6" xr16:uid="{378B2894-B558-4FCF-9585-1F5F46C5F7C3}" name="WorksheetConnection_Dashboard.xlsx!Table_DonBan" type="102" refreshedVersion="8" minRefreshableVersion="5">
    <extLst>
      <ext xmlns:x15="http://schemas.microsoft.com/office/spreadsheetml/2010/11/main" uri="{DE250136-89BD-433C-8126-D09CA5730AF9}">
        <x15:connection id="Table_DonBan">
          <x15:rangePr sourceName="_xlcn.WorksheetConnection_Dashboard.xlsxTable_DonBan1"/>
        </x15:connection>
      </ext>
    </extLst>
  </connection>
  <connection id="7" xr16:uid="{F43FE6C8-D4C0-4384-84A2-2FD978B38911}" name="WorksheetConnection_Dashboard.xlsx!Table_Kenh" type="102" refreshedVersion="7" minRefreshableVersion="5">
    <extLst>
      <ext xmlns:x15="http://schemas.microsoft.com/office/spreadsheetml/2010/11/main" uri="{DE250136-89BD-433C-8126-D09CA5730AF9}">
        <x15:connection id="Table_Kenh">
          <x15:rangePr sourceName="_xlcn.WorksheetConnection_Dashboard.xlsxTable_Kenh1"/>
        </x15:connection>
      </ext>
    </extLst>
  </connection>
  <connection id="8" xr16:uid="{83686662-CE34-4810-8342-341B830C552D}" name="WorksheetConnection_Dashboard.xlsx!Table_KhachHang" type="102" refreshedVersion="7" minRefreshableVersion="5">
    <extLst>
      <ext xmlns:x15="http://schemas.microsoft.com/office/spreadsheetml/2010/11/main" uri="{DE250136-89BD-433C-8126-D09CA5730AF9}">
        <x15:connection id="Table_KhachHang">
          <x15:rangePr sourceName="_xlcn.WorksheetConnection_Dashboard.xlsxTable_KhachHang1"/>
        </x15:connection>
      </ext>
    </extLst>
  </connection>
  <connection id="9" xr16:uid="{BE04EAC1-589E-46B9-B5C9-F58F53119525}" name="WorksheetConnection_Dashboard.xlsx!Table_KPI" type="102" refreshedVersion="7" minRefreshableVersion="5">
    <extLst>
      <ext xmlns:x15="http://schemas.microsoft.com/office/spreadsheetml/2010/11/main" uri="{DE250136-89BD-433C-8126-D09CA5730AF9}">
        <x15:connection id="Table_KPI">
          <x15:rangePr sourceName="_xlcn.WorksheetConnection_Dashboard.xlsxTable_KPI1"/>
        </x15:connection>
      </ext>
    </extLst>
  </connection>
  <connection id="10" xr16:uid="{2F61F466-A62F-44E0-9F5B-E80962210233}" name="WorksheetConnection_Dashboard.xlsx!Table_Main" type="102" refreshedVersion="8" minRefreshableVersion="5">
    <extLst>
      <ext xmlns:x15="http://schemas.microsoft.com/office/spreadsheetml/2010/11/main" uri="{DE250136-89BD-433C-8126-D09CA5730AF9}">
        <x15:connection id="Table_Main">
          <x15:rangePr sourceName="_xlcn.WorksheetConnection_Dashboard.xlsxTable_Main1"/>
        </x15:connection>
      </ext>
    </extLst>
  </connection>
  <connection id="11" xr16:uid="{D66C0B12-2084-407E-88C1-8923A16B5C73}" name="WorksheetConnection_Dashboard.xlsx!Table_NhanVien" type="102" refreshedVersion="7" minRefreshableVersion="5">
    <extLst>
      <ext xmlns:x15="http://schemas.microsoft.com/office/spreadsheetml/2010/11/main" uri="{DE250136-89BD-433C-8126-D09CA5730AF9}">
        <x15:connection id="Table_NhanVien">
          <x15:rangePr sourceName="_xlcn.WorksheetConnection_Dashboard.xlsxTable_NhanVien1"/>
        </x15:connection>
      </ext>
    </extLst>
  </connection>
  <connection id="12" xr16:uid="{1302FD37-C10E-4E8C-8198-43BA4A7140ED}" name="WorksheetConnection_Dashboard.xlsx!Table_SKU" type="102" refreshedVersion="7" minRefreshableVersion="5">
    <extLst>
      <ext xmlns:x15="http://schemas.microsoft.com/office/spreadsheetml/2010/11/main" uri="{DE250136-89BD-433C-8126-D09CA5730AF9}">
        <x15:connection id="Table_SKU">
          <x15:rangePr sourceName="_xlcn.WorksheetConnection_Dashboard.xlsxTable_SKU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<sst xmlns="http://schemas.openxmlformats.org/spreadsheetml/2006/main" count="5554" uniqueCount="1271">
  <si>
    <t>Ngày</t>
  </si>
  <si>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</si>
  <si>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</si>
  <si>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</si>
  <si>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</si>
  <si>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</si>
  <si>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</si>
  <si>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</si>
  <si>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</si>
  <si>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</si>
  <si>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</si>
  <si>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</si>
  <si>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</si>
  <si>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</si>
  <si>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</si>
  <si>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</si>
  <si>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Nội dung</t>
  </si>
  <si>
    <t>Tồn kho</t>
  </si>
  <si>
    <t>Phải thu</t>
  </si>
  <si>
    <t>a</t>
  </si>
  <si>
    <t>b</t>
  </si>
  <si>
    <t>Giá trị</t>
  </si>
  <si>
    <t>Format</t>
  </si>
  <si>
    <t>Row Labels</t>
  </si>
  <si>
    <t>Mã KH</t>
  </si>
  <si>
    <t>Phân khúc</t>
  </si>
  <si>
    <t>Tỉnh</t>
  </si>
  <si>
    <t>Mã Đơn bán</t>
  </si>
  <si>
    <t>STT đơn của khách</t>
  </si>
  <si>
    <t>Nhóm 1</t>
  </si>
  <si>
    <t>Số lượng</t>
  </si>
  <si>
    <t>Mã SKU</t>
  </si>
  <si>
    <t>Loại</t>
  </si>
  <si>
    <t>Doanh thu</t>
  </si>
  <si>
    <t>Mã Kênh</t>
  </si>
  <si>
    <t>Mã NV</t>
  </si>
  <si>
    <t>Sum of Giá trị bán trước VAT</t>
  </si>
  <si>
    <t>Nhân viên</t>
  </si>
  <si>
    <t>Kênh</t>
  </si>
  <si>
    <t>Sum of Doanh thu KPI</t>
  </si>
  <si>
    <t>Sum of Doanh thu thực tế</t>
  </si>
  <si>
    <t>Sum of Tỷ lệ KPI</t>
  </si>
  <si>
    <t>Khách</t>
  </si>
  <si>
    <t>TT Khách</t>
  </si>
  <si>
    <t>Ctr Đơn</t>
  </si>
  <si>
    <t>CK Đơn</t>
  </si>
  <si>
    <t>Phân Nhóm</t>
  </si>
  <si>
    <t>SKU</t>
  </si>
  <si>
    <t>Ctr SKU</t>
  </si>
  <si>
    <t>CK SKU</t>
  </si>
  <si>
    <t>Dthu SKU</t>
  </si>
  <si>
    <t>#,##,,,.0"tỷ"</t>
  </si>
  <si>
    <t>TP-Aa1-1</t>
  </si>
  <si>
    <t>Xuất</t>
  </si>
  <si>
    <t>NV02</t>
  </si>
  <si>
    <t>(blank)</t>
  </si>
  <si>
    <t>SP</t>
  </si>
  <si>
    <t>#,##,,.0"tr"</t>
  </si>
  <si>
    <t>Nhóm 2</t>
  </si>
  <si>
    <t>TP-Bb2-2</t>
  </si>
  <si>
    <t>TT</t>
  </si>
  <si>
    <t>#,##,.0"k"</t>
  </si>
  <si>
    <t>Nhóm 3</t>
  </si>
  <si>
    <t>TP-Cc3-3</t>
  </si>
  <si>
    <t>#,##</t>
  </si>
  <si>
    <t>NV03</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</si>
  <si>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</si>
  <si>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</si>
  <si>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</si>
  <si>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</si>
  <si>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</si>
  <si>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</si>
  <si>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</si>
  <si>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</si>
  <si>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</si>
  <si>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</si>
  <si>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</si>
  <si>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</si>
  <si>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</si>
  <si>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</si>
  <si>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</si>
  <si>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</si>
  <si>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</si>
  <si>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</si>
  <si>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</si>
  <si>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</si>
  <si>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</si>
  <si>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</si>
  <si>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</si>
  <si>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</si>
  <si>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</si>
  <si>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</si>
  <si>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</si>
  <si>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</si>
  <si>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</si>
  <si>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</si>
  <si>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</si>
  <si>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</si>
  <si>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</si>
  <si>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</si>
  <si>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</si>
  <si>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</si>
  <si>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</si>
  <si>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</si>
  <si>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</si>
  <si>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</si>
  <si>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</si>
  <si>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</si>
  <si>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</si>
  <si>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</si>
  <si>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</si>
  <si>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</si>
  <si>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</si>
  <si>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</si>
  <si>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</si>
  <si>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</si>
  <si>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</si>
  <si>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</si>
  <si>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</si>
  <si>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</si>
  <si>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</si>
  <si>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</si>
  <si>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</si>
  <si>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</si>
  <si>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</si>
  <si>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</si>
  <si>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</si>
  <si>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</si>
  <si>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</si>
  <si>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</si>
  <si>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</si>
  <si>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</si>
  <si>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</si>
  <si>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</si>
  <si>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</si>
  <si>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</si>
  <si>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</si>
  <si>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</si>
  <si>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</si>
  <si>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</si>
  <si>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</si>
  <si>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</si>
  <si>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</si>
  <si>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</si>
  <si>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</si>
  <si>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</si>
  <si>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</si>
  <si>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</si>
  <si>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</si>
  <si>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</si>
  <si>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</si>
  <si>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</si>
  <si>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</si>
  <si>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</si>
  <si>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</si>
  <si>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</si>
  <si>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</si>
  <si>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Tên</t>
  </si>
  <si>
    <t>Nhóm</t>
  </si>
  <si>
    <t>Rank Doanh thu</t>
  </si>
  <si>
    <t>Nhóm rank</t>
  </si>
  <si>
    <t>Doanh thu ngày</t>
  </si>
  <si>
    <t>Rank Doanh thu bq</t>
  </si>
  <si>
    <t>Bình quân ngày mua</t>
  </si>
  <si>
    <t>Rank tần suất</t>
  </si>
  <si>
    <t>Từ lần mua cuối</t>
  </si>
  <si>
    <t>Tình trạng</t>
  </si>
  <si>
    <t>Mức độ trễ</t>
  </si>
  <si>
    <t>Dư nợ</t>
  </si>
  <si>
    <t>Tình trạng nợ</t>
  </si>
  <si>
    <t>Tỷ trọng nợ</t>
  </si>
  <si>
    <t>Số khách</t>
  </si>
  <si>
    <t>Khách hàng</t>
  </si>
  <si>
    <t>Doanh thu / ngày</t>
  </si>
  <si>
    <t>Số ngày chưa mua</t>
  </si>
  <si>
    <t>Nhóm khách</t>
  </si>
  <si>
    <t>Vượt TB</t>
  </si>
  <si>
    <t>Giá trị tổng</t>
  </si>
  <si>
    <t>Tỷ trọng</t>
  </si>
  <si>
    <t>Số khách mới</t>
  </si>
  <si>
    <t>Doanh thu / khách</t>
  </si>
  <si>
    <t>Tần suất / khách</t>
  </si>
  <si>
    <t>Giá trị mới</t>
  </si>
  <si>
    <t>Tỉnh thành</t>
  </si>
  <si>
    <t>Ngày mua đầu</t>
  </si>
  <si>
    <t>Tổng khách</t>
  </si>
  <si>
    <t>Khách mới</t>
  </si>
  <si>
    <t>Số đơn mua</t>
  </si>
  <si>
    <t>Tổng doanh thu</t>
  </si>
  <si>
    <t>Từ ngày đầu</t>
  </si>
  <si>
    <t>Ngày mua cuối</t>
  </si>
  <si>
    <t>Từ ngày cuối</t>
  </si>
  <si>
    <t>Tổng đơn mua</t>
  </si>
  <si>
    <t>Khách năm trước</t>
  </si>
  <si>
    <t>Đơn năm trước</t>
  </si>
  <si>
    <t>Tỷ lệ vượt trung bình</t>
  </si>
  <si>
    <t>Thị trường</t>
  </si>
  <si>
    <t>Nhóm sản phẩm</t>
  </si>
  <si>
    <t>Sản lượng trong kỳ</t>
  </si>
  <si>
    <t>Sản lượng của khách</t>
  </si>
  <si>
    <t>Sản lượng bình quân</t>
  </si>
  <si>
    <t>Số ngày bán</t>
  </si>
  <si>
    <t>Số lượng bq ngày</t>
  </si>
  <si>
    <t>Doanh thu bq ngày</t>
  </si>
  <si>
    <t>Bình quân ngày</t>
  </si>
  <si>
    <t>Ngày bán đầu</t>
  </si>
  <si>
    <t>Ngày cuối</t>
  </si>
  <si>
    <t>Lượng năm trước</t>
  </si>
  <si>
    <t>Doanh thu trước</t>
  </si>
  <si>
    <t>Lượng / ngày</t>
  </si>
  <si>
    <t>Kênh phân phối</t>
  </si>
  <si>
    <t>Mã kênh</t>
  </si>
  <si>
    <t>Tỷ lệ chi phí</t>
  </si>
  <si>
    <t>Doanh thu / tỷ lệ</t>
  </si>
  <si>
    <t>KPI</t>
  </si>
  <si>
    <t>Tỷ lệ KPI</t>
  </si>
  <si>
    <t>Đạt KPI</t>
  </si>
  <si>
    <t>Tỷ lệ Kênh</t>
  </si>
  <si>
    <t>Tỷ lệ NV</t>
  </si>
  <si>
    <t>Phân nhóm</t>
  </si>
  <si>
    <t>Chi phí Kênh</t>
  </si>
  <si>
    <t>Doanh thu kênh</t>
  </si>
  <si>
    <t>Hiệu quả trên tỷ lệ</t>
  </si>
  <si>
    <t>Chi phí Hoa hồng</t>
  </si>
  <si>
    <t>Doanh thu nhân sự</t>
  </si>
  <si>
    <t>Doanh thu / tỷ lệ phí</t>
  </si>
  <si>
    <t>Chi phí NV</t>
  </si>
  <si>
    <t>Dthu Kênh</t>
  </si>
  <si>
    <t>KPI Kênh</t>
  </si>
  <si>
    <t>Tỷ lệ KPI kênh</t>
  </si>
  <si>
    <t>Dthu NV</t>
  </si>
  <si>
    <t>KPI NV</t>
  </si>
  <si>
    <t>Tỷ lệ KPI NV</t>
  </si>
  <si>
    <t>Đạt KPI Kênh</t>
  </si>
  <si>
    <t>Đạt KPI NV</t>
  </si>
  <si>
    <t>Đơn</t>
  </si>
  <si>
    <t>Chương trình</t>
  </si>
  <si>
    <t>Dthu</t>
  </si>
  <si>
    <t>Tăng DT</t>
  </si>
  <si>
    <t>HQ Dthu</t>
  </si>
  <si>
    <t>HQ khách mới</t>
  </si>
  <si>
    <t>Tăng TS Đơn</t>
  </si>
  <si>
    <t>HQ Đơn</t>
  </si>
  <si>
    <t>Tăng TS SKU</t>
  </si>
  <si>
    <t>HQ SKU</t>
  </si>
  <si>
    <t>Dthu tổng</t>
  </si>
  <si>
    <t>Dthu CT</t>
  </si>
  <si>
    <t>Ctrinh</t>
  </si>
  <si>
    <t>Số đơn</t>
  </si>
  <si>
    <t>Số lượng SKU</t>
  </si>
  <si>
    <t>Bắt đầu</t>
  </si>
  <si>
    <t>Kết thúc</t>
  </si>
  <si>
    <t>Thời lượng</t>
  </si>
  <si>
    <t>Tần suất đơn</t>
  </si>
  <si>
    <t>Tần suất SKU</t>
  </si>
  <si>
    <t>Dthu ngày</t>
  </si>
  <si>
    <t>Giá trị KM</t>
  </si>
  <si>
    <t>Tổng chi phí</t>
  </si>
  <si>
    <t>Hiệu quả cp</t>
  </si>
  <si>
    <t>Tăng dthu</t>
  </si>
  <si>
    <t>Hiệu quả tăng DT</t>
  </si>
  <si>
    <t>Tăng TS đơn</t>
  </si>
  <si>
    <t>Hiệu quả cphi</t>
  </si>
  <si>
    <t>Tham chiếu từ</t>
  </si>
  <si>
    <t>Năm kế hoạch</t>
  </si>
  <si>
    <t>đến</t>
  </si>
  <si>
    <t>Tài khoản</t>
  </si>
  <si>
    <t>Tham chiếu</t>
  </si>
  <si>
    <t>Tháng 1</t>
  </si>
  <si>
    <t>Tháng 2</t>
  </si>
  <si>
    <t>Tháng 3</t>
  </si>
  <si>
    <t>Tháng 4</t>
  </si>
  <si>
    <t>Tháng 5</t>
  </si>
  <si>
    <t>Tháng 6</t>
  </si>
  <si>
    <t>Tháng 7</t>
  </si>
  <si>
    <t>Tháng 8</t>
  </si>
  <si>
    <t>Tháng 9</t>
  </si>
  <si>
    <t>Tháng 10</t>
  </si>
  <si>
    <t>Tháng 11</t>
  </si>
  <si>
    <t>Tháng 12</t>
  </si>
  <si>
    <t>Thêm</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</si>
  <si>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</si>
  <si>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</si>
  <si>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</si>
  <si>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</si>
  <si>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</si>
  <si>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</si>
  <si>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</si>
  <si>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</si>
  <si>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</si>
  <si>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</si>
  <si>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</si>
  <si>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</si>
  <si>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</si>
  <si>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</si>
  <si>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</si>
  <si>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</si>
  <si>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</si>
  <si>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</si>
  <si>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</si>
  <si>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</si>
  <si>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</si>
  <si>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</si>
  <si>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</si>
  <si>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</si>
  <si>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</si>
  <si>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</si>
  <si>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</si>
  <si>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</si>
  <si>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</si>
  <si>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</si>
  <si>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</si>
  <si>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</si>
  <si>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</si>
  <si>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</si>
  <si>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</si>
  <si>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</si>
  <si>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</si>
  <si>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</si>
  <si>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</si>
  <si>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Tăng trưởng sản lượng</t>
  </si>
  <si>
    <t>Đơn vị</t>
  </si>
  <si>
    <t>Tăng trưởng năm</t>
  </si>
  <si>
    <t>Kế hoạch sản lượng</t>
  </si>
  <si>
    <t>Kế hoạch giá niêm yết thành phẩm</t>
  </si>
  <si>
    <t>Kế hoạch chiết khấu thương mại</t>
  </si>
  <si>
    <t>Tỷ lệ chiết khấu / doanh thu</t>
  </si>
  <si>
    <t>VND</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</si>
  <si>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</si>
  <si>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</si>
  <si>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</si>
  <si>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</si>
  <si>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</si>
  <si>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</si>
  <si>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</si>
  <si>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</si>
  <si>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</si>
  <si>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</si>
  <si>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</si>
  <si>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</si>
  <si>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</si>
  <si>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</si>
  <si>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</si>
  <si>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</si>
  <si>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</si>
  <si>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</si>
  <si>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</si>
  <si>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</si>
  <si>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</si>
  <si>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</si>
  <si>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</si>
  <si>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Năm / Đầu năm</t>
  </si>
  <si>
    <t>GIÁ TRỊ THỰC TẾ</t>
  </si>
  <si>
    <t>Chi phí Vận hành Kênh phân phối</t>
  </si>
  <si>
    <t>Kỳ Báo cáo (Tháng - Năm)</t>
  </si>
  <si>
    <t>Code</t>
  </si>
  <si>
    <t>Đầu kỳ</t>
  </si>
  <si>
    <t>Năm / Đầu kỳ</t>
  </si>
  <si>
    <t>Tháng / Cuối kỳ</t>
  </si>
  <si>
    <t>Thời kỳ</t>
  </si>
  <si>
    <t>BÁO CÁO KẾT QUẢ KINH DOANH</t>
  </si>
  <si>
    <t>01</t>
  </si>
  <si>
    <t>02</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</si>
  <si>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</si>
  <si>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</si>
  <si>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</si>
  <si>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</si>
  <si>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</si>
  <si>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</si>
  <si>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</si>
  <si>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</si>
  <si>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</si>
  <si>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</si>
  <si>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</si>
  <si>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</si>
  <si>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</si>
  <si>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</si>
  <si>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</si>
  <si>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</si>
  <si>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</si>
  <si>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</si>
  <si>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</si>
  <si>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</si>
  <si>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</si>
  <si>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</si>
  <si>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</si>
  <si>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</si>
  <si>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</si>
  <si>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</si>
  <si>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</si>
  <si>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</si>
  <si>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</si>
  <si>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</si>
  <si>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</si>
  <si>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</si>
  <si>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</si>
  <si>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</si>
  <si>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</si>
  <si>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</si>
  <si>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</si>
  <si>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</si>
  <si>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</si>
  <si>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</si>
  <si>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</si>
  <si>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</si>
  <si>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</si>
  <si>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</si>
  <si>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</si>
  <si>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</si>
  <si>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</si>
  <si>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</si>
  <si>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</si>
  <si>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</si>
  <si>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</si>
  <si>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</si>
  <si>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</si>
  <si>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</si>
  <si>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</si>
  <si>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</si>
  <si>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</si>
  <si>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</si>
  <si>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</si>
  <si>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</si>
  <si>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</si>
  <si>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</si>
  <si>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</si>
  <si>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</si>
  <si>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</si>
  <si>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</si>
  <si>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</si>
  <si>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</si>
  <si>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</si>
  <si>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</si>
  <si>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</si>
  <si>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</si>
  <si>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</si>
  <si>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</si>
  <si>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</si>
  <si>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</si>
  <si>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</si>
  <si>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</si>
  <si>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</si>
  <si>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</si>
  <si>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</si>
  <si>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</si>
  <si>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</si>
  <si>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</si>
  <si>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</si>
  <si>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</si>
  <si>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</si>
  <si>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</si>
  <si>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</si>
  <si>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</si>
  <si>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</si>
  <si>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</si>
  <si>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</si>
  <si>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</si>
  <si>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</si>
  <si>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</si>
  <si>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</si>
  <si>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</si>
  <si>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</si>
  <si>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</si>
  <si>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</si>
  <si>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</si>
  <si>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</si>
  <si>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</si>
  <si>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</si>
  <si>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</si>
  <si>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</si>
  <si>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</si>
  <si>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</si>
  <si>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</si>
  <si>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</si>
  <si>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</si>
  <si>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</si>
  <si>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</si>
  <si>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</si>
  <si>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</si>
  <si>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</si>
  <si>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</si>
  <si>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</si>
  <si>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</si>
  <si>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</si>
  <si>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</si>
  <si>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</si>
  <si>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</si>
  <si>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</si>
  <si>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</si>
  <si>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</si>
  <si>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</si>
  <si>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</si>
  <si>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</si>
  <si>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</si>
  <si>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</si>
  <si>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</si>
  <si>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</si>
  <si>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</si>
  <si>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</si>
  <si>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</si>
  <si>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</si>
  <si>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</si>
  <si>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</si>
  <si>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</si>
  <si>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</si>
  <si>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</si>
  <si>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</si>
  <si>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</si>
  <si>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</si>
  <si>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</si>
  <si>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</si>
  <si>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</si>
  <si>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</si>
  <si>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</si>
  <si>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</si>
  <si>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</si>
  <si>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</si>
  <si>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</si>
  <si>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</si>
  <si>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</si>
  <si>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</si>
  <si>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</si>
  <si>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</si>
  <si>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</si>
  <si>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</si>
  <si>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</si>
  <si>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Đối tượng áp dụng</t>
  </si>
  <si>
    <t>Loại KPI</t>
  </si>
  <si>
    <t>Tỷ lệ KPI min</t>
  </si>
  <si>
    <t>Tỷ lệ KPI max</t>
  </si>
  <si>
    <t>Mức thưởng</t>
  </si>
  <si>
    <t>Doanh thu KPI</t>
  </si>
  <si>
    <t>Doanh thu thực tế</t>
  </si>
  <si>
    <t>Ngày theo dõi</t>
  </si>
  <si>
    <t>Ngày lập phiếu</t>
  </si>
  <si>
    <t>Tên Khách hàng</t>
  </si>
  <si>
    <t>Mã số thuế</t>
  </si>
  <si>
    <t>Số điện thoại</t>
  </si>
  <si>
    <t>Đơn hàng</t>
  </si>
  <si>
    <t>Ghi chú:</t>
  </si>
  <si>
    <t>Tuổi nợ min</t>
  </si>
  <si>
    <t>Tuổi nợ max</t>
  </si>
  <si>
    <t>Tỷ lệ dự phòng</t>
  </si>
  <si>
    <t>Ngày lên đơn</t>
  </si>
  <si>
    <t>Tuổi nợ</t>
  </si>
  <si>
    <t>Ngày thanh toán</t>
  </si>
  <si>
    <t>Mã đối tác</t>
  </si>
  <si>
    <t>Dự phòng lũy kế</t>
  </si>
  <si>
    <t>Tổng phải thu</t>
  </si>
  <si>
    <t>Trong đó: Dài hạn</t>
  </si>
  <si>
    <t>Tổng ứng trước</t>
  </si>
  <si>
    <t>Đối tác</t>
  </si>
  <si>
    <t>Dư đầu kỳ</t>
  </si>
  <si>
    <t>Thương mại</t>
  </si>
  <si>
    <t>Tổng phải trả</t>
  </si>
  <si>
    <t>Nội bộ</t>
  </si>
  <si>
    <t>Nhóm đối tác</t>
  </si>
  <si>
    <t>Kỳ tham chiếu</t>
  </si>
  <si>
    <t>Ngày đặt hàng</t>
  </si>
  <si>
    <t>Mã hàng</t>
  </si>
  <si>
    <t>Tồn đầu ngày</t>
  </si>
  <si>
    <t>Tiêu thụ / ngày</t>
  </si>
  <si>
    <t>Ngày tồn kho</t>
  </si>
  <si>
    <t>Hạn đặt hàng</t>
  </si>
  <si>
    <t>SL cần đặt</t>
  </si>
  <si>
    <t>Giá trị cần đặt</t>
  </si>
  <si>
    <t>Sản phẩm</t>
  </si>
  <si>
    <t>Tiện ích sản xuất</t>
  </si>
  <si>
    <t>Định mức</t>
  </si>
  <si>
    <t>Đơn giá</t>
  </si>
  <si>
    <t>Hao hụt</t>
  </si>
  <si>
    <t>Giá trị tiêu thụ</t>
  </si>
  <si>
    <t>Tồn kho hiện tại</t>
  </si>
  <si>
    <t>Số lượng tiêu thụ</t>
  </si>
  <si>
    <t>Số lượng cần đặt</t>
  </si>
  <si>
    <t>Giá vốn mục tiêu</t>
  </si>
  <si>
    <t>Giá vốn thực tế</t>
  </si>
  <si>
    <t>Ngày dự phòng</t>
  </si>
  <si>
    <t>Kho</t>
  </si>
  <si>
    <t>Ngày tồn min</t>
  </si>
  <si>
    <t>Ngày tồn max</t>
  </si>
  <si>
    <t>Ngày nhập</t>
  </si>
  <si>
    <t>Ngày tồn</t>
  </si>
  <si>
    <t>Chức năng</t>
  </si>
  <si>
    <t>SL Đầu kỳ</t>
  </si>
  <si>
    <t>SL nhập</t>
  </si>
  <si>
    <t>SL xuất</t>
  </si>
  <si>
    <t>SL Cuối kỳ</t>
  </si>
  <si>
    <t>KQ kiểm kê</t>
  </si>
  <si>
    <t>Chênh lệch</t>
  </si>
  <si>
    <t>Sản xuất</t>
  </si>
  <si>
    <t>Tiêu thụ</t>
  </si>
  <si>
    <t>Giá trị xuất</t>
  </si>
  <si>
    <t>Chi phí ghi nhận</t>
  </si>
  <si>
    <t>Giá trị cuối kỳ</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</si>
  <si>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</si>
  <si>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</si>
  <si>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</si>
  <si>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</si>
  <si>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</si>
  <si>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</si>
  <si>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</si>
  <si>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</si>
  <si>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</si>
  <si>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</si>
  <si>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</si>
  <si>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</si>
  <si>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</si>
  <si>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</si>
  <si>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</si>
  <si>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</si>
  <si>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</si>
  <si>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</si>
  <si>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</si>
  <si>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</si>
  <si>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</si>
  <si>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</si>
  <si>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</si>
  <si>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</si>
  <si>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</si>
  <si>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</si>
  <si>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</si>
  <si>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</si>
  <si>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</si>
  <si>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</si>
  <si>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</si>
  <si>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</si>
  <si>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</si>
  <si>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</si>
  <si>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</si>
  <si>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</si>
  <si>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</si>
  <si>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</si>
  <si>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</si>
  <si>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</si>
  <si>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</si>
  <si>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</si>
  <si>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</si>
  <si>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STT</t>
  </si>
  <si>
    <t>Mã chi phí</t>
  </si>
  <si>
    <t>Phân bổ từ</t>
  </si>
  <si>
    <t>Phân bổ đến</t>
  </si>
  <si>
    <t>Phụ thuộc</t>
  </si>
  <si>
    <t>Lương thực tế</t>
  </si>
  <si>
    <t>Chịu thuế phân bổ khác</t>
  </si>
  <si>
    <t>Chịu thuế chưa phân bổ khác</t>
  </si>
  <si>
    <t>Trợ cấp miễn thuế</t>
  </si>
  <si>
    <t>Thu nhập chịu thuế</t>
  </si>
  <si>
    <t>Thuế TNCN</t>
  </si>
  <si>
    <t>Chi phí bảo hiểm</t>
  </si>
  <si>
    <t>Bảo hiểm nộp hộ</t>
  </si>
  <si>
    <t>Lương net</t>
  </si>
  <si>
    <t>Chi phí tính thuế</t>
  </si>
  <si>
    <t>Giá trị tính thuế</t>
  </si>
  <si>
    <t>Khoản vay</t>
  </si>
  <si>
    <t>Ngày vay</t>
  </si>
  <si>
    <t>Ngày kết thúc</t>
  </si>
  <si>
    <t>Dư nợ đầu kỳ</t>
  </si>
  <si>
    <t>Trả gốc trong kỳ</t>
  </si>
  <si>
    <t>Tài sản đầu tư</t>
  </si>
  <si>
    <t>Nhận gốc</t>
  </si>
  <si>
    <t>Nhận lãi</t>
  </si>
  <si>
    <t>Thu nhập tính thuế</t>
  </si>
  <si>
    <t>Loại thuế</t>
  </si>
  <si>
    <t>Tên Đối tác</t>
  </si>
  <si>
    <t>Thuế VAT</t>
  </si>
  <si>
    <t>Thuế TNDN</t>
  </si>
  <si>
    <t>Thuế môn bài</t>
  </si>
  <si>
    <t>Bảo hiểm bắt buộc</t>
  </si>
  <si>
    <t>Sử dụng đất</t>
  </si>
  <si>
    <t>Ngân sách</t>
  </si>
  <si>
    <t>Giá trị phải nộp</t>
  </si>
  <si>
    <t>Giá trị khấu trừ</t>
  </si>
  <si>
    <t>Thuế suất TNDN</t>
  </si>
  <si>
    <t>Mã Nguyên liệu</t>
  </si>
  <si>
    <t>Ngày xuất nhập</t>
  </si>
  <si>
    <t>Tháng lên đơn</t>
  </si>
  <si>
    <t>Đơn Mua</t>
  </si>
  <si>
    <t>Giá nhập</t>
  </si>
  <si>
    <t>Giá trị hàng nhập</t>
  </si>
  <si>
    <t>Tỷ suất VAT khấu trừ</t>
  </si>
  <si>
    <t>VAT khấu trừ</t>
  </si>
  <si>
    <t>Đơn bán</t>
  </si>
  <si>
    <t>Giá bán niêm yết</t>
  </si>
  <si>
    <t>Thành tiền niêm yết</t>
  </si>
  <si>
    <t>Tỷ lệ CK</t>
  </si>
  <si>
    <t>Giá trị CK</t>
  </si>
  <si>
    <t>Giá trị bán trước VAT</t>
  </si>
  <si>
    <t>VAT</t>
  </si>
  <si>
    <t>NV Bán hàng</t>
  </si>
  <si>
    <t>Tỷ lệ hoa hồng</t>
  </si>
  <si>
    <t>Vận đơn bán</t>
  </si>
  <si>
    <t>ĐƠN MUA HÀNG</t>
  </si>
  <si>
    <t>Mã Đối tác</t>
  </si>
  <si>
    <t>Mã đơn</t>
  </si>
  <si>
    <t>Ngày lập</t>
  </si>
  <si>
    <t>Kho nhập</t>
  </si>
  <si>
    <t>Người lập</t>
  </si>
  <si>
    <t>ĐỊA CHỈ NHẬN HÀNG</t>
  </si>
  <si>
    <t>Tên Kho hàng</t>
  </si>
  <si>
    <t>Địa chỉ nhận hàng</t>
  </si>
  <si>
    <t>Mã nguyên liệu</t>
  </si>
  <si>
    <t>Mô tả</t>
  </si>
  <si>
    <t>Giá sau VAT</t>
  </si>
  <si>
    <t>Thành tiền</t>
  </si>
  <si>
    <t>Tỷ suất VAT</t>
  </si>
  <si>
    <t>Thành tiền sau VAT</t>
  </si>
  <si>
    <t>Phụ phí</t>
  </si>
  <si>
    <t>Khuyến mãi khác</t>
  </si>
  <si>
    <t>Tổng VAT khấu trừ</t>
  </si>
  <si>
    <t>TỔNG PHẢI TRẢ</t>
  </si>
  <si>
    <t>Đại diện mua hàng</t>
  </si>
  <si>
    <t>Mã Đơn mua</t>
  </si>
  <si>
    <t>Kho Nhập</t>
  </si>
  <si>
    <t>Tiền hàng</t>
  </si>
  <si>
    <t>VAT hàng</t>
  </si>
  <si>
    <t>Khuyến mãi</t>
  </si>
  <si>
    <t>Phải trả</t>
  </si>
  <si>
    <t>ĐƠN BÁN HÀNG</t>
  </si>
  <si>
    <t>Mã khách</t>
  </si>
  <si>
    <t>Đơn bán hàng</t>
  </si>
  <si>
    <t>Chi nhánh</t>
  </si>
  <si>
    <t>KHÁCH HÀNG</t>
  </si>
  <si>
    <t>Giá trước VAT</t>
  </si>
  <si>
    <t>Tổng hợp ĐK</t>
  </si>
  <si>
    <t>ĐK - Phân loại</t>
  </si>
  <si>
    <t>ĐK - Thời gian</t>
  </si>
  <si>
    <t>ĐK - Giá trị</t>
  </si>
  <si>
    <t>ĐK - Số lượng</t>
  </si>
  <si>
    <t>Tổng thành tiền</t>
  </si>
  <si>
    <t>Khuyến mãi đơn hàng</t>
  </si>
  <si>
    <t>Tổng VAT</t>
  </si>
  <si>
    <t>TỔNG CỘNG</t>
  </si>
  <si>
    <t>Đại diện bán hàng</t>
  </si>
  <si>
    <t>Mã Khách</t>
  </si>
  <si>
    <t>Tỷ lệ CK kênh</t>
  </si>
  <si>
    <t>PHIẾU GIAO HÀNG</t>
  </si>
  <si>
    <t>Mã shipper</t>
  </si>
  <si>
    <t>Mã Vận đơn</t>
  </si>
  <si>
    <t>Shipper</t>
  </si>
  <si>
    <t>Nhân viên lập</t>
  </si>
  <si>
    <t>Bên chịu phí</t>
  </si>
  <si>
    <t>Đơn chưa giao</t>
  </si>
  <si>
    <t>Số lượng đặt</t>
  </si>
  <si>
    <t>Số lượng giao</t>
  </si>
  <si>
    <t>Thành tiền đặt</t>
  </si>
  <si>
    <t>Thành tiền giao</t>
  </si>
  <si>
    <t>Tỷ trọng thành tiền</t>
  </si>
  <si>
    <t>SKU chưa giao</t>
  </si>
  <si>
    <t>Phí ship</t>
  </si>
  <si>
    <t>Đại diện giao hàng</t>
  </si>
  <si>
    <t>Ngày hoàn tất</t>
  </si>
  <si>
    <t>Đơn vị vận tải</t>
  </si>
  <si>
    <t>Kho đối tác</t>
  </si>
  <si>
    <t>Phải trả ship</t>
  </si>
  <si>
    <t>Bộ phận</t>
  </si>
  <si>
    <t>Nhóm vendor</t>
  </si>
  <si>
    <t>Vendor</t>
  </si>
  <si>
    <t>Tỷ suất VAT kháu trừ</t>
  </si>
  <si>
    <t>Bán hàng</t>
  </si>
  <si>
    <t>Văn phòng</t>
  </si>
  <si>
    <t>Chi phí tiện ích - Năng lượng</t>
  </si>
  <si>
    <t>Chưa phân bổ</t>
  </si>
  <si>
    <t>Chi phí tiện ích - Cấp thoát nước</t>
  </si>
  <si>
    <t>Chi phí tiện ích - Viễn thông</t>
  </si>
  <si>
    <t>Phân loại</t>
  </si>
  <si>
    <t>Giá trị VAT</t>
  </si>
  <si>
    <t>Nội dung GD</t>
  </si>
  <si>
    <t>NSNN</t>
  </si>
  <si>
    <t>Mã phiếu thu chi</t>
  </si>
  <si>
    <t>Ngày GD</t>
  </si>
  <si>
    <t>Loại GD</t>
  </si>
  <si>
    <t>TK GD</t>
  </si>
  <si>
    <t>Giá trị GD</t>
  </si>
  <si>
    <t>Phí suất GD</t>
  </si>
  <si>
    <t>Phí GD</t>
  </si>
  <si>
    <t>Giá trị sau phí</t>
  </si>
  <si>
    <t>Các hạng mục giao dịch</t>
  </si>
  <si>
    <t>Ngày đáo hạn</t>
  </si>
  <si>
    <t>Mã Cổ đông</t>
  </si>
  <si>
    <t>Tên Cổ đông</t>
  </si>
  <si>
    <t>Tỷ lệ sở hữu</t>
  </si>
  <si>
    <t>Tỷ lệ chia lợi nhuận</t>
  </si>
  <si>
    <t>MST / CCCD</t>
  </si>
  <si>
    <t>Địa chỉ</t>
  </si>
  <si>
    <t>SĐT</t>
  </si>
  <si>
    <t>Mã khoản vay</t>
  </si>
  <si>
    <t>Bên cho vay</t>
  </si>
  <si>
    <t>Thời hạn (năm)</t>
  </si>
  <si>
    <t>Thời hạn (tháng)</t>
  </si>
  <si>
    <t>Lãi suất (năm)</t>
  </si>
  <si>
    <t>Bắt đầu trả gốc</t>
  </si>
  <si>
    <t>Kết thúc trả gốc</t>
  </si>
  <si>
    <t>Trả gốc hàng kỳ</t>
  </si>
  <si>
    <t>Mã Tài khoản</t>
  </si>
  <si>
    <t>Loại tài khoản</t>
  </si>
  <si>
    <t>Số Tài khoản</t>
  </si>
  <si>
    <t>Phí Thanh toán</t>
  </si>
  <si>
    <t>Tất cả</t>
  </si>
  <si>
    <t>Tên phòng ban</t>
  </si>
  <si>
    <t>Trưởng phòng</t>
  </si>
  <si>
    <t>Tên bộ phận</t>
  </si>
  <si>
    <t>Phòng trực thuộc</t>
  </si>
  <si>
    <t>Trưởng bộ phận</t>
  </si>
  <si>
    <t>Tên NV</t>
  </si>
  <si>
    <t>Phòng</t>
  </si>
  <si>
    <t>Vị trí</t>
  </si>
  <si>
    <t>Lương gross</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</si>
  <si>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</si>
  <si>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</si>
  <si>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</si>
  <si>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</si>
  <si>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</si>
  <si>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</si>
  <si>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</si>
  <si>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</si>
  <si>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</si>
  <si>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</si>
  <si>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</si>
  <si>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</si>
  <si>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</si>
  <si>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Công suất</t>
  </si>
  <si>
    <t>Đơn vị công suất</t>
  </si>
  <si>
    <t>Giá trị sổ sách</t>
  </si>
  <si>
    <t>Ngày mua</t>
  </si>
  <si>
    <t>Năm khấu hao</t>
  </si>
  <si>
    <t>Tháng khấu hao</t>
  </si>
  <si>
    <t>Ngày vận hành</t>
  </si>
  <si>
    <t>Ngày thanh lý</t>
  </si>
  <si>
    <t>Giá trị khấu hao (tháng)</t>
  </si>
  <si>
    <t>Tình trạng VAT</t>
  </si>
  <si>
    <t>Mã Kho</t>
  </si>
  <si>
    <t>Tên Kho</t>
  </si>
  <si>
    <t>Địa điểm</t>
  </si>
  <si>
    <t>Tên Nguyên liệu</t>
  </si>
  <si>
    <t>Hàng hóa</t>
  </si>
  <si>
    <t>Thành phẩm</t>
  </si>
  <si>
    <t>Thêm nhóm</t>
  </si>
  <si>
    <t>Loại hình</t>
  </si>
  <si>
    <t>Giá bán</t>
  </si>
  <si>
    <t>Hàng hóa - Nguyên liệu vật tư</t>
  </si>
  <si>
    <t>Vận tải</t>
  </si>
  <si>
    <t>Dịch vụ tài chính</t>
  </si>
  <si>
    <t>Dịch vụ sản xuất</t>
  </si>
  <si>
    <t>Marketing - Thương mại</t>
  </si>
  <si>
    <t>Dịch vụ quản lý</t>
  </si>
  <si>
    <t>Loại đối tác</t>
  </si>
  <si>
    <t>Phân khúc 1</t>
  </si>
  <si>
    <t>Tên KH</t>
  </si>
  <si>
    <t>Tên Kênh</t>
  </si>
  <si>
    <t>Nhóm Kênh</t>
  </si>
  <si>
    <t>Mã Chương trình</t>
  </si>
  <si>
    <t>Đối tượng CK</t>
  </si>
  <si>
    <t>Nội dung Chương trình</t>
  </si>
  <si>
    <t>Giá trị tối thiểu</t>
  </si>
  <si>
    <t>Mã khoản đầu tư</t>
  </si>
  <si>
    <t>Giá trị đầu tư</t>
  </si>
  <si>
    <t>Kỳ đầu tư</t>
  </si>
  <si>
    <t>Kỳ đáo hạn</t>
  </si>
  <si>
    <t>Lãi hàng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</si>
  <si>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</si>
  <si>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</si>
  <si>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</si>
  <si>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</si>
  <si>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</si>
  <si>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</si>
  <si>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</si>
  <si>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</si>
  <si>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</si>
  <si>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</si>
  <si>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</si>
  <si>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</si>
  <si>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</si>
  <si>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</si>
  <si>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</si>
  <si>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Mã Nhân viên</t>
  </si>
  <si>
    <t>Đối tượng</t>
  </si>
  <si>
    <t>CK kênh</t>
  </si>
  <si>
    <t>Nhóm kênh</t>
  </si>
  <si>
    <t>Ngày bắt đầu</t>
  </si>
  <si>
    <t>Vốn góp ban đầu</t>
  </si>
  <si>
    <t>Vốn góp hiện tại</t>
  </si>
  <si>
    <t>Giá trị vay</t>
  </si>
  <si>
    <t>Số dư ban đầu</t>
  </si>
  <si>
    <t>Miễn thuế tăng ca</t>
  </si>
  <si>
    <t>Thưởng KPI tháng</t>
  </si>
  <si>
    <t>Thường KPI năm</t>
  </si>
  <si>
    <t xml:space="preserve">Lương thực trả </t>
  </si>
  <si>
    <t>Doanh thu ròng</t>
  </si>
  <si>
    <t>Tính thuế</t>
  </si>
  <si>
    <t>Nguyên giá TSCĐ</t>
  </si>
  <si>
    <t>Năm đầu</t>
  </si>
  <si>
    <t>Tháng đầu</t>
  </si>
  <si>
    <t>Dòng tiền kinh doanh trên Thu chi kinh doanh</t>
  </si>
  <si>
    <t>VAT hàng xuất</t>
  </si>
  <si>
    <t>Phân bổ lãi tháng</t>
  </si>
  <si>
    <t>EasyFIRM</t>
  </si>
  <si>
    <t>Nhập mã cần in</t>
  </si>
  <si>
    <t>Kích thước 30x40</t>
  </si>
  <si>
    <t>Kích thước 35x22</t>
  </si>
  <si>
    <t>Tổng cộng</t>
  </si>
  <si>
    <t>Kích thước 100x150</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</si>
  <si>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</si>
  <si>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</si>
  <si>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</si>
  <si>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</si>
  <si>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</si>
  <si>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</si>
  <si>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</si>
  <si>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</si>
  <si>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</si>
  <si>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</si>
  <si>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</si>
  <si>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</si>
  <si>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</si>
  <si>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</si>
  <si>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</si>
  <si>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</si>
  <si>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Ngày sinh</t>
  </si>
  <si>
    <t>Sinh nhật</t>
  </si>
  <si>
    <t>ĐK - Sinh nhật</t>
  </si>
  <si>
    <t>ĐK - Ngày mua cuối</t>
  </si>
  <si>
    <t>TONKHODAU</t>
  </si>
  <si>
    <t>Ngày phải trả</t>
  </si>
  <si>
    <t>Khấu hao sản xuất</t>
  </si>
  <si>
    <t>Khấu hao bán hàng</t>
  </si>
  <si>
    <t>Khấu hao quản lý</t>
  </si>
  <si>
    <t>Cước phí</t>
  </si>
  <si>
    <t>CK05%</t>
  </si>
  <si>
    <t>KH01</t>
  </si>
  <si>
    <t>KH02</t>
  </si>
  <si>
    <t>KH03</t>
  </si>
  <si>
    <t>KH04</t>
  </si>
  <si>
    <t>KH05</t>
  </si>
  <si>
    <t>KH06</t>
  </si>
  <si>
    <t>KH07</t>
  </si>
  <si>
    <t>NV01</t>
  </si>
  <si>
    <t>NV04</t>
  </si>
  <si>
    <t>NV05</t>
  </si>
  <si>
    <t>ST</t>
  </si>
  <si>
    <t>FB</t>
  </si>
  <si>
    <t>LZ</t>
  </si>
  <si>
    <t>TK</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</si>
  <si>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</si>
  <si>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</si>
  <si>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</si>
  <si>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</si>
  <si>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</si>
  <si>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</si>
  <si>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</si>
  <si>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</si>
  <si>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</si>
  <si>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</si>
  <si>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</si>
  <si>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</si>
  <si>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</si>
  <si>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</si>
  <si>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</si>
  <si>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</si>
  <si>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</si>
  <si>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</si>
  <si>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</si>
  <si>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</si>
  <si>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</si>
  <si>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</si>
  <si>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</si>
  <si>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</si>
  <si>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</si>
  <si>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</si>
  <si>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</si>
  <si>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</si>
  <si>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</si>
  <si>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</si>
  <si>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</si>
  <si>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</si>
  <si>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</si>
  <si>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</si>
  <si>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</si>
  <si>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</si>
  <si>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</si>
  <si>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</si>
  <si>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</si>
  <si>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</si>
  <si>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</si>
  <si>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</si>
  <si>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2024-05tr</t>
  </si>
  <si>
    <t>Lào Cai</t>
  </si>
  <si>
    <t>Yên Bái</t>
  </si>
  <si>
    <t>Nghệ An</t>
  </si>
  <si>
    <t>Hà Tĩnh</t>
  </si>
  <si>
    <t>Thanh Hóa</t>
  </si>
  <si>
    <t>Thái Bình</t>
  </si>
  <si>
    <t>Nam Định</t>
  </si>
  <si>
    <t>CK10%</t>
  </si>
  <si>
    <t>2024-10tr</t>
  </si>
  <si>
    <t>B2B</t>
  </si>
  <si>
    <t>B2C</t>
  </si>
  <si>
    <t>A</t>
  </si>
  <si>
    <t xml:space="preserve"> -</t>
  </si>
  <si>
    <t>r</t>
  </si>
  <si>
    <t>Thời điểm</t>
  </si>
  <si>
    <t>Giờ</t>
  </si>
  <si>
    <t>Tần suất trả nợ</t>
  </si>
  <si>
    <t>Tần suất</t>
  </si>
  <si>
    <t>Lương gross tiêu chuẩn</t>
  </si>
  <si>
    <t>Số lượng mục tiêu</t>
  </si>
  <si>
    <t>Số lượng hiện tại</t>
  </si>
  <si>
    <t>Kế hoạch cổ tức</t>
  </si>
  <si>
    <t>Tỷ lệ lợi ích</t>
  </si>
  <si>
    <t>EASY-FULL</t>
  </si>
  <si>
    <t>X</t>
  </si>
  <si>
    <t>Tồn kho đầu ngày</t>
  </si>
  <si>
    <t>Tồn kho cuối ngày</t>
  </si>
  <si>
    <t>Giá trị tồn đầu ngày</t>
  </si>
  <si>
    <t>Giá trị tồn cuối ngày</t>
  </si>
  <si>
    <t>Giá trị bình quân đầu ngày</t>
  </si>
  <si>
    <t>Giá trị bình quân cuối ngày</t>
  </si>
  <si>
    <t>Thời hạn hiệu lực</t>
  </si>
  <si>
    <t>Tỷ lệ tính điểm</t>
  </si>
  <si>
    <t>Điểm tích lũy</t>
  </si>
  <si>
    <t>Đơn vị SKU</t>
  </si>
  <si>
    <t>Sản lượng kế hoạch</t>
  </si>
  <si>
    <t>Số ngày lưu kho</t>
  </si>
  <si>
    <t>Tồn tối thiểu</t>
  </si>
  <si>
    <t>Tồn tối đa</t>
  </si>
  <si>
    <t>Ngày giao / sản xuất</t>
  </si>
  <si>
    <t>Tăng trưởng tiêu thụ</t>
  </si>
  <si>
    <t>Thuế phí nộp NS</t>
  </si>
  <si>
    <t>Lệ phí môn bài</t>
  </si>
  <si>
    <t>Total</t>
  </si>
  <si>
    <t>Thuế phí khác</t>
  </si>
  <si>
    <t>Column1</t>
  </si>
  <si>
    <t>Dòng tiền ròng - FCFE</t>
  </si>
  <si>
    <t>NPV Vốn chủ đầu tư</t>
  </si>
  <si>
    <t>IRR Vốn chủ đầu tư</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</si>
  <si>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</si>
  <si>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</si>
  <si>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sản phẩm (hàng hóa, thành phẩm, dịch vụ kinh doanh)</t>
  </si>
  <si>
    <t>Liệt kê danh sách sản phẩm (hàng hóa, thành phẩm, dịch vụ kinh doanh) &amp; dự kiến sản lượng bán từng đơn vị sản phẩm từng tháng trong năm, tham khảo tốc độ tăng trưởng trên</t>
  </si>
  <si>
    <t>Dự kiến tỷ lệ giá trị chiết khấu, giảm giá, khuyến mãi trung bình trên doanh thu tổng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</si>
  <si>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</si>
  <si>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</si>
  <si>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</si>
  <si>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</si>
  <si>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</si>
  <si>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</si>
  <si>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</si>
  <si>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</si>
  <si>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</si>
  <si>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</si>
  <si>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</si>
  <si>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</si>
  <si>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</si>
  <si>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</si>
  <si>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</si>
  <si>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</si>
  <si>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</si>
  <si>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</si>
  <si>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</si>
  <si>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</si>
  <si>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</si>
  <si>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</si>
  <si>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</si>
  <si>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</si>
  <si>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</si>
  <si>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</si>
  <si>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</si>
  <si>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Liệt kê danh sách sản phẩm và tỷ lệ hoa hồng áp dụng cho từng đơn vị được áp dụng</t>
  </si>
  <si>
    <t>Liệt kê danh sách sản phẩm. Chi phí hoa hồng được tự động tính toán</t>
  </si>
  <si>
    <t>Kế hoạch chi phí nhân sự (+ bảo hiểm)</t>
  </si>
  <si>
    <t>Dòng tiền đầu tư và thanh lý TSCĐ</t>
  </si>
  <si>
    <t>Liệt kê danh sách TSCĐ dự kiến chi trả tiền đầu tư (giá trị âm) hay thu tiền thanh lý (giá trị dương)</t>
  </si>
  <si>
    <t>Liệt kê danh sách các khoản đầu tư tài chính dự kiến đầu tư (giá trị âm)</t>
  </si>
  <si>
    <t>Dòng tiền đầu tư tài chính</t>
  </si>
  <si>
    <t>Liệt kê danh sách các khoản đầu tư tài chính dự kiến thu hồi (giá trị dương)</t>
  </si>
  <si>
    <t>Dòng tiền huy động vốn vay</t>
  </si>
  <si>
    <t>Liệt kê danh sách các khoản vay dự kiến có thể huy động thêm (giá trị dương)</t>
  </si>
  <si>
    <t>Dòng tiền huy động vốn góp</t>
  </si>
  <si>
    <t>Liệt kê danh sách các khoản vốn góp dự kiến có thể huy động thêm (giá trị dương)</t>
  </si>
  <si>
    <t>Dòng tiền thu hồi từ đầu tư tài chính</t>
  </si>
  <si>
    <t xml:space="preserve"> Total </t>
  </si>
  <si>
    <t xml:space="preserve">  Total  </t>
  </si>
  <si>
    <t xml:space="preserve">   Total   </t>
  </si>
  <si>
    <t xml:space="preserve">    Total    </t>
  </si>
  <si>
    <t xml:space="preserve">     Total     </t>
  </si>
  <si>
    <t xml:space="preserve">      Total      </t>
  </si>
  <si>
    <t>Tăng trưởng dòng tiền kỳ vọng</t>
  </si>
  <si>
    <t>Tỷ suất lợi nhuận yêu cầu</t>
  </si>
  <si>
    <t>PIybEyHvvhO7Rf2wifv7O0bHv5bzw64DdDUJ</t>
  </si>
  <si>
    <r>
      <t>Mục lục</t>
    </r>
    <r>
      <rPr>
        <sz val="24"/>
        <color theme="8"/>
        <rFont val="Calibri"/>
        <family val="2"/>
      </rPr>
      <t>↓</t>
    </r>
  </si>
  <si>
    <r>
      <t xml:space="preserve">Hướng dẫn sử dụng </t>
    </r>
    <r>
      <rPr>
        <sz val="24"/>
        <color theme="8"/>
        <rFont val="Calibri"/>
        <family val="2"/>
      </rPr>
      <t>→</t>
    </r>
  </si>
  <si>
    <t>LINK</t>
  </si>
  <si>
    <t>VAY4</t>
  </si>
  <si>
    <t>D</t>
  </si>
  <si>
    <t>Một lần</t>
  </si>
  <si>
    <t>VAY3</t>
  </si>
  <si>
    <t>C</t>
  </si>
  <si>
    <t>VAY2</t>
  </si>
  <si>
    <t>B</t>
  </si>
  <si>
    <t>Theo tháng</t>
  </si>
  <si>
    <t>VAY1</t>
  </si>
  <si>
    <t>Theo năm</t>
  </si>
  <si>
    <t>Grand Total</t>
  </si>
  <si>
    <t>2025</t>
  </si>
  <si>
    <t>2026</t>
  </si>
  <si>
    <t>2027</t>
  </si>
  <si>
    <t>Feb</t>
  </si>
  <si>
    <t>Apr</t>
  </si>
  <si>
    <t>May</t>
  </si>
  <si>
    <t>Jun</t>
  </si>
  <si>
    <t>Jul</t>
  </si>
  <si>
    <t>Aug</t>
  </si>
  <si>
    <t>Sep</t>
  </si>
  <si>
    <t>Oct</t>
  </si>
  <si>
    <t>Gốc</t>
  </si>
  <si>
    <t>Lãi</t>
  </si>
  <si>
    <t>(All)</t>
  </si>
  <si>
    <t xml:space="preserve">Năm </t>
  </si>
  <si>
    <t xml:space="preserve">Tháng </t>
  </si>
  <si>
    <t xml:space="preserve">Lãi vay </t>
  </si>
  <si>
    <t>(Multiple Items)</t>
  </si>
  <si>
    <t>TS6</t>
  </si>
  <si>
    <t>TS5</t>
  </si>
  <si>
    <t>TS4</t>
  </si>
  <si>
    <t>TS3</t>
  </si>
  <si>
    <t>TS2</t>
  </si>
  <si>
    <t>TS1</t>
  </si>
  <si>
    <t>Số ngày vận hành</t>
  </si>
  <si>
    <t>Khấu hao lũy kế theo ngày</t>
  </si>
  <si>
    <t>Tỷ lệ khấu hao</t>
  </si>
  <si>
    <t>Giá trị còn lại</t>
  </si>
  <si>
    <t>Số ngày còn lại</t>
  </si>
  <si>
    <t>Khấu hao lũy kế</t>
  </si>
  <si>
    <t xml:space="preserve">Tỷ lệ khấu hao </t>
  </si>
  <si>
    <t>CHI TIẾT TÀI SẢN</t>
  </si>
  <si>
    <t>GIÁ TRỊ KHẤU HAO THÁNG</t>
  </si>
  <si>
    <t>TỶ LỆ KHẤU HAO HIỆN TẠI</t>
  </si>
  <si>
    <t>NGÀY KẾT THÚC KHẤU HAO</t>
  </si>
  <si>
    <t>SỐ NGÀY KHẤU HAO CÒN LẠI</t>
  </si>
  <si>
    <t>GIÁ TRỊ ĐẦU TƯ BAN ĐẦU</t>
  </si>
  <si>
    <t>2023</t>
  </si>
  <si>
    <t>2024</t>
  </si>
  <si>
    <t>Nov</t>
  </si>
  <si>
    <t>Dec</t>
  </si>
  <si>
    <t>Jan</t>
  </si>
  <si>
    <t>Mar</t>
  </si>
  <si>
    <t xml:space="preserve">Khấu hao Bán hàng </t>
  </si>
  <si>
    <t xml:space="preserve">Khấu hao Sản xuất </t>
  </si>
  <si>
    <t xml:space="preserve">Khấu hao Quản lý </t>
  </si>
  <si>
    <t>HH1</t>
  </si>
  <si>
    <t>TP1</t>
  </si>
  <si>
    <t>TP2</t>
  </si>
  <si>
    <t>NL2</t>
  </si>
  <si>
    <t>NL1</t>
  </si>
  <si>
    <t>Nhập</t>
  </si>
  <si>
    <t>Kho1</t>
  </si>
  <si>
    <t>Column Labels</t>
  </si>
  <si>
    <t>Tồn cuối kỳ</t>
  </si>
  <si>
    <t>NCC1</t>
  </si>
  <si>
    <t>NCC2</t>
  </si>
  <si>
    <t>NCC3</t>
  </si>
  <si>
    <t>NHAP-NCC2-250304-</t>
  </si>
  <si>
    <t>NHAP-NCC1-250306-</t>
  </si>
  <si>
    <t>NHAP-NCC3-250312-</t>
  </si>
  <si>
    <t>NHAP-NCC2-250314-</t>
  </si>
  <si>
    <t>NHAP-NCC1-250316-</t>
  </si>
  <si>
    <t>NHAP-NCC1-250321-</t>
  </si>
  <si>
    <t>NHAP-NCC2-250328-</t>
  </si>
  <si>
    <t>NHAP-NCC1-250417-</t>
  </si>
  <si>
    <t>NHAP-NCC3-250420-</t>
  </si>
  <si>
    <t>NHAP-NCC2-250425-</t>
  </si>
  <si>
    <t>NHAP-NCC1-250428-</t>
  </si>
  <si>
    <t>NHAP-NCC2-250501-</t>
  </si>
  <si>
    <t>NHAP-NCC1-250505-</t>
  </si>
  <si>
    <t>NHAP-NCC2-250511-</t>
  </si>
  <si>
    <t>NHAP-NCC2-250520-</t>
  </si>
  <si>
    <t>NHAP-NCC2-250523-</t>
  </si>
  <si>
    <t>NHAP-NCC3-250525-</t>
  </si>
  <si>
    <t>NHAP-NCC2-250527-</t>
  </si>
  <si>
    <t>NHAP-NCC1-250528-</t>
  </si>
  <si>
    <t>Tồn kho cuối kỳ</t>
  </si>
  <si>
    <t>Giá vốn cuối kỳ</t>
  </si>
  <si>
    <t>Values</t>
  </si>
  <si>
    <t>Tồn kho chưa tiêu thụ</t>
  </si>
  <si>
    <t>Tồn kho giá vốn thành phẩm</t>
  </si>
  <si>
    <t>Đầu vào</t>
  </si>
  <si>
    <t>kWh</t>
  </si>
  <si>
    <t>Giá vốn bình quân</t>
  </si>
  <si>
    <t xml:space="preserve">Giá vốn bình quân </t>
  </si>
  <si>
    <t>Lit</t>
  </si>
  <si>
    <t>Điện</t>
  </si>
  <si>
    <t>Cần đặt</t>
  </si>
  <si>
    <t>Thực tế</t>
  </si>
  <si>
    <t xml:space="preserve">Hiệu quả </t>
  </si>
  <si>
    <t>Dự phòng tồn kho</t>
  </si>
  <si>
    <t>KH1</t>
  </si>
  <si>
    <t>KH2</t>
  </si>
  <si>
    <t>KH3</t>
  </si>
  <si>
    <t>BAN-KH2-250313-</t>
  </si>
  <si>
    <t>BAN-KH2-250319-</t>
  </si>
  <si>
    <t>BAN-KH1-250320-</t>
  </si>
  <si>
    <t>BAN-KH3-250325-</t>
  </si>
  <si>
    <t>BAN-KH1-250327-</t>
  </si>
  <si>
    <t>BAN-KH2-250330-</t>
  </si>
  <si>
    <t>BAN-KH1-250403-</t>
  </si>
  <si>
    <t>BAN-KH2-250408-</t>
  </si>
  <si>
    <t>BAN-KH3-250409-</t>
  </si>
  <si>
    <t>BAN-KH1-250411-</t>
  </si>
  <si>
    <t>BAN-KH2-250414-</t>
  </si>
  <si>
    <t>BAN-KH2-250415-</t>
  </si>
  <si>
    <t>BAN-KH3-250417-</t>
  </si>
  <si>
    <t>BAN-KH2-250424-</t>
  </si>
  <si>
    <t>BAN-KH2-250427-</t>
  </si>
  <si>
    <t>BAN-KH3-250429-</t>
  </si>
  <si>
    <t>BAN-KH3-250430-</t>
  </si>
  <si>
    <t>BAN-KH2-250502-</t>
  </si>
  <si>
    <t>BAN-KH1-250507-</t>
  </si>
  <si>
    <t>BAN-KH1-250509-</t>
  </si>
  <si>
    <t>BAN-KH2-250515-</t>
  </si>
  <si>
    <t>BAN-KH1-250516-</t>
  </si>
  <si>
    <t>BAN-KH1-250519-</t>
  </si>
  <si>
    <t>BAN-KH3-250531-</t>
  </si>
  <si>
    <t>03-2025</t>
  </si>
  <si>
    <t>04-2025</t>
  </si>
  <si>
    <t>05-2025</t>
  </si>
  <si>
    <t>THU</t>
  </si>
  <si>
    <t>TK1</t>
  </si>
  <si>
    <t>CHI</t>
  </si>
  <si>
    <t>Dự phòng</t>
  </si>
  <si>
    <t>Nghỉ phép</t>
  </si>
  <si>
    <t>Nghỉ phép năm</t>
  </si>
  <si>
    <t>Ngày nghỉ phép - Còn</t>
  </si>
  <si>
    <t>Ngày nghỉ phép</t>
  </si>
  <si>
    <t>Hạn sử dụng</t>
  </si>
  <si>
    <t>Người phụ thuộc</t>
  </si>
  <si>
    <t>Nhà cung cấp</t>
  </si>
  <si>
    <t>Hàng</t>
  </si>
  <si>
    <t>Người bán</t>
  </si>
  <si>
    <t>Giá trị nhập mua</t>
  </si>
  <si>
    <t>Ngày ship mua</t>
  </si>
  <si>
    <t>Ngày ship</t>
  </si>
  <si>
    <t>Giá trung bình</t>
  </si>
  <si>
    <t>Lượng đặt</t>
  </si>
  <si>
    <t>Còn lại</t>
  </si>
  <si>
    <t>Giá trị dự phòng</t>
  </si>
  <si>
    <t>Giá trị tồn</t>
  </si>
  <si>
    <t>Giá trị nợ</t>
  </si>
  <si>
    <t>Tỷ lệ sản xuất</t>
  </si>
  <si>
    <t>Phân bổ sản xuất</t>
  </si>
  <si>
    <t>EVN</t>
  </si>
  <si>
    <t>NSG</t>
  </si>
  <si>
    <t>Nước Sài Gòn</t>
  </si>
  <si>
    <t>O&amp;M</t>
  </si>
  <si>
    <t>Dịch vụ O&amp;M</t>
  </si>
  <si>
    <t>Ad1</t>
  </si>
  <si>
    <t>Dịch vụ quảng cáo</t>
  </si>
  <si>
    <t>Agency1</t>
  </si>
  <si>
    <t>Dịch vụ marketing</t>
  </si>
  <si>
    <t>Soft1</t>
  </si>
  <si>
    <t>Phần mềm quản lý 1</t>
  </si>
  <si>
    <t>Secu</t>
  </si>
  <si>
    <t>Dịch vụ an ninh</t>
  </si>
  <si>
    <t>MT</t>
  </si>
  <si>
    <t>Phí môi trường</t>
  </si>
  <si>
    <t>Đầu tư Máy móc - Thiết bị</t>
  </si>
  <si>
    <t xml:space="preserve"> </t>
  </si>
  <si>
    <t>Doanh thu chưa phân phối</t>
  </si>
  <si>
    <t>4C68A711-89BE-412A-BD2D-CB33771CC62D</t>
  </si>
  <si>
    <t>EASY-33329183463</t>
  </si>
  <si>
    <t>Kế hoạch doanh thu gộp</t>
  </si>
  <si>
    <t>Quan ly Luu kho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</si>
</sst>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_(* \(#,##0.00\);_(* &quot;-&quot;??_);_(@_)"/>
    <numFmt numFmtId="164" formatCode="_(* #,##0_);_(* \(#,##0\);_(* &quot;-&quot;??_);_(@_)"/>
    <numFmt numFmtId="165" formatCode="0.0%"/>
    <numFmt numFmtId="166" formatCode="mm\-yyyy"/>
    <numFmt numFmtId="167" formatCode="mm/yyyy"/>
    <numFmt numFmtId="168" formatCode="d/m/yyyy"/>
    <numFmt numFmtId="169" formatCode="0.0"/>
    <numFmt numFmtId="170" formatCode="m\-yyyy"/>
    <numFmt numFmtId="171" formatCode="m/yyyy"/>
    <numFmt numFmtId="172" formatCode="_(* #,##0.0000_);_(* \(#,##0.0000\);_(* &quot;-&quot;??_);_(@_)"/>
    <numFmt numFmtId="173" formatCode="[$-1010000]d/m/yyyy;@"/>
    <numFmt numFmtId="174" formatCode="_(#,##0_);_(\(#,##0\);_(\-_);_(@_)"/>
    <numFmt numFmtId="175" formatCode="dd/mm/yyyy"/>
    <numFmt numFmtId="176" formatCode="h:mm;@"/>
    <numFmt numFmtId="177" formatCode="[$-1000000]h:mm:ss;@"/>
    <numFmt numFmtId="178" formatCode="dd"/>
    <numFmt numFmtId="179" formatCode="mm"/>
  </numFmts>
  <fonts count="66" x14ac:knownFonts="1">
    <font>
      <sz val="11"/>
      <color theme="1"/>
      <name val="Segoe UI Light"/>
      <family val="2"/>
      <scheme val="minor"/>
    </font>
    <font>
      <sz val="11"/>
      <color theme="1"/>
      <name val="Segoe UI Light"/>
      <family val="2"/>
      <scheme val="minor"/>
    </font>
    <font>
      <sz val="12"/>
      <color theme="1"/>
      <name val="Segoe UI Light"/>
      <family val="2"/>
      <scheme val="minor"/>
    </font>
    <font>
      <sz val="24"/>
      <color theme="1"/>
      <name val="Segoe UI Light"/>
      <family val="2"/>
      <scheme val="minor"/>
    </font>
    <font>
      <b/>
      <sz val="12"/>
      <color theme="1"/>
      <name val="Segoe UI Light"/>
      <family val="2"/>
      <scheme val="minor"/>
    </font>
    <font>
      <sz val="24"/>
      <color theme="8"/>
      <name val="Segoe UI"/>
      <family val="2"/>
      <scheme val="major"/>
    </font>
    <font>
      <b/>
      <sz val="18"/>
      <color theme="5"/>
      <name val="Segoe UI"/>
      <family val="2"/>
      <scheme val="major"/>
    </font>
    <font>
      <b/>
      <sz val="12"/>
      <color theme="0"/>
      <name val="Segoe UI Light"/>
      <family val="2"/>
      <scheme val="minor"/>
    </font>
    <font>
      <b/>
      <sz val="12"/>
      <color theme="0"/>
      <name val="Segoe UI"/>
      <family val="2"/>
      <scheme val="major"/>
    </font>
    <font>
      <sz val="12"/>
      <color theme="0"/>
      <name val="Segoe UI Light"/>
      <family val="2"/>
      <scheme val="minor"/>
    </font>
    <font>
      <i/>
      <sz val="12"/>
      <color theme="1"/>
      <name val="Segoe UI Light"/>
      <family val="2"/>
      <scheme val="minor"/>
    </font>
    <font>
      <sz val="8"/>
      <color theme="1"/>
      <name val="Segoe UI Light"/>
      <family val="2"/>
      <scheme val="minor"/>
    </font>
    <font>
      <b/>
      <sz val="8"/>
      <color theme="0"/>
      <name val="Segoe UI Light"/>
      <family val="2"/>
      <scheme val="minor"/>
    </font>
    <font>
      <i/>
      <u/>
      <sz val="12"/>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b/>
      <sz val="12"/>
      <color theme="9"/>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sz val="8"/>
      <color theme="8"/>
      <name val="Segoe UI Light"/>
      <family val="2"/>
      <scheme val="minor"/>
    </font>
    <font>
      <b/>
      <sz val="8"/>
      <color theme="8"/>
      <name val="Segoe UI Light"/>
      <family val="2"/>
      <scheme val="minor"/>
    </font>
    <font>
      <b/>
      <i/>
      <sz val="8"/>
      <color theme="1"/>
      <name val="Segoe UI Light"/>
      <family val="2"/>
      <scheme val="minor"/>
    </font>
    <font>
      <sz val="8"/>
      <name val="Segoe UI Light"/>
      <family val="2"/>
    </font>
    <font>
      <sz val="8"/>
      <color theme="9"/>
      <name val="Segoe UI Light"/>
      <family val="2"/>
    </font>
    <font>
      <b/>
      <i/>
      <sz val="8"/>
      <color theme="1"/>
      <name val="Segoe UI Light"/>
      <family val="2"/>
    </font>
    <font>
      <b/>
      <i/>
      <sz val="8"/>
      <color theme="8"/>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8"/>
      <color theme="6" tint="0.79998168889431442"/>
      <name val="Segoe UI Light"/>
      <family val="2"/>
      <scheme val="minor"/>
    </font>
    <font>
      <i/>
      <sz val="8"/>
      <name val="Segoe UI Light"/>
      <family val="2"/>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sz val="11"/>
      <color theme="9"/>
      <name val="Segoe UI Light"/>
      <family val="2"/>
      <scheme val="minor"/>
    </font>
    <font>
      <b/>
      <sz val="11"/>
      <color theme="8"/>
      <name val="Segoe UI Light"/>
      <family val="2"/>
      <scheme val="minor"/>
    </font>
    <font>
      <sz val="8"/>
      <color rgb="FF000000"/>
      <name val="Segoe UI"/>
      <family val="2"/>
    </font>
    <font>
      <sz val="14"/>
      <color theme="8"/>
      <name val="Segoe UI"/>
      <family val="2"/>
      <scheme val="major"/>
    </font>
    <font>
      <sz val="11"/>
      <color theme="0"/>
      <name val="Segoe UI Light"/>
      <family val="2"/>
      <scheme val="minor"/>
    </font>
    <font>
      <b/>
      <sz val="18"/>
      <color theme="0"/>
      <name val="Segoe UI"/>
      <family val="2"/>
      <scheme val="major"/>
    </font>
    <font>
      <sz val="12"/>
      <name val="Segoe UI Light"/>
      <family val="2"/>
      <scheme val="minor"/>
    </font>
    <font>
      <i/>
      <sz val="12"/>
      <name val="Segoe UI Light"/>
      <family val="2"/>
      <scheme val="minor"/>
    </font>
    <font>
      <b/>
      <sz val="12"/>
      <name val="Segoe UI Light"/>
      <family val="2"/>
      <scheme val="minor"/>
    </font>
    <font>
      <sz val="10"/>
      <color theme="1"/>
      <name val="Segoe UI Light"/>
      <family val="2"/>
      <scheme val="minor"/>
    </font>
    <font>
      <sz val="10"/>
      <color theme="1"/>
      <name val="Code 128"/>
    </font>
    <font>
      <sz val="10"/>
      <name val="Segoe UI Light"/>
      <family val="2"/>
      <scheme val="minor"/>
    </font>
    <font>
      <b/>
      <sz val="10"/>
      <color theme="1"/>
      <name val="Segoe UI Light"/>
      <family val="2"/>
      <scheme val="minor"/>
    </font>
    <font>
      <sz val="10"/>
      <color theme="1"/>
      <name val="IDAutomationC128XS"/>
    </font>
    <font>
      <sz val="24"/>
      <color theme="1"/>
      <name val="IDAutomationC128XS"/>
    </font>
    <font>
      <b/>
      <sz val="8"/>
      <color rgb="FF000000"/>
      <name val="Segoe UI Light"/>
      <family val="2"/>
    </font>
    <font>
      <sz val="11"/>
      <color rgb="FF000000"/>
      <name val="Segoe UI Light"/>
      <family val="2"/>
    </font>
    <font>
      <sz val="8"/>
      <color theme="9" tint="-0.499984740745262"/>
      <name val="Segoe UI Light"/>
      <family val="2"/>
      <scheme val="minor"/>
    </font>
    <font>
      <b/>
      <sz val="8"/>
      <color theme="9" tint="-0.499984740745262"/>
      <name val="Segoe UI Light"/>
      <family val="2"/>
      <scheme val="minor"/>
    </font>
    <font>
      <u/>
      <sz val="12"/>
      <color theme="1"/>
      <name val="Segoe UI Light"/>
      <family val="2"/>
      <scheme val="minor"/>
    </font>
    <font>
      <sz val="24"/>
      <color theme="8"/>
      <name val="Calibri"/>
      <family val="2"/>
    </font>
    <font>
      <b/>
      <sz val="14"/>
      <color theme="6"/>
      <name val="Segoe UI Light"/>
      <family val="2"/>
      <scheme val="minor"/>
    </font>
    <font>
      <b/>
      <sz val="11"/>
      <color theme="9" tint="-0.499984740745262"/>
      <name val="Segoe UI Light"/>
      <family val="2"/>
      <scheme val="minor"/>
    </font>
    <font>
      <b/>
      <sz val="14"/>
      <color theme="9" tint="-0.499984740745262"/>
      <name val="Segoe UI Light"/>
      <family val="2"/>
      <scheme val="minor"/>
    </font>
    <font>
      <b/>
      <sz val="14"/>
      <color theme="0"/>
      <name val="Segoe UI Light"/>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5" tint="-0.249977111117893"/>
        <bgColor indexed="64"/>
      </patternFill>
    </fill>
    <fill>
      <patternFill patternType="solid">
        <fgColor theme="5"/>
        <bgColor theme="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79998168889431442"/>
        <bgColor theme="5" tint="0.79998168889431442"/>
      </patternFill>
    </fill>
  </fills>
  <borders count="28">
    <border>
      <left/>
      <right/>
      <top/>
      <bottom/>
      <diagonal/>
    </border>
    <border>
      <left/>
      <right/>
      <top/>
      <bottom style="thin">
        <color theme="7"/>
      </bottom>
      <diagonal/>
    </border>
    <border>
      <left/>
      <right style="thin">
        <color theme="7"/>
      </right>
      <top style="thin">
        <color theme="7"/>
      </top>
      <bottom/>
      <diagonal/>
    </border>
    <border>
      <left/>
      <right style="thin">
        <color theme="7"/>
      </right>
      <top/>
      <bottom/>
      <diagonal/>
    </border>
    <border>
      <left style="thin">
        <color theme="7"/>
      </left>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diagonal/>
    </border>
    <border>
      <left/>
      <right/>
      <top style="thin">
        <color theme="7"/>
      </top>
      <bottom/>
      <diagonal/>
    </border>
    <border>
      <left style="thin">
        <color theme="7"/>
      </left>
      <right/>
      <top/>
      <bottom/>
      <diagonal/>
    </border>
    <border>
      <left style="thin">
        <color theme="7"/>
      </left>
      <right/>
      <top/>
      <bottom style="thin">
        <color theme="7"/>
      </bottom>
      <diagonal/>
    </border>
    <border>
      <left/>
      <right style="thin">
        <color theme="7"/>
      </right>
      <top/>
      <bottom style="thin">
        <color theme="7"/>
      </bottom>
      <diagonal/>
    </border>
    <border>
      <left/>
      <right/>
      <top/>
      <bottom style="thin">
        <color theme="5" tint="0.39997558519241921"/>
      </bottom>
      <diagonal/>
    </border>
    <border>
      <left/>
      <right/>
      <top style="thin">
        <color theme="5" tint="0.39997558519241921"/>
      </top>
      <bottom/>
      <diagonal/>
    </border>
    <border>
      <left/>
      <right/>
      <top style="thin">
        <color theme="5"/>
      </top>
      <bottom/>
      <diagonal/>
    </border>
    <border>
      <left style="thin">
        <color theme="5" tint="0.39997558519241921"/>
      </left>
      <right/>
      <top style="thin">
        <color theme="5" tint="0.39997558519241921"/>
      </top>
      <bottom style="thin">
        <color theme="5" tint="0.39997558519241921"/>
      </bottom>
      <diagonal/>
    </border>
    <border>
      <left style="thin">
        <color theme="5"/>
      </left>
      <right style="thin">
        <color theme="5"/>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7"/>
      </left>
      <right style="thin">
        <color theme="7"/>
      </right>
      <top style="thin">
        <color theme="7"/>
      </top>
      <bottom style="thin">
        <color theme="7"/>
      </bottom>
      <diagonal/>
    </border>
    <border>
      <left style="thin">
        <color theme="5" tint="0.39994506668294322"/>
      </left>
      <right/>
      <top style="thin">
        <color theme="5" tint="0.39997558519241921"/>
      </top>
      <bottom style="thin">
        <color theme="5" tint="0.39997558519241921"/>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5" tint="0.39997558519241921"/>
      </left>
      <right/>
      <top/>
      <bottom style="thin">
        <color theme="5"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2">
    <xf numFmtId="0" fontId="0" fillId="0" borderId="0" xfId="0"/>
    <xf numFmtId="0" fontId="2"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164" fontId="15" fillId="0" borderId="0" xfId="1" applyNumberFormat="1" applyFont="1" applyFill="1" applyBorder="1" applyAlignment="1" applyProtection="1">
      <alignment horizontal="center" vertical="center"/>
      <protection locked="0" hidden="1"/>
    </xf>
    <xf numFmtId="0" fontId="15" fillId="0" borderId="0" xfId="0" applyFont="1" applyAlignment="1" applyProtection="1">
      <alignment horizontal="center" vertical="center"/>
      <protection locked="0" hidden="1"/>
    </xf>
    <xf numFmtId="0" fontId="10" fillId="0" borderId="0" xfId="0" applyFont="1" applyAlignment="1" applyProtection="1">
      <alignment vertical="center"/>
      <protection locked="0" hidden="1"/>
    </xf>
    <xf numFmtId="0" fontId="4"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164" fontId="11" fillId="0" borderId="0" xfId="1" applyNumberFormat="1" applyFont="1" applyAlignment="1" applyProtection="1">
      <alignment horizontal="right" vertical="center"/>
      <protection locked="0" hidden="1"/>
    </xf>
    <xf numFmtId="164" fontId="24"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9" fontId="11" fillId="0" borderId="0" xfId="0" applyNumberFormat="1" applyFont="1" applyAlignment="1" applyProtection="1">
      <alignment horizontal="center" vertical="center"/>
      <protection locked="0" hidden="1"/>
    </xf>
    <xf numFmtId="14" fontId="11" fillId="0" borderId="0" xfId="0" applyNumberFormat="1" applyFont="1" applyAlignment="1" applyProtection="1">
      <alignment vertical="center"/>
      <protection locked="0" hidden="1"/>
    </xf>
    <xf numFmtId="164" fontId="11" fillId="0" borderId="0" xfId="1" applyNumberFormat="1" applyFont="1" applyAlignment="1" applyProtection="1">
      <alignment vertical="center"/>
      <protection locked="0" hidden="1"/>
    </xf>
    <xf numFmtId="171" fontId="11" fillId="0" borderId="0" xfId="0" applyNumberFormat="1" applyFont="1" applyAlignment="1" applyProtection="1">
      <alignment horizontal="center" vertical="center"/>
      <protection locked="0" hidden="1"/>
    </xf>
    <xf numFmtId="164" fontId="17" fillId="0" borderId="0" xfId="1" applyNumberFormat="1" applyFont="1" applyFill="1" applyAlignment="1" applyProtection="1">
      <alignment vertical="center"/>
      <protection locked="0" hidden="1"/>
    </xf>
    <xf numFmtId="164" fontId="17" fillId="0" borderId="0" xfId="1" applyNumberFormat="1" applyFont="1" applyAlignment="1" applyProtection="1">
      <alignment vertical="center"/>
      <protection locked="0" hidden="1"/>
    </xf>
    <xf numFmtId="166" fontId="15" fillId="0" borderId="0" xfId="1" applyNumberFormat="1" applyFont="1" applyFill="1" applyBorder="1" applyAlignment="1" applyProtection="1">
      <alignment horizontal="center" vertical="center"/>
      <protection locked="0" hidden="1"/>
    </xf>
    <xf numFmtId="166" fontId="15" fillId="0" borderId="0" xfId="0" applyNumberFormat="1" applyFont="1" applyAlignment="1" applyProtection="1">
      <alignment horizontal="center" vertical="center"/>
      <protection locked="0" hidden="1"/>
    </xf>
    <xf numFmtId="0" fontId="14" fillId="0" borderId="0" xfId="0" applyFont="1" applyAlignment="1" applyProtection="1">
      <alignment vertical="center"/>
      <protection locked="0" hidden="1"/>
    </xf>
    <xf numFmtId="164" fontId="11" fillId="0" borderId="0" xfId="0" applyNumberFormat="1" applyFont="1" applyAlignment="1" applyProtection="1">
      <alignment vertical="center"/>
      <protection locked="0" hidden="1"/>
    </xf>
    <xf numFmtId="0" fontId="15" fillId="5" borderId="0" xfId="1" applyNumberFormat="1" applyFont="1" applyFill="1" applyAlignment="1" applyProtection="1">
      <alignment horizontal="center" vertical="center"/>
      <protection locked="0" hidden="1"/>
    </xf>
    <xf numFmtId="0" fontId="11" fillId="5" borderId="0" xfId="1" applyNumberFormat="1" applyFont="1" applyFill="1" applyAlignment="1" applyProtection="1">
      <alignment vertical="center"/>
      <protection locked="0" hidden="1"/>
    </xf>
    <xf numFmtId="0" fontId="14" fillId="0" borderId="0" xfId="0" applyFont="1" applyAlignment="1" applyProtection="1">
      <alignment horizontal="right" vertical="center"/>
      <protection locked="0" hidden="1"/>
    </xf>
    <xf numFmtId="0" fontId="14" fillId="5" borderId="0" xfId="0" applyFont="1" applyFill="1" applyAlignment="1" applyProtection="1">
      <alignment horizontal="center" vertical="center"/>
      <protection locked="0" hidden="1"/>
    </xf>
    <xf numFmtId="0" fontId="11" fillId="0" borderId="0" xfId="0" applyFont="1" applyAlignment="1" applyProtection="1">
      <alignment horizontal="right" vertical="center"/>
      <protection locked="0" hidden="1"/>
    </xf>
    <xf numFmtId="0" fontId="17" fillId="0" borderId="0" xfId="0" applyFont="1" applyAlignment="1" applyProtection="1">
      <alignment vertical="center"/>
      <protection locked="0" hidden="1"/>
    </xf>
    <xf numFmtId="164" fontId="17" fillId="0" borderId="0" xfId="0" applyNumberFormat="1" applyFont="1" applyAlignment="1" applyProtection="1">
      <alignment vertical="center"/>
      <protection locked="0" hidden="1"/>
    </xf>
    <xf numFmtId="165" fontId="11" fillId="0" borderId="0" xfId="0" applyNumberFormat="1" applyFont="1" applyAlignment="1" applyProtection="1">
      <alignment vertical="center"/>
      <protection locked="0" hidden="1"/>
    </xf>
    <xf numFmtId="9" fontId="11" fillId="0" borderId="0" xfId="0" applyNumberFormat="1" applyFont="1" applyAlignment="1" applyProtection="1">
      <alignment vertical="center"/>
      <protection locked="0" hidden="1"/>
    </xf>
    <xf numFmtId="9" fontId="11" fillId="0" borderId="0" xfId="2" applyFont="1" applyFill="1" applyAlignment="1" applyProtection="1">
      <alignment horizontal="center" vertical="center"/>
      <protection locked="0" hidden="1"/>
    </xf>
    <xf numFmtId="166" fontId="17" fillId="0" borderId="0" xfId="0" applyNumberFormat="1" applyFont="1" applyAlignment="1" applyProtection="1">
      <alignment vertical="center"/>
      <protection locked="0" hidden="1"/>
    </xf>
    <xf numFmtId="164" fontId="14" fillId="0" borderId="0" xfId="1" applyNumberFormat="1" applyFont="1" applyAlignment="1" applyProtection="1">
      <alignment vertical="center"/>
      <protection locked="0" hidden="1"/>
    </xf>
    <xf numFmtId="164" fontId="25" fillId="0" borderId="0" xfId="0" applyNumberFormat="1" applyFont="1" applyAlignment="1" applyProtection="1">
      <alignment vertical="center"/>
      <protection locked="0" hidden="1"/>
    </xf>
    <xf numFmtId="0" fontId="17" fillId="0" borderId="0" xfId="0" applyFont="1" applyAlignment="1" applyProtection="1">
      <alignment horizontal="center" vertical="center"/>
      <protection locked="0" hidden="1"/>
    </xf>
    <xf numFmtId="9" fontId="17" fillId="0" borderId="0" xfId="2" applyFont="1" applyAlignment="1" applyProtection="1">
      <alignment horizontal="center" vertical="center"/>
      <protection locked="0" hidden="1"/>
    </xf>
    <xf numFmtId="0" fontId="0" fillId="0" borderId="0" xfId="0" applyProtection="1">
      <protection locked="0" hidden="1"/>
    </xf>
    <xf numFmtId="0" fontId="12" fillId="4" borderId="14" xfId="0" applyFont="1" applyFill="1" applyBorder="1" applyAlignment="1" applyProtection="1">
      <alignment vertical="center"/>
      <protection locked="0" hidden="1"/>
    </xf>
    <xf numFmtId="0" fontId="0" fillId="0" borderId="0" xfId="0" applyAlignment="1" applyProtection="1">
      <alignment vertical="center"/>
      <protection locked="0" hidden="1"/>
    </xf>
    <xf numFmtId="0" fontId="15" fillId="0" borderId="0" xfId="0" applyFont="1" applyAlignment="1" applyProtection="1">
      <alignment vertical="center"/>
      <protection locked="0" hidden="1"/>
    </xf>
    <xf numFmtId="0" fontId="12" fillId="0" borderId="11" xfId="0" applyFont="1" applyBorder="1" applyAlignment="1" applyProtection="1">
      <alignment vertical="center"/>
      <protection locked="0" hidden="1"/>
    </xf>
    <xf numFmtId="9" fontId="11" fillId="0" borderId="0" xfId="2" applyFont="1" applyBorder="1" applyAlignment="1" applyProtection="1">
      <alignment vertical="center"/>
      <protection locked="0" hidden="1"/>
    </xf>
    <xf numFmtId="0" fontId="11" fillId="0" borderId="0" xfId="0" applyFont="1" applyProtection="1">
      <protection locked="0" hidden="1"/>
    </xf>
    <xf numFmtId="9" fontId="11" fillId="0" borderId="0" xfId="2" applyFont="1" applyAlignment="1" applyProtection="1">
      <alignment vertical="center"/>
      <protection locked="0" hidden="1"/>
    </xf>
    <xf numFmtId="0" fontId="22" fillId="0" borderId="0" xfId="0" applyFont="1" applyAlignment="1" applyProtection="1">
      <alignment vertical="center"/>
      <protection locked="0" hidden="1"/>
    </xf>
    <xf numFmtId="168" fontId="17" fillId="0" borderId="16" xfId="0" applyNumberFormat="1" applyFont="1" applyBorder="1" applyAlignment="1" applyProtection="1">
      <alignment vertical="center"/>
      <protection locked="0" hidden="1"/>
    </xf>
    <xf numFmtId="164" fontId="17" fillId="0" borderId="16" xfId="1" applyNumberFormat="1" applyFont="1" applyFill="1" applyBorder="1" applyAlignment="1" applyProtection="1">
      <alignment vertical="center"/>
      <protection locked="0" hidden="1"/>
    </xf>
    <xf numFmtId="166" fontId="17" fillId="0" borderId="14" xfId="0" applyNumberFormat="1" applyFont="1" applyBorder="1" applyAlignment="1" applyProtection="1">
      <alignment vertical="center"/>
      <protection locked="0" hidden="1"/>
    </xf>
    <xf numFmtId="164" fontId="18" fillId="0" borderId="0" xfId="1" applyNumberFormat="1" applyFont="1" applyAlignment="1" applyProtection="1">
      <alignment vertical="center"/>
      <protection locked="0" hidden="1"/>
    </xf>
    <xf numFmtId="0" fontId="17" fillId="0" borderId="16" xfId="0" applyFont="1" applyBorder="1" applyAlignment="1" applyProtection="1">
      <alignment vertical="center"/>
      <protection locked="0" hidden="1"/>
    </xf>
    <xf numFmtId="0" fontId="16" fillId="0" borderId="0" xfId="0" applyFont="1" applyAlignment="1" applyProtection="1">
      <alignment vertical="center"/>
      <protection locked="0" hidden="1"/>
    </xf>
    <xf numFmtId="0" fontId="19" fillId="0" borderId="0" xfId="0" applyFont="1" applyAlignment="1" applyProtection="1">
      <alignment vertical="center"/>
      <protection locked="0" hidden="1"/>
    </xf>
    <xf numFmtId="0" fontId="11" fillId="0" borderId="0" xfId="0" applyFont="1" applyAlignment="1" applyProtection="1">
      <alignment horizontal="left" vertical="center"/>
      <protection locked="0" hidden="1"/>
    </xf>
    <xf numFmtId="165" fontId="17" fillId="0" borderId="16" xfId="2" applyNumberFormat="1" applyFont="1" applyFill="1" applyBorder="1" applyAlignment="1" applyProtection="1">
      <alignment vertical="center"/>
      <protection locked="0" hidden="1"/>
    </xf>
    <xf numFmtId="0" fontId="5" fillId="0" borderId="0" xfId="0" applyFont="1" applyAlignment="1" applyProtection="1">
      <alignment vertical="center"/>
      <protection locked="0" hidden="1"/>
    </xf>
    <xf numFmtId="0" fontId="6" fillId="0" borderId="0" xfId="0" applyFont="1" applyAlignment="1" applyProtection="1">
      <alignment horizontal="right" vertical="center"/>
      <protection locked="0" hidden="1"/>
    </xf>
    <xf numFmtId="0" fontId="8" fillId="3" borderId="0" xfId="0" applyFont="1" applyFill="1" applyAlignment="1" applyProtection="1">
      <alignment vertical="center"/>
      <protection locked="0" hidden="1"/>
    </xf>
    <xf numFmtId="0" fontId="12" fillId="3" borderId="0" xfId="0" applyFont="1" applyFill="1" applyAlignment="1" applyProtection="1">
      <alignment horizontal="center" vertical="center"/>
      <protection locked="0" hidden="1"/>
    </xf>
    <xf numFmtId="0" fontId="12" fillId="3" borderId="0" xfId="0" applyFont="1" applyFill="1" applyAlignment="1" applyProtection="1">
      <alignment horizontal="center" vertical="center" wrapText="1"/>
      <protection locked="0" hidden="1"/>
    </xf>
    <xf numFmtId="0" fontId="13" fillId="0" borderId="6" xfId="0" applyFont="1" applyBorder="1" applyAlignment="1" applyProtection="1">
      <alignment vertical="center"/>
      <protection locked="0" hidden="1"/>
    </xf>
    <xf numFmtId="0" fontId="7" fillId="3" borderId="0" xfId="0" applyFont="1" applyFill="1" applyAlignment="1" applyProtection="1">
      <alignment vertical="center"/>
      <protection locked="0" hidden="1"/>
    </xf>
    <xf numFmtId="166" fontId="17" fillId="0" borderId="16" xfId="0" applyNumberFormat="1" applyFont="1" applyBorder="1" applyAlignment="1" applyProtection="1">
      <alignment vertical="center"/>
      <protection locked="0" hidden="1"/>
    </xf>
    <xf numFmtId="9" fontId="17" fillId="0" borderId="16" xfId="2" applyFont="1" applyFill="1" applyBorder="1" applyAlignment="1" applyProtection="1">
      <alignment vertical="center"/>
      <protection locked="0" hidden="1"/>
    </xf>
    <xf numFmtId="165" fontId="17" fillId="0" borderId="16" xfId="0" applyNumberFormat="1" applyFont="1" applyBorder="1" applyAlignment="1" applyProtection="1">
      <alignment vertical="center"/>
      <protection locked="0" hidden="1"/>
    </xf>
    <xf numFmtId="9" fontId="17" fillId="0" borderId="16" xfId="0" applyNumberFormat="1" applyFont="1" applyBorder="1" applyAlignment="1" applyProtection="1">
      <alignment vertical="center"/>
      <protection locked="0" hidden="1"/>
    </xf>
    <xf numFmtId="10" fontId="25" fillId="0" borderId="0" xfId="2" applyNumberFormat="1" applyFont="1" applyAlignment="1" applyProtection="1">
      <alignment vertical="center"/>
      <protection locked="0" hidden="1"/>
    </xf>
    <xf numFmtId="9" fontId="14" fillId="0" borderId="0" xfId="2" applyFont="1" applyAlignment="1" applyProtection="1">
      <alignment vertical="center"/>
      <protection locked="0" hidden="1"/>
    </xf>
    <xf numFmtId="0" fontId="26" fillId="0" borderId="0" xfId="0" applyFont="1" applyAlignment="1" applyProtection="1">
      <alignment vertical="center"/>
      <protection locked="0" hidden="1"/>
    </xf>
    <xf numFmtId="170" fontId="17" fillId="0" borderId="0" xfId="0" applyNumberFormat="1" applyFont="1" applyAlignment="1" applyProtection="1">
      <alignment vertical="center"/>
      <protection locked="0" hidden="1"/>
    </xf>
    <xf numFmtId="9" fontId="17" fillId="0" borderId="0" xfId="2" applyFont="1" applyAlignment="1" applyProtection="1">
      <alignment vertical="center"/>
      <protection locked="0" hidden="1"/>
    </xf>
    <xf numFmtId="0" fontId="19" fillId="0" borderId="0" xfId="0" applyFont="1" applyAlignment="1" applyProtection="1">
      <alignment horizontal="left" vertical="center" indent="4"/>
      <protection locked="0" hidden="1"/>
    </xf>
    <xf numFmtId="0" fontId="11" fillId="0" borderId="0" xfId="0" applyFont="1" applyAlignment="1" applyProtection="1">
      <alignment horizontal="left" vertical="center" indent="2"/>
      <protection locked="0" hidden="1"/>
    </xf>
    <xf numFmtId="0" fontId="15" fillId="0" borderId="0" xfId="0" applyFont="1" applyAlignment="1" applyProtection="1">
      <alignment horizontal="left" vertical="center"/>
      <protection locked="0" hidden="1"/>
    </xf>
    <xf numFmtId="0" fontId="15" fillId="0" borderId="0" xfId="1" applyNumberFormat="1" applyFont="1" applyFill="1" applyBorder="1" applyAlignment="1" applyProtection="1">
      <alignment horizontal="center" vertical="center"/>
      <protection locked="0" hidden="1"/>
    </xf>
    <xf numFmtId="166" fontId="15" fillId="0" borderId="0" xfId="1" applyNumberFormat="1" applyFont="1" applyFill="1" applyAlignment="1" applyProtection="1">
      <alignment horizontal="center" vertical="center"/>
      <protection locked="0" hidden="1"/>
    </xf>
    <xf numFmtId="0" fontId="23" fillId="0" borderId="0" xfId="0" applyFont="1" applyAlignment="1" applyProtection="1">
      <alignment vertical="center"/>
      <protection locked="0" hidden="1"/>
    </xf>
    <xf numFmtId="0" fontId="11" fillId="0" borderId="16" xfId="0" applyFont="1" applyBorder="1" applyAlignment="1" applyProtection="1">
      <alignment horizontal="left" vertical="center" indent="2"/>
      <protection locked="0" hidden="1"/>
    </xf>
    <xf numFmtId="0" fontId="15" fillId="0" borderId="16" xfId="0" applyFont="1" applyBorder="1" applyAlignment="1" applyProtection="1">
      <alignment horizontal="left" vertical="center"/>
      <protection locked="0" hidden="1"/>
    </xf>
    <xf numFmtId="165" fontId="11" fillId="0" borderId="0" xfId="2" applyNumberFormat="1" applyFont="1" applyFill="1" applyAlignment="1" applyProtection="1">
      <alignment horizontal="center" vertical="center"/>
      <protection locked="0" hidden="1"/>
    </xf>
    <xf numFmtId="169" fontId="11" fillId="0" borderId="0" xfId="2" applyNumberFormat="1" applyFont="1" applyFill="1" applyAlignment="1" applyProtection="1">
      <alignment horizontal="center" vertical="center"/>
      <protection locked="0" hidden="1"/>
    </xf>
    <xf numFmtId="0" fontId="15" fillId="0" borderId="12" xfId="0" applyFont="1" applyBorder="1" applyAlignment="1" applyProtection="1">
      <alignment horizontal="left" vertical="center"/>
      <protection locked="0" hidden="1"/>
    </xf>
    <xf numFmtId="0" fontId="14" fillId="5" borderId="0" xfId="1" applyNumberFormat="1" applyFont="1" applyFill="1" applyAlignment="1" applyProtection="1">
      <alignment horizontal="center" vertical="center"/>
      <protection locked="0" hidden="1"/>
    </xf>
    <xf numFmtId="166" fontId="11" fillId="0" borderId="0" xfId="0" applyNumberFormat="1" applyFont="1" applyAlignment="1" applyProtection="1">
      <alignment horizontal="center" vertical="center"/>
      <protection locked="0" hidden="1"/>
    </xf>
    <xf numFmtId="164" fontId="16" fillId="0" borderId="0" xfId="0" applyNumberFormat="1" applyFont="1" applyAlignment="1" applyProtection="1">
      <alignment vertical="center"/>
      <protection locked="0" hidden="1"/>
    </xf>
    <xf numFmtId="165" fontId="14" fillId="0" borderId="0" xfId="2" applyNumberFormat="1" applyFont="1" applyAlignment="1" applyProtection="1">
      <alignment vertical="center"/>
      <protection locked="0" hidden="1"/>
    </xf>
    <xf numFmtId="0" fontId="25" fillId="0" borderId="0" xfId="0" applyFont="1" applyAlignment="1" applyProtection="1">
      <alignment horizontal="left" vertical="center"/>
      <protection locked="0" hidden="1"/>
    </xf>
    <xf numFmtId="0" fontId="30" fillId="0" borderId="0" xfId="0" applyFont="1" applyAlignment="1" applyProtection="1">
      <alignment vertical="center"/>
      <protection locked="0" hidden="1"/>
    </xf>
    <xf numFmtId="49" fontId="2" fillId="0" borderId="0" xfId="0" applyNumberFormat="1" applyFont="1" applyAlignment="1" applyProtection="1">
      <alignment horizontal="left" vertical="center"/>
      <protection locked="0" hidden="1"/>
    </xf>
    <xf numFmtId="172" fontId="22" fillId="0" borderId="0" xfId="0" applyNumberFormat="1" applyFont="1" applyAlignment="1" applyProtection="1">
      <alignment vertical="center"/>
      <protection locked="0" hidden="1"/>
    </xf>
    <xf numFmtId="0" fontId="11" fillId="0" borderId="0" xfId="0" applyFont="1" applyAlignment="1">
      <alignment vertical="center"/>
    </xf>
    <xf numFmtId="0" fontId="2" fillId="0" borderId="0" xfId="0" applyFont="1" applyAlignment="1" applyProtection="1">
      <alignment horizontal="right" vertical="center"/>
      <protection locked="0" hidden="1"/>
    </xf>
    <xf numFmtId="0" fontId="10" fillId="0" borderId="0" xfId="0" applyFont="1" applyAlignment="1" applyProtection="1">
      <alignment horizontal="center" vertical="center"/>
      <protection locked="0" hidden="1"/>
    </xf>
    <xf numFmtId="0" fontId="2" fillId="0" borderId="8" xfId="0" applyFont="1" applyBorder="1" applyAlignment="1" applyProtection="1">
      <alignment vertical="center"/>
      <protection locked="0" hidden="1"/>
    </xf>
    <xf numFmtId="0" fontId="14" fillId="0" borderId="0" xfId="0" applyFont="1" applyAlignment="1" applyProtection="1">
      <alignment vertical="center"/>
      <protection locked="0"/>
    </xf>
    <xf numFmtId="14" fontId="11" fillId="0" borderId="0" xfId="0" applyNumberFormat="1" applyFont="1" applyAlignment="1">
      <alignment vertical="center"/>
    </xf>
    <xf numFmtId="0" fontId="0" fillId="0" borderId="0" xfId="0" pivotButton="1"/>
    <xf numFmtId="0" fontId="0" fillId="0" borderId="0" xfId="0" applyAlignment="1">
      <alignment horizontal="left"/>
    </xf>
    <xf numFmtId="9" fontId="19" fillId="0" borderId="0" xfId="2" applyFont="1" applyAlignment="1" applyProtection="1">
      <alignment horizontal="left" vertical="center" indent="2"/>
      <protection locked="0" hidden="1"/>
    </xf>
    <xf numFmtId="9" fontId="19" fillId="0" borderId="0" xfId="2" applyFont="1" applyAlignment="1" applyProtection="1">
      <alignment vertical="center"/>
      <protection locked="0" hidden="1"/>
    </xf>
    <xf numFmtId="9" fontId="11" fillId="0" borderId="0" xfId="2" applyFont="1" applyFill="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5" fillId="0" borderId="0" xfId="1" applyNumberFormat="1" applyFont="1" applyFill="1" applyBorder="1" applyAlignment="1" applyProtection="1">
      <alignment horizontal="right" vertical="center"/>
      <protection locked="0" hidden="1"/>
    </xf>
    <xf numFmtId="164" fontId="25" fillId="0" borderId="0" xfId="1" applyNumberFormat="1" applyFont="1" applyFill="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7" fillId="0" borderId="0" xfId="0" applyFont="1" applyAlignment="1" applyProtection="1">
      <alignment horizontal="right" vertical="center"/>
      <protection locked="0" hidden="1"/>
    </xf>
    <xf numFmtId="164" fontId="11" fillId="0" borderId="0" xfId="1" applyNumberFormat="1" applyFont="1" applyFill="1" applyBorder="1" applyAlignment="1" applyProtection="1">
      <alignment horizontal="right" vertical="center"/>
      <protection locked="0" hidden="1"/>
    </xf>
    <xf numFmtId="164" fontId="21" fillId="0" borderId="0" xfId="1" applyNumberFormat="1" applyFont="1" applyFill="1" applyBorder="1" applyAlignment="1" applyProtection="1">
      <alignment horizontal="right" vertical="center"/>
      <protection locked="0" hidden="1"/>
    </xf>
    <xf numFmtId="9" fontId="19" fillId="0" borderId="0" xfId="2" applyFont="1" applyAlignment="1" applyProtection="1">
      <alignment horizontal="right" vertical="center"/>
      <protection locked="0" hidden="1"/>
    </xf>
    <xf numFmtId="164" fontId="11" fillId="0" borderId="0" xfId="2" applyNumberFormat="1" applyFont="1" applyFill="1" applyAlignment="1" applyProtection="1">
      <alignment horizontal="right" vertical="center"/>
      <protection locked="0" hidden="1"/>
    </xf>
    <xf numFmtId="164" fontId="19" fillId="0" borderId="0" xfId="2" applyNumberFormat="1" applyFont="1" applyAlignment="1" applyProtection="1">
      <alignment horizontal="right" vertical="center"/>
      <protection locked="0" hidden="1"/>
    </xf>
    <xf numFmtId="0" fontId="11" fillId="0" borderId="0" xfId="0" applyFont="1" applyAlignment="1" applyProtection="1">
      <alignment vertical="center"/>
      <protection locked="0"/>
    </xf>
    <xf numFmtId="49" fontId="5" fillId="0" borderId="0" xfId="0" applyNumberFormat="1" applyFont="1" applyAlignment="1" applyProtection="1">
      <alignment vertical="center"/>
      <protection locked="0" hidden="1"/>
    </xf>
    <xf numFmtId="164" fontId="11" fillId="0" borderId="0" xfId="1" applyNumberFormat="1" applyFont="1" applyProtection="1">
      <protection locked="0" hidden="1"/>
    </xf>
    <xf numFmtId="164" fontId="17" fillId="0" borderId="0" xfId="1" applyNumberFormat="1" applyFont="1" applyBorder="1" applyAlignment="1" applyProtection="1">
      <alignment vertical="center"/>
      <protection locked="0" hidden="1"/>
    </xf>
    <xf numFmtId="168" fontId="17" fillId="0" borderId="16" xfId="1" applyNumberFormat="1" applyFont="1" applyFill="1" applyBorder="1" applyAlignment="1" applyProtection="1">
      <alignment vertical="center"/>
      <protection locked="0" hidden="1"/>
    </xf>
    <xf numFmtId="9" fontId="11" fillId="0" borderId="14" xfId="2" applyFont="1" applyBorder="1" applyAlignment="1" applyProtection="1">
      <alignment horizontal="center" vertical="center"/>
      <protection locked="0" hidden="1"/>
    </xf>
    <xf numFmtId="9" fontId="14" fillId="0" borderId="16" xfId="2" applyFont="1" applyBorder="1" applyAlignment="1" applyProtection="1">
      <alignment vertical="center"/>
      <protection locked="0" hidden="1"/>
    </xf>
    <xf numFmtId="9" fontId="18" fillId="0" borderId="0" xfId="2" applyFont="1" applyAlignment="1" applyProtection="1">
      <alignment vertical="center"/>
      <protection locked="0" hidden="1"/>
    </xf>
    <xf numFmtId="164" fontId="17" fillId="0" borderId="16" xfId="1" applyNumberFormat="1" applyFont="1" applyBorder="1" applyAlignment="1" applyProtection="1">
      <alignment vertical="center"/>
      <protection locked="0" hidden="1"/>
    </xf>
    <xf numFmtId="14" fontId="11" fillId="0" borderId="0" xfId="0" applyNumberFormat="1" applyFont="1" applyProtection="1">
      <protection locked="0" hidden="1"/>
    </xf>
    <xf numFmtId="165" fontId="33" fillId="0" borderId="0" xfId="2" applyNumberFormat="1" applyFont="1" applyFill="1" applyAlignment="1" applyProtection="1">
      <alignment horizontal="right" vertical="center"/>
      <protection locked="0" hidden="1"/>
    </xf>
    <xf numFmtId="10" fontId="33" fillId="0" borderId="0" xfId="2" applyNumberFormat="1" applyFont="1" applyFill="1" applyAlignment="1" applyProtection="1">
      <alignment horizontal="right" vertical="center"/>
      <protection locked="0" hidden="1"/>
    </xf>
    <xf numFmtId="9" fontId="11" fillId="0" borderId="0" xfId="2" applyFont="1" applyFill="1" applyAlignment="1" applyProtection="1">
      <alignment horizontal="left" vertical="center"/>
      <protection locked="0" hidden="1"/>
    </xf>
    <xf numFmtId="9" fontId="33" fillId="0" borderId="0" xfId="2" applyFont="1" applyFill="1" applyAlignment="1" applyProtection="1">
      <alignment horizontal="right" vertical="center"/>
      <protection locked="0" hidden="1"/>
    </xf>
    <xf numFmtId="0" fontId="23" fillId="0" borderId="0" xfId="0" applyFont="1" applyAlignment="1" applyProtection="1">
      <alignment horizontal="left" vertical="center"/>
      <protection locked="0" hidden="1"/>
    </xf>
    <xf numFmtId="164" fontId="23" fillId="0" borderId="0" xfId="1" applyNumberFormat="1" applyFont="1" applyFill="1" applyAlignment="1" applyProtection="1">
      <alignment horizontal="right" vertical="center"/>
      <protection locked="0" hidden="1"/>
    </xf>
    <xf numFmtId="10" fontId="25" fillId="0" borderId="0" xfId="2" applyNumberFormat="1" applyFont="1" applyFill="1" applyAlignment="1" applyProtection="1">
      <alignment horizontal="right" vertical="center"/>
      <protection locked="0" hidden="1"/>
    </xf>
    <xf numFmtId="165" fontId="19" fillId="0" borderId="0" xfId="2" applyNumberFormat="1" applyFont="1" applyFill="1" applyBorder="1" applyAlignment="1" applyProtection="1">
      <alignment horizontal="right" vertical="center"/>
      <protection locked="0" hidden="1"/>
    </xf>
    <xf numFmtId="0" fontId="11" fillId="6" borderId="0" xfId="0" applyFont="1" applyFill="1" applyAlignment="1" applyProtection="1">
      <alignment vertical="center"/>
      <protection locked="0" hidden="1"/>
    </xf>
    <xf numFmtId="0" fontId="11" fillId="6" borderId="0" xfId="0" applyFont="1" applyFill="1" applyProtection="1">
      <protection locked="0" hidden="1"/>
    </xf>
    <xf numFmtId="0" fontId="14" fillId="6" borderId="0" xfId="0" applyFont="1" applyFill="1" applyAlignment="1" applyProtection="1">
      <alignment vertical="center"/>
      <protection locked="0" hidden="1"/>
    </xf>
    <xf numFmtId="9" fontId="11" fillId="6" borderId="0" xfId="2" applyFont="1" applyFill="1" applyProtection="1">
      <protection locked="0" hidden="1"/>
    </xf>
    <xf numFmtId="0" fontId="0" fillId="6" borderId="0" xfId="0" applyFill="1" applyProtection="1">
      <protection locked="0" hidden="1"/>
    </xf>
    <xf numFmtId="0" fontId="14" fillId="6" borderId="0" xfId="0" applyFont="1" applyFill="1" applyProtection="1">
      <protection locked="0" hidden="1"/>
    </xf>
    <xf numFmtId="165" fontId="14" fillId="6" borderId="0" xfId="2" applyNumberFormat="1" applyFont="1" applyFill="1" applyAlignment="1" applyProtection="1">
      <alignment vertical="center"/>
      <protection locked="0" hidden="1"/>
    </xf>
    <xf numFmtId="0" fontId="35" fillId="6" borderId="0" xfId="0" applyFont="1" applyFill="1" applyProtection="1">
      <protection locked="0" hidden="1"/>
    </xf>
    <xf numFmtId="0" fontId="35" fillId="6" borderId="0" xfId="0" applyFont="1" applyFill="1" applyAlignment="1" applyProtection="1">
      <alignment vertical="center"/>
      <protection locked="0" hidden="1"/>
    </xf>
    <xf numFmtId="9" fontId="35" fillId="6" borderId="0" xfId="2" applyFont="1" applyFill="1" applyProtection="1">
      <protection locked="0" hidden="1"/>
    </xf>
    <xf numFmtId="164" fontId="35" fillId="6" borderId="0" xfId="1" applyNumberFormat="1" applyFont="1" applyFill="1" applyProtection="1">
      <protection locked="0" hidden="1"/>
    </xf>
    <xf numFmtId="164" fontId="35" fillId="6" borderId="0" xfId="0" applyNumberFormat="1" applyFont="1" applyFill="1" applyProtection="1">
      <protection locked="0" hidden="1"/>
    </xf>
    <xf numFmtId="0" fontId="35" fillId="6" borderId="0" xfId="0" quotePrefix="1" applyFont="1" applyFill="1" applyAlignment="1" applyProtection="1">
      <alignment vertical="center"/>
      <protection locked="0" hidden="1"/>
    </xf>
    <xf numFmtId="164" fontId="35" fillId="6" borderId="0" xfId="1" applyNumberFormat="1" applyFont="1" applyFill="1" applyAlignment="1" applyProtection="1">
      <alignment vertical="center"/>
      <protection locked="0" hidden="1"/>
    </xf>
    <xf numFmtId="165" fontId="35" fillId="6" borderId="0" xfId="2" applyNumberFormat="1" applyFont="1" applyFill="1" applyAlignment="1" applyProtection="1">
      <alignment vertical="center"/>
      <protection locked="0" hidden="1"/>
    </xf>
    <xf numFmtId="14" fontId="35" fillId="6" borderId="0" xfId="0" applyNumberFormat="1" applyFont="1" applyFill="1" applyProtection="1">
      <protection locked="0" hidden="1"/>
    </xf>
    <xf numFmtId="14" fontId="35" fillId="6" borderId="0" xfId="1" applyNumberFormat="1" applyFont="1" applyFill="1" applyProtection="1">
      <protection locked="0" hidden="1"/>
    </xf>
    <xf numFmtId="9" fontId="14" fillId="6" borderId="0" xfId="2" applyFont="1" applyFill="1" applyProtection="1">
      <protection locked="0" hidden="1"/>
    </xf>
    <xf numFmtId="164" fontId="17" fillId="6" borderId="0" xfId="1" applyNumberFormat="1" applyFont="1" applyFill="1" applyAlignment="1" applyProtection="1">
      <alignment vertical="center"/>
      <protection locked="0" hidden="1"/>
    </xf>
    <xf numFmtId="9" fontId="17" fillId="6" borderId="0" xfId="2" applyFont="1" applyFill="1" applyAlignment="1" applyProtection="1">
      <alignment vertical="center"/>
      <protection locked="0" hidden="1"/>
    </xf>
    <xf numFmtId="165" fontId="17" fillId="6" borderId="0" xfId="2" applyNumberFormat="1" applyFont="1" applyFill="1" applyAlignment="1" applyProtection="1">
      <alignment vertical="center"/>
      <protection locked="0" hidden="1"/>
    </xf>
    <xf numFmtId="10" fontId="17" fillId="6" borderId="0" xfId="2" applyNumberFormat="1" applyFont="1" applyFill="1" applyAlignment="1" applyProtection="1">
      <alignment vertical="center"/>
      <protection locked="0" hidden="1"/>
    </xf>
    <xf numFmtId="0" fontId="39" fillId="6" borderId="0" xfId="0" applyFont="1" applyFill="1" applyAlignment="1" applyProtection="1">
      <alignment horizontal="center" vertical="center"/>
      <protection locked="0" hidden="1"/>
    </xf>
    <xf numFmtId="0" fontId="40" fillId="6" borderId="0" xfId="0" applyFont="1" applyFill="1" applyAlignment="1" applyProtection="1">
      <alignment horizontal="center" vertical="center"/>
      <protection locked="0" hidden="1"/>
    </xf>
    <xf numFmtId="9" fontId="40" fillId="5" borderId="0" xfId="2" applyFont="1" applyFill="1" applyAlignment="1" applyProtection="1">
      <alignment horizontal="center" vertical="center"/>
      <protection locked="0" hidden="1"/>
    </xf>
    <xf numFmtId="165" fontId="40" fillId="5" borderId="0" xfId="2" applyNumberFormat="1" applyFont="1" applyFill="1" applyAlignment="1" applyProtection="1">
      <alignment horizontal="center" vertical="center"/>
      <protection locked="0" hidden="1"/>
    </xf>
    <xf numFmtId="167" fontId="11" fillId="0" borderId="0" xfId="0" applyNumberFormat="1" applyFont="1" applyAlignment="1" applyProtection="1">
      <alignment vertical="center"/>
      <protection locked="0"/>
    </xf>
    <xf numFmtId="164" fontId="17" fillId="6" borderId="0" xfId="1" applyNumberFormat="1" applyFont="1" applyFill="1" applyProtection="1">
      <protection locked="0" hidden="1"/>
    </xf>
    <xf numFmtId="0" fontId="17" fillId="6" borderId="0" xfId="0" applyFont="1" applyFill="1" applyProtection="1">
      <protection locked="0" hidden="1"/>
    </xf>
    <xf numFmtId="9" fontId="17" fillId="6" borderId="0" xfId="2" applyFont="1" applyFill="1" applyProtection="1">
      <protection locked="0" hidden="1"/>
    </xf>
    <xf numFmtId="9" fontId="35" fillId="6" borderId="0" xfId="2" applyFont="1" applyFill="1" applyAlignment="1" applyProtection="1">
      <alignment vertical="center"/>
      <protection locked="0" hidden="1"/>
    </xf>
    <xf numFmtId="164" fontId="35" fillId="6" borderId="0" xfId="0" applyNumberFormat="1" applyFont="1" applyFill="1" applyAlignment="1" applyProtection="1">
      <alignment vertical="center"/>
      <protection locked="0" hidden="1"/>
    </xf>
    <xf numFmtId="0" fontId="17" fillId="6" borderId="0" xfId="0" applyFont="1" applyFill="1" applyAlignment="1" applyProtection="1">
      <alignment vertical="center"/>
      <protection locked="0" hidden="1"/>
    </xf>
    <xf numFmtId="167" fontId="17" fillId="6" borderId="0" xfId="0" applyNumberFormat="1" applyFont="1" applyFill="1" applyAlignment="1" applyProtection="1">
      <alignment vertical="center"/>
      <protection locked="0" hidden="1"/>
    </xf>
    <xf numFmtId="1" fontId="35" fillId="6" borderId="0" xfId="0" applyNumberFormat="1" applyFont="1" applyFill="1" applyAlignment="1" applyProtection="1">
      <alignment vertical="center"/>
      <protection locked="0" hidden="1"/>
    </xf>
    <xf numFmtId="14" fontId="35" fillId="6" borderId="0" xfId="0" applyNumberFormat="1" applyFont="1" applyFill="1" applyAlignment="1" applyProtection="1">
      <alignment vertical="center"/>
      <protection locked="0" hidden="1"/>
    </xf>
    <xf numFmtId="0" fontId="35" fillId="6" borderId="0" xfId="1" applyNumberFormat="1" applyFont="1" applyFill="1" applyAlignment="1" applyProtection="1">
      <alignment vertical="center"/>
      <protection locked="0" hidden="1"/>
    </xf>
    <xf numFmtId="43" fontId="35" fillId="6" borderId="0" xfId="1" applyFont="1" applyFill="1" applyAlignment="1" applyProtection="1">
      <alignment vertical="center"/>
      <protection locked="0" hidden="1"/>
    </xf>
    <xf numFmtId="170" fontId="17" fillId="0" borderId="14" xfId="0" applyNumberFormat="1" applyFont="1" applyBorder="1" applyAlignment="1" applyProtection="1">
      <alignment vertical="center"/>
      <protection locked="0" hidden="1"/>
    </xf>
    <xf numFmtId="0" fontId="0" fillId="0" borderId="0" xfId="0" applyAlignment="1">
      <alignment vertical="center"/>
    </xf>
    <xf numFmtId="0" fontId="0" fillId="0" borderId="0" xfId="0" applyAlignment="1" applyProtection="1">
      <alignment vertical="center"/>
      <protection locked="0"/>
    </xf>
    <xf numFmtId="0" fontId="15" fillId="0" borderId="0" xfId="0" applyFont="1" applyAlignment="1" applyProtection="1">
      <alignment vertical="center"/>
      <protection locked="0"/>
    </xf>
    <xf numFmtId="0" fontId="12" fillId="0" borderId="11" xfId="0" applyFont="1" applyBorder="1" applyAlignment="1" applyProtection="1">
      <alignment vertical="center"/>
      <protection locked="0"/>
    </xf>
    <xf numFmtId="0" fontId="12" fillId="4" borderId="15" xfId="0" applyFont="1" applyFill="1" applyBorder="1" applyAlignment="1" applyProtection="1">
      <alignment vertical="center"/>
      <protection locked="0"/>
    </xf>
    <xf numFmtId="0" fontId="12" fillId="0" borderId="0" xfId="0" applyFont="1" applyAlignment="1" applyProtection="1">
      <alignment vertical="center"/>
      <protection locked="0"/>
    </xf>
    <xf numFmtId="0" fontId="11" fillId="0" borderId="0" xfId="0" applyFont="1" applyProtection="1">
      <protection locked="0"/>
    </xf>
    <xf numFmtId="9" fontId="11" fillId="0" borderId="16" xfId="2" applyFont="1" applyFill="1" applyBorder="1" applyAlignment="1" applyProtection="1">
      <alignment vertical="center"/>
      <protection locked="0" hidden="1"/>
    </xf>
    <xf numFmtId="49" fontId="11" fillId="0" borderId="16" xfId="1" applyNumberFormat="1" applyFont="1" applyFill="1" applyBorder="1" applyAlignment="1" applyProtection="1">
      <alignment horizontal="left" vertical="center"/>
      <protection locked="0" hidden="1"/>
    </xf>
    <xf numFmtId="49" fontId="11" fillId="0" borderId="12" xfId="1" applyNumberFormat="1" applyFont="1" applyFill="1" applyBorder="1" applyAlignment="1" applyProtection="1">
      <alignment horizontal="left" vertical="center"/>
      <protection locked="0" hidden="1"/>
    </xf>
    <xf numFmtId="10" fontId="35" fillId="6" borderId="0" xfId="2" applyNumberFormat="1" applyFont="1" applyFill="1" applyAlignment="1" applyProtection="1">
      <alignment vertical="center"/>
      <protection locked="0" hidden="1"/>
    </xf>
    <xf numFmtId="166" fontId="17" fillId="0" borderId="14" xfId="0" applyNumberFormat="1" applyFont="1" applyBorder="1" applyAlignment="1">
      <alignment vertical="center"/>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5" fillId="0" borderId="0" xfId="0" applyNumberFormat="1" applyFont="1" applyAlignment="1" applyProtection="1">
      <alignment vertical="center"/>
      <protection locked="0"/>
    </xf>
    <xf numFmtId="0" fontId="4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hidden="1"/>
    </xf>
    <xf numFmtId="0" fontId="1" fillId="0" borderId="0" xfId="0" applyFont="1" applyAlignment="1">
      <alignment horizontal="left" vertical="center"/>
    </xf>
    <xf numFmtId="0" fontId="38"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73" fontId="1" fillId="0" borderId="0" xfId="0" applyNumberFormat="1" applyFont="1" applyAlignment="1">
      <alignment horizontal="left" vertical="center"/>
    </xf>
    <xf numFmtId="173" fontId="0" fillId="0" borderId="0" xfId="0" applyNumberFormat="1" applyAlignment="1">
      <alignment horizontal="left"/>
    </xf>
    <xf numFmtId="49" fontId="4" fillId="0" borderId="0" xfId="0" applyNumberFormat="1"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11" fillId="0" borderId="0" xfId="1" applyNumberFormat="1" applyFont="1" applyProtection="1">
      <protection locked="0" hidden="1"/>
    </xf>
    <xf numFmtId="0" fontId="44" fillId="0" borderId="0" xfId="0" applyFont="1" applyAlignment="1" applyProtection="1">
      <alignment vertical="center"/>
      <protection locked="0" hidden="1"/>
    </xf>
    <xf numFmtId="0" fontId="11" fillId="0" borderId="0" xfId="1" applyNumberFormat="1" applyFont="1" applyFill="1" applyProtection="1">
      <protection locked="0" hidden="1"/>
    </xf>
    <xf numFmtId="0" fontId="38" fillId="6" borderId="0" xfId="0" applyFont="1" applyFill="1" applyProtection="1">
      <protection locked="0" hidden="1"/>
    </xf>
    <xf numFmtId="0" fontId="17" fillId="6" borderId="0" xfId="1" applyNumberFormat="1" applyFont="1" applyFill="1" applyAlignment="1" applyProtection="1">
      <alignment vertical="center"/>
      <protection locked="0" hidden="1"/>
    </xf>
    <xf numFmtId="0" fontId="41" fillId="6" borderId="0" xfId="0" applyFont="1" applyFill="1" applyProtection="1">
      <protection locked="0" hidden="1"/>
    </xf>
    <xf numFmtId="0" fontId="40" fillId="6" borderId="0" xfId="0" applyFont="1" applyFill="1" applyAlignment="1" applyProtection="1">
      <alignment vertical="center"/>
      <protection locked="0" hidden="1"/>
    </xf>
    <xf numFmtId="0" fontId="11" fillId="6" borderId="0" xfId="1" applyNumberFormat="1" applyFont="1" applyFill="1" applyAlignment="1" applyProtection="1">
      <alignment vertical="center"/>
      <protection locked="0" hidden="1"/>
    </xf>
    <xf numFmtId="0" fontId="40" fillId="5" borderId="0" xfId="1" applyNumberFormat="1" applyFont="1" applyFill="1" applyAlignment="1" applyProtection="1">
      <alignment horizontal="center" vertical="center"/>
      <protection locked="0" hidden="1"/>
    </xf>
    <xf numFmtId="0" fontId="17" fillId="6" borderId="0" xfId="1" applyNumberFormat="1" applyFont="1" applyFill="1" applyProtection="1">
      <protection locked="0" hidden="1"/>
    </xf>
    <xf numFmtId="0" fontId="35" fillId="6" borderId="0" xfId="1" applyNumberFormat="1" applyFont="1" applyFill="1" applyProtection="1">
      <protection locked="0" hidden="1"/>
    </xf>
    <xf numFmtId="0" fontId="11" fillId="6" borderId="0" xfId="1" applyNumberFormat="1" applyFont="1" applyFill="1" applyProtection="1">
      <protection locked="0" hidden="1"/>
    </xf>
    <xf numFmtId="0" fontId="11" fillId="5" borderId="0" xfId="1" applyNumberFormat="1" applyFont="1" applyFill="1" applyAlignment="1" applyProtection="1">
      <alignment horizontal="right" vertical="center"/>
      <protection locked="0" hidden="1"/>
    </xf>
    <xf numFmtId="0" fontId="33" fillId="0" borderId="0" xfId="1" applyNumberFormat="1" applyFont="1" applyFill="1" applyAlignment="1" applyProtection="1">
      <alignment horizontal="right" vertical="center"/>
      <protection locked="0" hidden="1"/>
    </xf>
    <xf numFmtId="0" fontId="29" fillId="0" borderId="0" xfId="1" applyNumberFormat="1" applyFont="1" applyFill="1" applyAlignment="1" applyProtection="1">
      <alignment horizontal="right" vertical="center"/>
      <protection locked="0" hidden="1"/>
    </xf>
    <xf numFmtId="0" fontId="34" fillId="0" borderId="0" xfId="1" applyNumberFormat="1" applyFont="1" applyFill="1" applyAlignment="1" applyProtection="1">
      <alignment horizontal="right" vertical="center"/>
      <protection locked="0" hidden="1"/>
    </xf>
    <xf numFmtId="0" fontId="11" fillId="0" borderId="0" xfId="2" applyNumberFormat="1" applyFont="1" applyFill="1" applyAlignment="1" applyProtection="1">
      <alignment horizontal="right" vertical="center"/>
      <protection locked="0" hidden="1"/>
    </xf>
    <xf numFmtId="0" fontId="11" fillId="0" borderId="0" xfId="0" applyFont="1" applyAlignment="1" applyProtection="1">
      <alignment vertical="center" wrapText="1"/>
      <protection locked="0" hidden="1"/>
    </xf>
    <xf numFmtId="0" fontId="11" fillId="0" borderId="0" xfId="1" applyNumberFormat="1" applyFont="1" applyAlignment="1" applyProtection="1">
      <alignment vertical="center"/>
      <protection locked="0" hidden="1"/>
    </xf>
    <xf numFmtId="0" fontId="11" fillId="0" borderId="0" xfId="2" applyNumberFormat="1" applyFont="1" applyAlignment="1" applyProtection="1">
      <alignment vertical="center"/>
      <protection locked="0" hidden="1"/>
    </xf>
    <xf numFmtId="0" fontId="17" fillId="0" borderId="0" xfId="1" applyNumberFormat="1" applyFont="1" applyAlignment="1" applyProtection="1">
      <alignment vertical="center"/>
      <protection locked="0" hidden="1"/>
    </xf>
    <xf numFmtId="0" fontId="14" fillId="0" borderId="0" xfId="1" applyNumberFormat="1" applyFont="1" applyFill="1" applyAlignment="1" applyProtection="1">
      <alignment vertical="center"/>
      <protection locked="0" hidden="1"/>
    </xf>
    <xf numFmtId="0" fontId="17" fillId="0" borderId="0" xfId="1" applyNumberFormat="1" applyFont="1" applyFill="1" applyAlignment="1" applyProtection="1">
      <alignment vertical="center"/>
      <protection locked="0" hidden="1"/>
    </xf>
    <xf numFmtId="0" fontId="14" fillId="0" borderId="0" xfId="1" applyNumberFormat="1" applyFont="1" applyAlignment="1" applyProtection="1">
      <alignment vertical="center"/>
      <protection locked="0" hidden="1"/>
    </xf>
    <xf numFmtId="0" fontId="11" fillId="0" borderId="0" xfId="1" applyNumberFormat="1" applyFont="1" applyFill="1" applyAlignment="1" applyProtection="1">
      <alignment vertical="center"/>
      <protection locked="0" hidden="1"/>
    </xf>
    <xf numFmtId="0" fontId="11" fillId="0" borderId="0" xfId="2" applyNumberFormat="1" applyFont="1" applyFill="1" applyAlignment="1" applyProtection="1">
      <alignment horizontal="center" vertical="center"/>
      <protection locked="0" hidden="1"/>
    </xf>
    <xf numFmtId="0" fontId="15" fillId="5" borderId="0" xfId="0" applyFont="1" applyFill="1" applyAlignment="1" applyProtection="1">
      <alignment horizontal="center" vertical="center"/>
      <protection locked="0" hidden="1"/>
    </xf>
    <xf numFmtId="0" fontId="25" fillId="0" borderId="0" xfId="1" applyNumberFormat="1" applyFont="1" applyAlignment="1" applyProtection="1">
      <alignment horizontal="center" vertical="center"/>
      <protection locked="0" hidden="1"/>
    </xf>
    <xf numFmtId="0" fontId="16" fillId="0" borderId="0" xfId="1" applyNumberFormat="1" applyFont="1" applyAlignment="1" applyProtection="1">
      <alignment horizontal="center" vertical="center"/>
      <protection locked="0" hidden="1"/>
    </xf>
    <xf numFmtId="0" fontId="17" fillId="0" borderId="20" xfId="0" applyFont="1" applyBorder="1" applyAlignment="1" applyProtection="1">
      <alignment vertical="center"/>
      <protection locked="0" hidden="1"/>
    </xf>
    <xf numFmtId="0" fontId="11" fillId="0" borderId="21" xfId="0" applyFont="1" applyBorder="1" applyAlignment="1" applyProtection="1">
      <alignment vertical="center"/>
      <protection locked="0" hidden="1"/>
    </xf>
    <xf numFmtId="0" fontId="25" fillId="0" borderId="0" xfId="0" applyFont="1" applyAlignment="1" applyProtection="1">
      <alignment vertical="center"/>
      <protection locked="0" hidden="1"/>
    </xf>
    <xf numFmtId="0" fontId="17" fillId="0" borderId="16" xfId="1" applyNumberFormat="1" applyFont="1" applyFill="1" applyBorder="1" applyAlignment="1" applyProtection="1">
      <alignment vertical="center"/>
      <protection locked="0" hidden="1"/>
    </xf>
    <xf numFmtId="0" fontId="11" fillId="0" borderId="11" xfId="1" applyNumberFormat="1" applyFont="1" applyFill="1" applyBorder="1" applyAlignment="1" applyProtection="1">
      <alignment vertical="center"/>
      <protection locked="0" hidden="1"/>
    </xf>
    <xf numFmtId="0" fontId="11" fillId="5" borderId="0" xfId="0" applyFont="1" applyFill="1" applyAlignment="1" applyProtection="1">
      <alignment vertical="center"/>
      <protection locked="0" hidden="1"/>
    </xf>
    <xf numFmtId="0" fontId="25" fillId="0" borderId="0" xfId="1" applyNumberFormat="1" applyFont="1" applyAlignment="1" applyProtection="1">
      <alignment vertical="center"/>
      <protection locked="0" hidden="1"/>
    </xf>
    <xf numFmtId="0" fontId="11" fillId="0" borderId="16" xfId="0" applyFont="1" applyBorder="1" applyAlignment="1" applyProtection="1">
      <alignment vertical="center"/>
      <protection locked="0" hidden="1"/>
    </xf>
    <xf numFmtId="0" fontId="14" fillId="0" borderId="16" xfId="0" applyFont="1" applyBorder="1" applyAlignment="1" applyProtection="1">
      <alignment vertical="center"/>
      <protection locked="0" hidden="1"/>
    </xf>
    <xf numFmtId="0" fontId="11" fillId="0" borderId="17" xfId="0" applyFont="1" applyBorder="1" applyAlignment="1" applyProtection="1">
      <alignment vertical="center"/>
      <protection locked="0" hidden="1"/>
    </xf>
    <xf numFmtId="0" fontId="17" fillId="0" borderId="14" xfId="0" applyFont="1" applyBorder="1" applyAlignment="1" applyProtection="1">
      <alignment vertical="center"/>
      <protection locked="0" hidden="1"/>
    </xf>
    <xf numFmtId="0" fontId="11" fillId="0" borderId="17" xfId="1" applyNumberFormat="1" applyFont="1" applyFill="1" applyBorder="1" applyAlignment="1" applyProtection="1">
      <alignment vertical="center"/>
      <protection locked="0" hidden="1"/>
    </xf>
    <xf numFmtId="0" fontId="11" fillId="0" borderId="16" xfId="1" applyNumberFormat="1" applyFont="1" applyFill="1" applyBorder="1" applyAlignment="1" applyProtection="1">
      <alignment vertical="center"/>
      <protection locked="0" hidden="1"/>
    </xf>
    <xf numFmtId="0" fontId="27" fillId="0" borderId="19" xfId="1" applyNumberFormat="1" applyFont="1" applyFill="1" applyBorder="1" applyAlignment="1" applyProtection="1">
      <alignment vertical="center"/>
      <protection locked="0" hidden="1"/>
    </xf>
    <xf numFmtId="0" fontId="18" fillId="0" borderId="16" xfId="1" applyNumberFormat="1" applyFont="1" applyBorder="1" applyAlignment="1" applyProtection="1">
      <alignment vertical="center"/>
      <protection locked="0" hidden="1"/>
    </xf>
    <xf numFmtId="0" fontId="18" fillId="0" borderId="16" xfId="1" applyNumberFormat="1" applyFont="1" applyFill="1" applyBorder="1" applyAlignment="1" applyProtection="1">
      <alignment vertical="center"/>
      <protection locked="0" hidden="1"/>
    </xf>
    <xf numFmtId="0" fontId="18" fillId="0" borderId="0" xfId="1" applyNumberFormat="1" applyFont="1" applyFill="1" applyAlignment="1" applyProtection="1">
      <alignment vertical="center"/>
      <protection locked="0" hidden="1"/>
    </xf>
    <xf numFmtId="174" fontId="11" fillId="0" borderId="0" xfId="0" applyNumberFormat="1" applyFont="1" applyAlignment="1" applyProtection="1">
      <alignment vertical="center"/>
      <protection locked="0" hidden="1"/>
    </xf>
    <xf numFmtId="174" fontId="0" fillId="0" borderId="0" xfId="0" applyNumberFormat="1" applyProtection="1">
      <protection locked="0" hidden="1"/>
    </xf>
    <xf numFmtId="174" fontId="11" fillId="0" borderId="0" xfId="1" applyNumberFormat="1" applyFont="1" applyAlignment="1" applyProtection="1">
      <alignment vertical="center"/>
      <protection locked="0" hidden="1"/>
    </xf>
    <xf numFmtId="174" fontId="11" fillId="0" borderId="16" xfId="0" applyNumberFormat="1" applyFont="1" applyBorder="1" applyAlignment="1" applyProtection="1">
      <alignment vertical="center"/>
      <protection locked="0" hidden="1"/>
    </xf>
    <xf numFmtId="174" fontId="17" fillId="0" borderId="16" xfId="0" applyNumberFormat="1" applyFont="1" applyBorder="1" applyAlignment="1" applyProtection="1">
      <alignment vertical="center"/>
      <protection locked="0" hidden="1"/>
    </xf>
    <xf numFmtId="174" fontId="11" fillId="0" borderId="17" xfId="0" applyNumberFormat="1" applyFont="1" applyBorder="1" applyAlignment="1" applyProtection="1">
      <alignment vertical="center"/>
      <protection locked="0" hidden="1"/>
    </xf>
    <xf numFmtId="174"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hidden="1"/>
    </xf>
    <xf numFmtId="174" fontId="17" fillId="0" borderId="14" xfId="0" applyNumberFormat="1" applyFont="1" applyBorder="1" applyAlignment="1" applyProtection="1">
      <alignment vertical="center"/>
      <protection locked="0" hidden="1"/>
    </xf>
    <xf numFmtId="174" fontId="14" fillId="0" borderId="16" xfId="0" applyNumberFormat="1" applyFont="1" applyBorder="1" applyAlignment="1" applyProtection="1">
      <alignment vertical="center"/>
      <protection locked="0" hidden="1"/>
    </xf>
    <xf numFmtId="174" fontId="0" fillId="0" borderId="0" xfId="0" applyNumberFormat="1" applyAlignment="1" applyProtection="1">
      <alignment vertical="center"/>
      <protection locked="0"/>
    </xf>
    <xf numFmtId="174" fontId="32" fillId="0" borderId="0" xfId="0" applyNumberFormat="1" applyFont="1" applyProtection="1">
      <protection locked="0"/>
    </xf>
    <xf numFmtId="174" fontId="0" fillId="0" borderId="0" xfId="0" applyNumberFormat="1" applyProtection="1">
      <protection locked="0"/>
    </xf>
    <xf numFmtId="174" fontId="0" fillId="0" borderId="0" xfId="0" applyNumberFormat="1" applyAlignment="1" applyProtection="1">
      <alignment horizontal="left" vertical="center" indent="1"/>
      <protection locked="0"/>
    </xf>
    <xf numFmtId="174" fontId="32" fillId="0" borderId="0" xfId="0" applyNumberFormat="1" applyFont="1" applyAlignment="1" applyProtection="1">
      <alignment horizontal="left" vertical="center" indent="1"/>
      <protection locked="0"/>
    </xf>
    <xf numFmtId="174" fontId="0" fillId="0" borderId="0" xfId="0" applyNumberFormat="1" applyAlignment="1">
      <alignment horizontal="left"/>
    </xf>
    <xf numFmtId="174" fontId="17" fillId="0" borderId="16" xfId="1" applyNumberFormat="1" applyFont="1" applyFill="1" applyBorder="1" applyAlignment="1" applyProtection="1">
      <alignment vertical="center"/>
      <protection locked="0" hidden="1"/>
    </xf>
    <xf numFmtId="174" fontId="11" fillId="0" borderId="0" xfId="0" applyNumberFormat="1" applyFont="1" applyAlignment="1" applyProtection="1">
      <alignment horizontal="center" vertical="center"/>
      <protection locked="0" hidden="1"/>
    </xf>
    <xf numFmtId="174" fontId="24" fillId="0" borderId="0" xfId="1" applyNumberFormat="1" applyFont="1" applyAlignment="1" applyProtection="1">
      <alignment horizontal="right" vertical="center"/>
      <protection locked="0" hidden="1"/>
    </xf>
    <xf numFmtId="174" fontId="11" fillId="0" borderId="12"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center" vertical="center"/>
      <protection locked="0" hidden="1"/>
    </xf>
    <xf numFmtId="174" fontId="17" fillId="0" borderId="0" xfId="1" applyNumberFormat="1" applyFont="1" applyFill="1" applyAlignment="1" applyProtection="1">
      <alignment vertical="center"/>
      <protection locked="0" hidden="1"/>
    </xf>
    <xf numFmtId="174" fontId="19" fillId="0" borderId="0" xfId="0" applyNumberFormat="1" applyFont="1" applyAlignment="1" applyProtection="1">
      <alignment vertical="center"/>
      <protection locked="0" hidden="1"/>
    </xf>
    <xf numFmtId="174" fontId="11" fillId="0" borderId="0" xfId="0" applyNumberFormat="1" applyFont="1" applyProtection="1">
      <protection locked="0" hidden="1"/>
    </xf>
    <xf numFmtId="174" fontId="15" fillId="0" borderId="0" xfId="0" applyNumberFormat="1" applyFont="1" applyAlignment="1" applyProtection="1">
      <alignment vertical="center"/>
      <protection locked="0" hidden="1"/>
    </xf>
    <xf numFmtId="174" fontId="16" fillId="0" borderId="0" xfId="0" applyNumberFormat="1" applyFont="1" applyAlignment="1" applyProtection="1">
      <alignment vertical="center"/>
      <protection locked="0" hidden="1"/>
    </xf>
    <xf numFmtId="175" fontId="17" fillId="0" borderId="16" xfId="1" applyNumberFormat="1" applyFont="1" applyFill="1" applyBorder="1" applyAlignment="1" applyProtection="1">
      <alignment horizontal="right" vertical="center"/>
      <protection locked="0" hidden="1"/>
    </xf>
    <xf numFmtId="175" fontId="17" fillId="0" borderId="16" xfId="0" applyNumberFormat="1" applyFont="1" applyBorder="1" applyAlignment="1" applyProtection="1">
      <alignment horizontal="right" vertical="center"/>
      <protection locked="0" hidden="1"/>
    </xf>
    <xf numFmtId="175"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xf>
    <xf numFmtId="174" fontId="11" fillId="0" borderId="0" xfId="0" applyNumberFormat="1" applyFont="1" applyAlignment="1" applyProtection="1">
      <alignment vertical="center"/>
      <protection locked="0"/>
    </xf>
    <xf numFmtId="174" fontId="0" fillId="0" borderId="0" xfId="0" applyNumberFormat="1" applyAlignment="1" applyProtection="1">
      <alignment vertical="center"/>
      <protection locked="0" hidden="1"/>
    </xf>
    <xf numFmtId="174" fontId="11" fillId="0" borderId="13" xfId="0" applyNumberFormat="1" applyFont="1" applyBorder="1" applyAlignment="1" applyProtection="1">
      <alignment vertical="center"/>
      <protection locked="0"/>
    </xf>
    <xf numFmtId="174" fontId="6" fillId="0" borderId="0" xfId="0" applyNumberFormat="1" applyFont="1" applyAlignment="1" applyProtection="1">
      <alignment horizontal="right" vertical="center"/>
      <protection locked="0" hidden="1"/>
    </xf>
    <xf numFmtId="174" fontId="2" fillId="0" borderId="0" xfId="0" applyNumberFormat="1" applyFont="1" applyAlignment="1" applyProtection="1">
      <alignment vertical="center"/>
      <protection locked="0" hidden="1"/>
    </xf>
    <xf numFmtId="174" fontId="2" fillId="0" borderId="0" xfId="0" applyNumberFormat="1" applyFont="1" applyAlignment="1" applyProtection="1">
      <alignment vertical="center"/>
      <protection locked="0"/>
    </xf>
    <xf numFmtId="174" fontId="17" fillId="0" borderId="0" xfId="0" applyNumberFormat="1" applyFont="1" applyAlignment="1" applyProtection="1">
      <alignment vertical="center"/>
      <protection locked="0"/>
    </xf>
    <xf numFmtId="174" fontId="11" fillId="0" borderId="0" xfId="0" applyNumberFormat="1" applyFont="1" applyProtection="1">
      <protection locked="0"/>
    </xf>
    <xf numFmtId="174" fontId="11" fillId="0" borderId="16" xfId="1" applyNumberFormat="1" applyFont="1" applyFill="1" applyBorder="1" applyAlignment="1" applyProtection="1">
      <alignment vertical="center"/>
      <protection locked="0" hidden="1"/>
    </xf>
    <xf numFmtId="174" fontId="11" fillId="0" borderId="17" xfId="1" applyNumberFormat="1" applyFont="1" applyFill="1" applyBorder="1" applyAlignment="1" applyProtection="1">
      <alignment vertical="center"/>
      <protection locked="0" hidden="1"/>
    </xf>
    <xf numFmtId="174" fontId="3" fillId="0" borderId="0" xfId="0" applyNumberFormat="1" applyFont="1" applyAlignment="1" applyProtection="1">
      <alignment vertical="center"/>
      <protection locked="0" hidden="1"/>
    </xf>
    <xf numFmtId="174" fontId="2" fillId="5" borderId="0" xfId="0" applyNumberFormat="1" applyFont="1" applyFill="1" applyAlignment="1" applyProtection="1">
      <alignment vertical="center"/>
      <protection locked="0" hidden="1"/>
    </xf>
    <xf numFmtId="174" fontId="11" fillId="5" borderId="0" xfId="0" applyNumberFormat="1" applyFont="1" applyFill="1" applyAlignment="1" applyProtection="1">
      <alignment vertical="center"/>
      <protection locked="0" hidden="1"/>
    </xf>
    <xf numFmtId="174" fontId="9" fillId="3" borderId="0" xfId="0" applyNumberFormat="1" applyFont="1" applyFill="1" applyAlignment="1" applyProtection="1">
      <alignment vertical="center"/>
      <protection locked="0" hidden="1"/>
    </xf>
    <xf numFmtId="174" fontId="11" fillId="0" borderId="0" xfId="0" quotePrefix="1" applyNumberFormat="1" applyFont="1" applyAlignment="1" applyProtection="1">
      <alignment vertical="center"/>
      <protection locked="0" hidden="1"/>
    </xf>
    <xf numFmtId="174" fontId="2" fillId="0" borderId="7" xfId="0" applyNumberFormat="1" applyFont="1" applyBorder="1" applyAlignment="1" applyProtection="1">
      <alignment vertical="center"/>
      <protection locked="0" hidden="1"/>
    </xf>
    <xf numFmtId="174" fontId="2" fillId="0" borderId="2" xfId="0" applyNumberFormat="1" applyFont="1" applyBorder="1" applyAlignment="1" applyProtection="1">
      <alignment vertical="center"/>
      <protection locked="0" hidden="1"/>
    </xf>
    <xf numFmtId="174" fontId="2" fillId="0" borderId="0" xfId="0" applyNumberFormat="1" applyFont="1" applyAlignment="1" applyProtection="1">
      <alignment horizontal="left" vertical="center"/>
      <protection locked="0" hidden="1"/>
    </xf>
    <xf numFmtId="174" fontId="2" fillId="0" borderId="8" xfId="0" applyNumberFormat="1" applyFont="1" applyBorder="1" applyAlignment="1" applyProtection="1">
      <alignment vertical="center"/>
      <protection locked="0" hidden="1"/>
    </xf>
    <xf numFmtId="174" fontId="2" fillId="0" borderId="3" xfId="0" applyNumberFormat="1" applyFont="1" applyBorder="1" applyAlignment="1" applyProtection="1">
      <alignment vertical="center"/>
      <protection locked="0" hidden="1"/>
    </xf>
    <xf numFmtId="174" fontId="2" fillId="0" borderId="9" xfId="0" applyNumberFormat="1" applyFont="1" applyBorder="1" applyAlignment="1" applyProtection="1">
      <alignment vertical="center"/>
      <protection locked="0" hidden="1"/>
    </xf>
    <xf numFmtId="174" fontId="2" fillId="0" borderId="1" xfId="0" applyNumberFormat="1" applyFont="1" applyBorder="1" applyAlignment="1" applyProtection="1">
      <alignment vertical="center"/>
      <protection locked="0" hidden="1"/>
    </xf>
    <xf numFmtId="174" fontId="2" fillId="0" borderId="10" xfId="0" applyNumberFormat="1" applyFont="1" applyBorder="1" applyAlignment="1" applyProtection="1">
      <alignment vertical="center"/>
      <protection locked="0" hidden="1"/>
    </xf>
    <xf numFmtId="174" fontId="7" fillId="3" borderId="0" xfId="0" applyNumberFormat="1" applyFont="1" applyFill="1" applyAlignment="1" applyProtection="1">
      <alignment vertical="center"/>
      <protection locked="0" hidden="1"/>
    </xf>
    <xf numFmtId="174" fontId="4" fillId="0" borderId="0" xfId="0" applyNumberFormat="1"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174" fontId="17" fillId="0" borderId="14" xfId="1" applyNumberFormat="1" applyFont="1" applyFill="1" applyBorder="1" applyAlignment="1" applyProtection="1">
      <alignment vertical="center"/>
      <protection locked="0" hidden="1"/>
    </xf>
    <xf numFmtId="174" fontId="11" fillId="0" borderId="17" xfId="0" applyNumberFormat="1" applyFont="1" applyBorder="1" applyAlignment="1" applyProtection="1">
      <alignment vertical="center" wrapText="1"/>
      <protection locked="0" hidden="1"/>
    </xf>
    <xf numFmtId="174" fontId="11" fillId="0" borderId="17" xfId="1" applyNumberFormat="1" applyFont="1" applyBorder="1" applyAlignment="1" applyProtection="1">
      <alignment vertical="center" wrapText="1"/>
      <protection locked="0" hidden="1"/>
    </xf>
    <xf numFmtId="174" fontId="22" fillId="0" borderId="0" xfId="0" applyNumberFormat="1" applyFont="1" applyAlignment="1" applyProtection="1">
      <alignment vertical="center"/>
      <protection locked="0" hidden="1"/>
    </xf>
    <xf numFmtId="174" fontId="45" fillId="0" borderId="0" xfId="0" applyNumberFormat="1" applyFont="1" applyProtection="1">
      <protection locked="0" hidden="1"/>
    </xf>
    <xf numFmtId="174" fontId="46" fillId="0" borderId="0" xfId="0" applyNumberFormat="1" applyFont="1" applyAlignment="1" applyProtection="1">
      <alignment horizontal="right" vertical="center"/>
      <protection locked="0" hidden="1"/>
    </xf>
    <xf numFmtId="175" fontId="17" fillId="0" borderId="14"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left" vertical="center"/>
      <protection locked="0" hidden="1"/>
    </xf>
    <xf numFmtId="175" fontId="17" fillId="0" borderId="16" xfId="0" applyNumberFormat="1" applyFont="1" applyBorder="1" applyAlignment="1" applyProtection="1">
      <alignment vertical="center"/>
      <protection locked="0" hidden="1"/>
    </xf>
    <xf numFmtId="174" fontId="18" fillId="0" borderId="0" xfId="1" applyNumberFormat="1" applyFont="1" applyAlignment="1" applyProtection="1">
      <alignment vertical="center"/>
      <protection locked="0" hidden="1"/>
    </xf>
    <xf numFmtId="174" fontId="28" fillId="0" borderId="0" xfId="1" applyNumberFormat="1" applyFont="1" applyAlignment="1" applyProtection="1">
      <alignment vertical="center"/>
      <protection locked="0" hidden="1"/>
    </xf>
    <xf numFmtId="174"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74" fontId="4" fillId="0" borderId="0" xfId="0" applyNumberFormat="1" applyFont="1" applyAlignment="1" applyProtection="1">
      <alignment vertical="center"/>
      <protection locked="0" hidden="1"/>
    </xf>
    <xf numFmtId="174" fontId="11" fillId="0" borderId="0" xfId="1" applyNumberFormat="1" applyFont="1" applyFill="1" applyBorder="1" applyAlignment="1" applyProtection="1">
      <alignment vertical="center"/>
      <protection locked="0" hidden="1"/>
    </xf>
    <xf numFmtId="174" fontId="5" fillId="0" borderId="0" xfId="0" applyNumberFormat="1" applyFont="1" applyAlignment="1" applyProtection="1">
      <alignment vertical="center"/>
      <protection locked="0" hidden="1"/>
    </xf>
    <xf numFmtId="174" fontId="8" fillId="3" borderId="0" xfId="0" applyNumberFormat="1" applyFont="1" applyFill="1" applyAlignment="1" applyProtection="1">
      <alignment vertical="center"/>
      <protection locked="0" hidden="1"/>
    </xf>
    <xf numFmtId="174" fontId="18" fillId="0" borderId="0" xfId="0" applyNumberFormat="1" applyFont="1" applyAlignment="1" applyProtection="1">
      <alignment vertical="center"/>
      <protection locked="0" hidden="1"/>
    </xf>
    <xf numFmtId="174" fontId="13" fillId="0" borderId="7" xfId="0" applyNumberFormat="1" applyFont="1" applyBorder="1" applyAlignment="1" applyProtection="1">
      <alignment vertical="center"/>
      <protection locked="0" hidden="1"/>
    </xf>
    <xf numFmtId="174" fontId="4" fillId="0" borderId="0" xfId="0" applyNumberFormat="1" applyFont="1" applyAlignment="1" applyProtection="1">
      <alignment horizontal="left" vertical="center"/>
      <protection locked="0" hidden="1"/>
    </xf>
    <xf numFmtId="174" fontId="17" fillId="0" borderId="17" xfId="1" applyNumberFormat="1" applyFont="1" applyBorder="1" applyAlignment="1" applyProtection="1">
      <alignment vertical="center"/>
      <protection locked="0" hidden="1"/>
    </xf>
    <xf numFmtId="176" fontId="11" fillId="0" borderId="0" xfId="0" applyNumberFormat="1" applyFont="1" applyAlignment="1" applyProtection="1">
      <alignment vertical="center"/>
      <protection locked="0" hidden="1"/>
    </xf>
    <xf numFmtId="176" fontId="11" fillId="0" borderId="0" xfId="0" applyNumberFormat="1" applyFont="1" applyAlignment="1" applyProtection="1">
      <alignment horizontal="center" vertical="center"/>
      <protection locked="0" hidden="1"/>
    </xf>
    <xf numFmtId="176" fontId="14" fillId="0" borderId="0" xfId="1" applyNumberFormat="1" applyFont="1" applyAlignment="1" applyProtection="1">
      <alignment vertical="center"/>
      <protection locked="0" hidden="1"/>
    </xf>
    <xf numFmtId="0" fontId="45" fillId="0" borderId="0" xfId="0" applyFont="1" applyAlignment="1" applyProtection="1">
      <alignment vertical="center"/>
      <protection locked="0" hidden="1"/>
    </xf>
    <xf numFmtId="174" fontId="14" fillId="5" borderId="0" xfId="1" applyNumberFormat="1" applyFont="1" applyFill="1" applyAlignment="1" applyProtection="1">
      <alignment horizontal="center" vertical="center"/>
      <protection locked="0" hidden="1"/>
    </xf>
    <xf numFmtId="174" fontId="11" fillId="0" borderId="0" xfId="1" applyNumberFormat="1" applyFont="1" applyFill="1" applyAlignment="1" applyProtection="1">
      <alignment horizontal="right" vertical="center"/>
      <protection locked="0" hidden="1"/>
    </xf>
    <xf numFmtId="174" fontId="33" fillId="0" borderId="0" xfId="1" applyNumberFormat="1" applyFont="1" applyFill="1" applyAlignment="1" applyProtection="1">
      <alignment horizontal="right" vertical="center"/>
      <protection locked="0" hidden="1"/>
    </xf>
    <xf numFmtId="174" fontId="29" fillId="0" borderId="0" xfId="1" applyNumberFormat="1" applyFont="1" applyFill="1" applyAlignment="1" applyProtection="1">
      <alignment horizontal="right" vertical="center"/>
      <protection locked="0" hidden="1"/>
    </xf>
    <xf numFmtId="174" fontId="15" fillId="0" borderId="0" xfId="1" applyNumberFormat="1" applyFont="1" applyFill="1" applyAlignment="1" applyProtection="1">
      <alignment horizontal="right" vertical="center"/>
      <protection locked="0" hidden="1"/>
    </xf>
    <xf numFmtId="174" fontId="34" fillId="0" borderId="0" xfId="1" applyNumberFormat="1" applyFont="1" applyFill="1" applyAlignment="1" applyProtection="1">
      <alignment horizontal="right" vertical="center"/>
      <protection locked="0" hidden="1"/>
    </xf>
    <xf numFmtId="174" fontId="15" fillId="0" borderId="0" xfId="1" applyNumberFormat="1" applyFont="1" applyFill="1" applyBorder="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protection locked="0" hidden="1"/>
    </xf>
    <xf numFmtId="174" fontId="21" fillId="0" borderId="0" xfId="1" applyNumberFormat="1" applyFont="1" applyFill="1" applyBorder="1" applyAlignment="1" applyProtection="1">
      <alignment horizontal="right" vertical="center"/>
      <protection locked="0" hidden="1"/>
    </xf>
    <xf numFmtId="174" fontId="33" fillId="0" borderId="0" xfId="1" applyNumberFormat="1" applyFont="1" applyFill="1" applyBorder="1" applyAlignment="1" applyProtection="1">
      <alignment horizontal="right" vertical="center"/>
      <protection locked="0" hidden="1"/>
    </xf>
    <xf numFmtId="174" fontId="25" fillId="0" borderId="0" xfId="1" applyNumberFormat="1" applyFont="1" applyFill="1" applyAlignment="1" applyProtection="1">
      <alignment horizontal="right" vertical="center"/>
      <protection locked="0" hidden="1"/>
    </xf>
    <xf numFmtId="174" fontId="23" fillId="0" borderId="0" xfId="1" applyNumberFormat="1" applyFont="1" applyFill="1" applyAlignment="1" applyProtection="1">
      <alignment horizontal="right" vertical="center"/>
      <protection locked="0" hidden="1"/>
    </xf>
    <xf numFmtId="174" fontId="36" fillId="0" borderId="0" xfId="1" applyNumberFormat="1" applyFont="1" applyFill="1" applyAlignment="1" applyProtection="1">
      <alignment horizontal="right" vertical="center"/>
      <protection locked="0" hidden="1"/>
    </xf>
    <xf numFmtId="174" fontId="21" fillId="0" borderId="0" xfId="1" applyNumberFormat="1" applyFont="1" applyFill="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wrapText="1"/>
      <protection locked="0" hidden="1"/>
    </xf>
    <xf numFmtId="174" fontId="37" fillId="0" borderId="0" xfId="1" applyNumberFormat="1" applyFont="1" applyFill="1" applyAlignment="1" applyProtection="1">
      <alignment horizontal="right" vertical="center"/>
      <protection locked="0" hidden="1"/>
    </xf>
    <xf numFmtId="173" fontId="11" fillId="0" borderId="0" xfId="0" applyNumberFormat="1" applyFont="1" applyAlignment="1" applyProtection="1">
      <alignment vertical="center"/>
      <protection locked="0" hidden="1"/>
    </xf>
    <xf numFmtId="20" fontId="11" fillId="0" borderId="0" xfId="0" applyNumberFormat="1" applyFont="1" applyAlignment="1" applyProtection="1">
      <alignment horizontal="center" vertical="center"/>
      <protection locked="0" hidden="1"/>
    </xf>
    <xf numFmtId="43" fontId="14" fillId="0" borderId="0" xfId="1" applyFont="1" applyAlignment="1" applyProtection="1">
      <alignment vertical="center"/>
      <protection locked="0" hidden="1"/>
    </xf>
    <xf numFmtId="9" fontId="14" fillId="6" borderId="0" xfId="2" applyFont="1" applyFill="1" applyAlignment="1" applyProtection="1">
      <alignment vertical="center"/>
      <protection locked="0" hidden="1"/>
    </xf>
    <xf numFmtId="174" fontId="11" fillId="0" borderId="22" xfId="0" applyNumberFormat="1" applyFont="1" applyBorder="1" applyAlignment="1" applyProtection="1">
      <alignment vertical="center"/>
      <protection locked="0" hidden="1"/>
    </xf>
    <xf numFmtId="175" fontId="11" fillId="0" borderId="0" xfId="0" applyNumberFormat="1" applyFont="1" applyAlignment="1" applyProtection="1">
      <alignment vertical="center"/>
      <protection locked="0" hidden="1"/>
    </xf>
    <xf numFmtId="0" fontId="47" fillId="0" borderId="0" xfId="0" applyFont="1" applyAlignment="1" applyProtection="1">
      <alignment vertical="center"/>
      <protection locked="0" hidden="1"/>
    </xf>
    <xf numFmtId="0" fontId="48" fillId="0" borderId="0" xfId="0" applyFont="1" applyAlignment="1" applyProtection="1">
      <alignment vertical="center"/>
      <protection locked="0" hidden="1"/>
    </xf>
    <xf numFmtId="0" fontId="49" fillId="0" borderId="0" xfId="0" applyFont="1" applyAlignment="1" applyProtection="1">
      <alignment vertical="center"/>
      <protection locked="0" hidden="1"/>
    </xf>
    <xf numFmtId="9" fontId="11" fillId="0" borderId="0" xfId="2" applyFont="1" applyFill="1" applyAlignment="1" applyProtection="1">
      <alignment vertical="center"/>
      <protection locked="0" hidden="1"/>
    </xf>
    <xf numFmtId="175" fontId="31" fillId="5" borderId="0" xfId="1" applyNumberFormat="1" applyFont="1" applyFill="1" applyAlignment="1" applyProtection="1">
      <alignment horizontal="center" vertical="center"/>
      <protection locked="0" hidden="1"/>
    </xf>
    <xf numFmtId="174" fontId="31" fillId="5" borderId="0" xfId="1" applyNumberFormat="1" applyFont="1" applyFill="1" applyAlignment="1" applyProtection="1">
      <alignment horizontal="center" vertical="center"/>
      <protection locked="0" hidden="1"/>
    </xf>
    <xf numFmtId="174" fontId="11" fillId="0" borderId="0" xfId="1" applyNumberFormat="1" applyFont="1" applyAlignment="1" applyProtection="1">
      <alignment horizontal="right" vertical="center"/>
      <protection locked="0" hidden="1"/>
    </xf>
    <xf numFmtId="174" fontId="15" fillId="0" borderId="0" xfId="0" applyNumberFormat="1" applyFont="1" applyAlignment="1" applyProtection="1">
      <alignment horizontal="center" vertical="center"/>
      <protection locked="0" hidden="1"/>
    </xf>
    <xf numFmtId="174" fontId="15" fillId="0" borderId="0" xfId="1" applyNumberFormat="1" applyFont="1" applyFill="1" applyBorder="1" applyAlignment="1" applyProtection="1">
      <alignment horizontal="center" vertical="center"/>
      <protection locked="0" hidden="1"/>
    </xf>
    <xf numFmtId="174" fontId="26" fillId="0" borderId="0" xfId="1" applyNumberFormat="1" applyFont="1" applyFill="1" applyAlignment="1" applyProtection="1">
      <alignment vertical="center"/>
      <protection locked="0" hidden="1"/>
    </xf>
    <xf numFmtId="174" fontId="15" fillId="0" borderId="0" xfId="1" applyNumberFormat="1" applyFont="1" applyFill="1" applyAlignment="1" applyProtection="1">
      <alignment horizontal="center" vertical="center"/>
      <protection locked="0" hidden="1"/>
    </xf>
    <xf numFmtId="174" fontId="26" fillId="0" borderId="0" xfId="0" applyNumberFormat="1" applyFont="1" applyAlignment="1" applyProtection="1">
      <alignment vertical="center"/>
      <protection locked="0" hidden="1"/>
    </xf>
    <xf numFmtId="174" fontId="11" fillId="0" borderId="0" xfId="1" applyNumberFormat="1" applyFont="1" applyFill="1" applyAlignment="1" applyProtection="1">
      <alignment vertical="center"/>
      <protection locked="0" hidden="1"/>
    </xf>
    <xf numFmtId="174" fontId="11" fillId="0" borderId="0" xfId="1" applyNumberFormat="1" applyFont="1" applyFill="1" applyAlignment="1" applyProtection="1">
      <alignment horizontal="center" vertical="center"/>
      <protection locked="0" hidden="1"/>
    </xf>
    <xf numFmtId="174" fontId="19" fillId="0" borderId="0" xfId="1" applyNumberFormat="1" applyFont="1" applyFill="1" applyBorder="1" applyAlignment="1" applyProtection="1">
      <alignment horizontal="center" vertical="center"/>
      <protection locked="0" hidden="1"/>
    </xf>
    <xf numFmtId="174" fontId="19" fillId="0" borderId="0" xfId="0" applyNumberFormat="1" applyFont="1" applyAlignment="1" applyProtection="1">
      <alignment horizontal="left" vertical="center" indent="4"/>
      <protection locked="0" hidden="1"/>
    </xf>
    <xf numFmtId="174" fontId="19" fillId="0" borderId="0" xfId="1" applyNumberFormat="1" applyFont="1" applyFill="1" applyBorder="1" applyAlignment="1" applyProtection="1">
      <alignment vertical="center"/>
      <protection locked="0" hidden="1"/>
    </xf>
    <xf numFmtId="174" fontId="19" fillId="0" borderId="0" xfId="1" applyNumberFormat="1" applyFont="1" applyFill="1" applyAlignment="1" applyProtection="1">
      <alignment vertical="center"/>
      <protection locked="0" hidden="1"/>
    </xf>
    <xf numFmtId="174" fontId="11" fillId="0" borderId="0" xfId="0" applyNumberFormat="1" applyFont="1" applyAlignment="1" applyProtection="1">
      <alignment horizontal="left" vertical="center" indent="2"/>
      <protection locked="0" hidden="1"/>
    </xf>
    <xf numFmtId="174" fontId="19" fillId="0" borderId="0" xfId="0" applyNumberFormat="1" applyFont="1" applyAlignment="1" applyProtection="1">
      <alignment horizontal="center" vertical="center"/>
      <protection locked="0" hidden="1"/>
    </xf>
    <xf numFmtId="174" fontId="15" fillId="0" borderId="0" xfId="1" applyNumberFormat="1" applyFont="1" applyFill="1" applyAlignment="1" applyProtection="1">
      <alignment vertical="center"/>
      <protection locked="0" hidden="1"/>
    </xf>
    <xf numFmtId="174" fontId="15" fillId="0" borderId="0" xfId="0" applyNumberFormat="1" applyFont="1" applyAlignment="1" applyProtection="1">
      <alignment horizontal="left" vertical="center"/>
      <protection locked="0" hidden="1"/>
    </xf>
    <xf numFmtId="174" fontId="19" fillId="0" borderId="16" xfId="0" applyNumberFormat="1" applyFont="1" applyBorder="1" applyAlignment="1" applyProtection="1">
      <alignment horizontal="left" vertical="center" indent="2"/>
      <protection locked="0" hidden="1"/>
    </xf>
    <xf numFmtId="174" fontId="19" fillId="0" borderId="0" xfId="1" applyNumberFormat="1" applyFont="1" applyFill="1" applyAlignment="1" applyProtection="1">
      <alignment horizontal="center" vertical="center"/>
      <protection locked="0" hidden="1"/>
    </xf>
    <xf numFmtId="174" fontId="19" fillId="0" borderId="0" xfId="0" applyNumberFormat="1" applyFont="1" applyProtection="1">
      <protection locked="0" hidden="1"/>
    </xf>
    <xf numFmtId="174" fontId="19" fillId="0" borderId="0" xfId="1" applyNumberFormat="1" applyFont="1" applyAlignment="1" applyProtection="1">
      <alignment vertical="center"/>
      <protection locked="0" hidden="1"/>
    </xf>
    <xf numFmtId="174" fontId="23" fillId="0" borderId="0" xfId="0" applyNumberFormat="1" applyFont="1" applyAlignment="1" applyProtection="1">
      <alignment horizontal="center" vertical="center"/>
      <protection locked="0" hidden="1"/>
    </xf>
    <xf numFmtId="174" fontId="23" fillId="0" borderId="0" xfId="1" applyNumberFormat="1" applyFont="1" applyAlignment="1" applyProtection="1">
      <alignment vertical="center"/>
      <protection locked="0" hidden="1"/>
    </xf>
    <xf numFmtId="174" fontId="19" fillId="0" borderId="0" xfId="1" applyNumberFormat="1" applyFont="1" applyAlignment="1" applyProtection="1">
      <alignment vertical="center" wrapText="1"/>
      <protection locked="0" hidden="1"/>
    </xf>
    <xf numFmtId="174" fontId="19" fillId="0" borderId="0" xfId="1" applyNumberFormat="1" applyFont="1" applyFill="1" applyBorder="1" applyAlignment="1" applyProtection="1">
      <alignment vertical="center" wrapText="1"/>
      <protection locked="0" hidden="1"/>
    </xf>
    <xf numFmtId="174" fontId="19" fillId="0" borderId="0" xfId="0" quotePrefix="1" applyNumberFormat="1" applyFont="1" applyAlignment="1" applyProtection="1">
      <alignment vertical="center" wrapText="1"/>
      <protection locked="0" hidden="1"/>
    </xf>
    <xf numFmtId="174" fontId="19" fillId="0" borderId="0" xfId="0" applyNumberFormat="1" applyFont="1" applyAlignment="1" applyProtection="1">
      <alignment vertical="center" wrapText="1"/>
      <protection locked="0" hidden="1"/>
    </xf>
    <xf numFmtId="174" fontId="11" fillId="0" borderId="0" xfId="2" applyNumberFormat="1" applyFont="1" applyFill="1" applyAlignment="1" applyProtection="1">
      <alignment vertical="center"/>
      <protection locked="0" hidden="1"/>
    </xf>
    <xf numFmtId="174" fontId="11" fillId="0" borderId="14" xfId="0" applyNumberFormat="1" applyFont="1" applyBorder="1" applyAlignment="1" applyProtection="1">
      <alignment vertical="center"/>
      <protection locked="0" hidden="1"/>
    </xf>
    <xf numFmtId="0" fontId="17" fillId="0" borderId="0" xfId="1" applyNumberFormat="1" applyFont="1" applyFill="1" applyBorder="1" applyAlignment="1" applyProtection="1">
      <alignment vertical="center"/>
      <protection locked="0" hidden="1"/>
    </xf>
    <xf numFmtId="174" fontId="11" fillId="0" borderId="0" xfId="0" quotePrefix="1" applyNumberFormat="1" applyFont="1" applyAlignment="1" applyProtection="1">
      <alignment wrapText="1"/>
      <protection locked="0" hidden="1"/>
    </xf>
    <xf numFmtId="174" fontId="23" fillId="0" borderId="0" xfId="0" applyNumberFormat="1" applyFont="1" applyAlignment="1" applyProtection="1">
      <alignment vertical="center"/>
      <protection locked="0" hidden="1"/>
    </xf>
    <xf numFmtId="174" fontId="49" fillId="0" borderId="0" xfId="0" applyNumberFormat="1" applyFont="1" applyAlignment="1" applyProtection="1">
      <alignment vertical="center"/>
      <protection locked="0" hidden="1"/>
    </xf>
    <xf numFmtId="174" fontId="52" fillId="0" borderId="0" xfId="0" applyNumberFormat="1" applyFont="1" applyAlignment="1" applyProtection="1">
      <alignment vertical="center"/>
      <protection locked="0" hidden="1"/>
    </xf>
    <xf numFmtId="0" fontId="53" fillId="0" borderId="0" xfId="0" applyFont="1" applyAlignment="1" applyProtection="1">
      <alignment vertical="center"/>
      <protection locked="0" hidden="1"/>
    </xf>
    <xf numFmtId="0" fontId="50" fillId="0" borderId="0" xfId="0" applyFont="1" applyAlignment="1" applyProtection="1">
      <alignment vertical="center"/>
      <protection locked="0" hidden="1"/>
    </xf>
    <xf numFmtId="0" fontId="53" fillId="5" borderId="0" xfId="0" applyFont="1" applyFill="1" applyAlignment="1" applyProtection="1">
      <alignment vertical="center"/>
      <protection locked="0" hidden="1"/>
    </xf>
    <xf numFmtId="0" fontId="51" fillId="0" borderId="0" xfId="0" applyFont="1" applyAlignment="1" applyProtection="1">
      <alignment vertical="center"/>
      <protection locked="0" hidden="1"/>
    </xf>
    <xf numFmtId="0" fontId="50" fillId="0" borderId="0" xfId="0" applyFont="1" applyAlignment="1" applyProtection="1">
      <alignment horizontal="center" vertical="center"/>
      <protection locked="0" hidden="1"/>
    </xf>
    <xf numFmtId="0" fontId="50" fillId="0" borderId="0" xfId="0" applyFont="1" applyAlignment="1" applyProtection="1">
      <alignment horizontal="left" vertical="center"/>
      <protection locked="0" hidden="1"/>
    </xf>
    <xf numFmtId="164" fontId="50" fillId="0" borderId="0" xfId="1" applyNumberFormat="1" applyFont="1" applyAlignment="1" applyProtection="1">
      <alignment horizontal="center" vertical="center"/>
      <protection locked="0" hidden="1"/>
    </xf>
    <xf numFmtId="175" fontId="14" fillId="0" borderId="0" xfId="0" applyNumberFormat="1" applyFont="1" applyAlignment="1" applyProtection="1">
      <alignment vertical="center"/>
      <protection locked="0" hidden="1"/>
    </xf>
    <xf numFmtId="164" fontId="14" fillId="0" borderId="16" xfId="1" applyNumberFormat="1" applyFont="1" applyBorder="1" applyAlignment="1" applyProtection="1">
      <alignment vertical="center"/>
      <protection locked="0" hidden="1"/>
    </xf>
    <xf numFmtId="164" fontId="11" fillId="0" borderId="16" xfId="1" applyNumberFormat="1" applyFont="1" applyBorder="1" applyAlignment="1" applyProtection="1">
      <alignment vertical="center"/>
      <protection locked="0" hidden="1"/>
    </xf>
    <xf numFmtId="175" fontId="14" fillId="0" borderId="16" xfId="0" applyNumberFormat="1" applyFont="1" applyBorder="1" applyAlignment="1" applyProtection="1">
      <alignment horizontal="right" vertical="center"/>
      <protection locked="0" hidden="1"/>
    </xf>
    <xf numFmtId="175" fontId="14" fillId="0" borderId="16" xfId="1" applyNumberFormat="1" applyFont="1" applyFill="1" applyBorder="1" applyAlignment="1" applyProtection="1">
      <alignment horizontal="right" vertical="center"/>
      <protection locked="0" hidden="1"/>
    </xf>
    <xf numFmtId="9" fontId="14" fillId="0" borderId="16" xfId="2" applyFont="1" applyFill="1" applyBorder="1" applyAlignment="1" applyProtection="1">
      <alignment vertical="center"/>
      <protection locked="0" hidden="1"/>
    </xf>
    <xf numFmtId="175" fontId="11" fillId="0" borderId="16" xfId="0" applyNumberFormat="1" applyFont="1" applyBorder="1" applyAlignment="1" applyProtection="1">
      <alignment vertical="center"/>
      <protection locked="0"/>
    </xf>
    <xf numFmtId="164" fontId="11" fillId="0" borderId="0" xfId="1" applyNumberFormat="1" applyFont="1" applyAlignment="1" applyProtection="1">
      <alignment horizontal="left" vertical="center"/>
      <protection locked="0" hidden="1"/>
    </xf>
    <xf numFmtId="164" fontId="16" fillId="0" borderId="0" xfId="1" applyNumberFormat="1" applyFont="1" applyAlignment="1" applyProtection="1">
      <alignment horizontal="right" vertical="center"/>
      <protection locked="0" hidden="1"/>
    </xf>
    <xf numFmtId="164" fontId="23" fillId="0" borderId="0" xfId="1" applyNumberFormat="1" applyFont="1" applyAlignment="1" applyProtection="1">
      <alignment horizontal="right" vertical="center"/>
      <protection locked="0" hidden="1"/>
    </xf>
    <xf numFmtId="167" fontId="25" fillId="5" borderId="0" xfId="1" applyNumberFormat="1" applyFont="1" applyFill="1" applyAlignment="1" applyProtection="1">
      <alignment horizontal="right" vertical="center"/>
      <protection locked="0" hidden="1"/>
    </xf>
    <xf numFmtId="164" fontId="14" fillId="0" borderId="0" xfId="1" applyNumberFormat="1" applyFont="1" applyAlignment="1" applyProtection="1">
      <alignment horizontal="right" vertical="center"/>
      <protection locked="0" hidden="1"/>
    </xf>
    <xf numFmtId="164" fontId="17" fillId="0" borderId="20" xfId="1" applyNumberFormat="1" applyFont="1" applyBorder="1" applyProtection="1">
      <protection locked="0" hidden="1"/>
    </xf>
    <xf numFmtId="175" fontId="14" fillId="7" borderId="14" xfId="0" applyNumberFormat="1" applyFont="1" applyFill="1" applyBorder="1" applyAlignment="1" applyProtection="1">
      <alignment horizontal="right" vertical="center"/>
      <protection locked="0"/>
    </xf>
    <xf numFmtId="166" fontId="14" fillId="0" borderId="16" xfId="0" applyNumberFormat="1" applyFont="1" applyBorder="1" applyAlignment="1" applyProtection="1">
      <alignment vertical="center"/>
      <protection locked="0" hidden="1"/>
    </xf>
    <xf numFmtId="164" fontId="11" fillId="0" borderId="16" xfId="1" applyNumberFormat="1" applyFont="1" applyFill="1" applyBorder="1" applyAlignment="1" applyProtection="1">
      <alignment vertical="center"/>
      <protection locked="0" hidden="1"/>
    </xf>
    <xf numFmtId="164" fontId="14" fillId="0" borderId="16" xfId="1" applyNumberFormat="1" applyFont="1" applyFill="1" applyBorder="1" applyAlignment="1" applyProtection="1">
      <alignment vertical="center"/>
      <protection locked="0" hidden="1"/>
    </xf>
    <xf numFmtId="164" fontId="7" fillId="3" borderId="0" xfId="1" applyNumberFormat="1" applyFont="1" applyFill="1" applyAlignment="1" applyProtection="1">
      <alignment vertical="center"/>
      <protection locked="0" hidden="1"/>
    </xf>
    <xf numFmtId="164" fontId="2" fillId="0" borderId="0" xfId="1" applyNumberFormat="1" applyFont="1" applyBorder="1" applyAlignment="1" applyProtection="1">
      <alignment vertical="center"/>
      <protection locked="0" hidden="1"/>
    </xf>
    <xf numFmtId="175" fontId="14" fillId="0" borderId="16" xfId="0" applyNumberFormat="1" applyFont="1" applyBorder="1" applyAlignment="1" applyProtection="1">
      <alignment vertical="center"/>
      <protection locked="0" hidden="1"/>
    </xf>
    <xf numFmtId="164" fontId="2" fillId="2" borderId="18" xfId="1" applyNumberFormat="1" applyFont="1" applyFill="1" applyBorder="1" applyAlignment="1" applyProtection="1">
      <alignment vertical="center"/>
      <protection locked="0" hidden="1"/>
    </xf>
    <xf numFmtId="164" fontId="2" fillId="0" borderId="0" xfId="1" applyNumberFormat="1" applyFont="1" applyAlignment="1" applyProtection="1">
      <alignment vertical="center"/>
      <protection locked="0" hidden="1"/>
    </xf>
    <xf numFmtId="168" fontId="14" fillId="0" borderId="16" xfId="0" applyNumberFormat="1" applyFont="1" applyBorder="1" applyAlignment="1" applyProtection="1">
      <alignment vertical="center"/>
      <protection locked="0" hidden="1"/>
    </xf>
    <xf numFmtId="164" fontId="17" fillId="0" borderId="16" xfId="1" applyNumberFormat="1" applyFont="1" applyBorder="1" applyAlignment="1" applyProtection="1">
      <alignment vertical="center" wrapText="1"/>
      <protection locked="0" hidden="1"/>
    </xf>
    <xf numFmtId="164" fontId="17" fillId="0" borderId="12" xfId="1" applyNumberFormat="1" applyFont="1" applyFill="1" applyBorder="1" applyAlignment="1" applyProtection="1">
      <alignment vertical="center"/>
      <protection locked="0" hidden="1"/>
    </xf>
    <xf numFmtId="164" fontId="11" fillId="0" borderId="12" xfId="1" applyNumberFormat="1" applyFont="1" applyBorder="1" applyAlignment="1" applyProtection="1">
      <alignment vertical="center"/>
      <protection locked="0" hidden="1"/>
    </xf>
    <xf numFmtId="164" fontId="17" fillId="0" borderId="12" xfId="1" applyNumberFormat="1" applyFont="1" applyBorder="1" applyAlignment="1" applyProtection="1">
      <alignment vertical="center"/>
      <protection locked="0" hidden="1"/>
    </xf>
    <xf numFmtId="164" fontId="28" fillId="0" borderId="16" xfId="1" applyNumberFormat="1" applyFont="1" applyFill="1" applyBorder="1" applyAlignment="1" applyProtection="1">
      <alignment vertical="center"/>
      <protection locked="0" hidden="1"/>
    </xf>
    <xf numFmtId="164" fontId="11" fillId="0" borderId="0" xfId="1" applyNumberFormat="1" applyFont="1" applyFill="1" applyAlignment="1" applyProtection="1">
      <alignment vertical="center"/>
      <protection locked="0" hidden="1"/>
    </xf>
    <xf numFmtId="164" fontId="14" fillId="0" borderId="0" xfId="1" applyNumberFormat="1" applyFont="1" applyFill="1" applyAlignment="1" applyProtection="1">
      <alignment vertical="center"/>
      <protection locked="0" hidden="1"/>
    </xf>
    <xf numFmtId="164" fontId="11" fillId="5" borderId="0" xfId="1" applyNumberFormat="1" applyFont="1" applyFill="1" applyAlignment="1" applyProtection="1">
      <alignment vertical="center"/>
      <protection locked="0" hidden="1"/>
    </xf>
    <xf numFmtId="164" fontId="25" fillId="0" borderId="0" xfId="1" applyNumberFormat="1" applyFont="1" applyAlignment="1" applyProtection="1">
      <alignment vertical="center"/>
      <protection locked="0" hidden="1"/>
    </xf>
    <xf numFmtId="164" fontId="16" fillId="0" borderId="0" xfId="1" applyNumberFormat="1" applyFont="1" applyAlignment="1" applyProtection="1">
      <alignment horizontal="center" vertical="center"/>
      <protection locked="0" hidden="1"/>
    </xf>
    <xf numFmtId="173" fontId="15" fillId="5" borderId="0" xfId="0" applyNumberFormat="1" applyFont="1" applyFill="1" applyAlignment="1" applyProtection="1">
      <alignment horizontal="center" vertical="center"/>
      <protection locked="0" hidden="1"/>
    </xf>
    <xf numFmtId="9" fontId="24" fillId="0" borderId="0" xfId="2" applyFont="1" applyAlignment="1" applyProtection="1">
      <alignment vertical="center"/>
      <protection locked="0" hidden="1"/>
    </xf>
    <xf numFmtId="173" fontId="11" fillId="5" borderId="0" xfId="1" applyNumberFormat="1" applyFont="1" applyFill="1" applyAlignment="1" applyProtection="1">
      <alignment vertical="center"/>
      <protection locked="0" hidden="1"/>
    </xf>
    <xf numFmtId="164" fontId="17" fillId="0" borderId="17" xfId="1" applyNumberFormat="1" applyFont="1" applyFill="1" applyBorder="1" applyAlignment="1" applyProtection="1">
      <alignment vertical="center"/>
      <protection locked="0" hidden="1"/>
    </xf>
    <xf numFmtId="0" fontId="13" fillId="0" borderId="8" xfId="0" applyFont="1" applyBorder="1" applyAlignment="1" applyProtection="1">
      <alignment vertical="center"/>
      <protection locked="0" hidden="1"/>
    </xf>
    <xf numFmtId="164" fontId="14" fillId="0" borderId="0" xfId="1" applyNumberFormat="1" applyFont="1" applyFill="1" applyBorder="1" applyAlignment="1" applyProtection="1">
      <alignment vertical="center"/>
      <protection locked="0" hidden="1"/>
    </xf>
    <xf numFmtId="0" fontId="54" fillId="0" borderId="0" xfId="0" applyFont="1" applyAlignment="1" applyProtection="1">
      <alignment vertical="center"/>
      <protection locked="0" hidden="1"/>
    </xf>
    <xf numFmtId="174" fontId="55" fillId="0" borderId="0" xfId="0" applyNumberFormat="1" applyFont="1" applyAlignment="1" applyProtection="1">
      <alignment horizontal="right" vertical="center"/>
      <protection locked="0" hidden="1"/>
    </xf>
    <xf numFmtId="164" fontId="33" fillId="0" borderId="0" xfId="1" applyNumberFormat="1" applyFont="1" applyFill="1" applyBorder="1" applyAlignment="1" applyProtection="1">
      <alignment horizontal="right" vertical="center"/>
      <protection locked="0" hidden="1"/>
    </xf>
    <xf numFmtId="164" fontId="33" fillId="0" borderId="0" xfId="1" applyNumberFormat="1" applyFont="1" applyFill="1" applyAlignment="1" applyProtection="1">
      <alignment horizontal="right" vertical="center"/>
      <protection locked="0" hidden="1"/>
    </xf>
    <xf numFmtId="173" fontId="17" fillId="0" borderId="0" xfId="0" applyNumberFormat="1" applyFont="1" applyAlignment="1" applyProtection="1">
      <alignment vertical="center"/>
      <protection locked="0" hidden="1"/>
    </xf>
    <xf numFmtId="0" fontId="12" fillId="0" borderId="0" xfId="0" applyFont="1" applyAlignment="1" applyProtection="1">
      <alignment vertical="center"/>
      <protection locked="0" hidden="1"/>
    </xf>
    <xf numFmtId="0" fontId="12" fillId="0" borderId="15" xfId="0" applyFont="1" applyBorder="1" applyAlignment="1" applyProtection="1">
      <alignment vertical="center"/>
      <protection locked="0" hidden="1"/>
    </xf>
    <xf numFmtId="164" fontId="17" fillId="6" borderId="0" xfId="0" applyNumberFormat="1" applyFont="1" applyFill="1" applyAlignment="1" applyProtection="1">
      <alignment vertical="center"/>
      <protection locked="0" hidden="1"/>
    </xf>
    <xf numFmtId="165" fontId="17" fillId="6" borderId="0" xfId="0" applyNumberFormat="1" applyFont="1" applyFill="1" applyAlignment="1" applyProtection="1">
      <alignment vertical="center"/>
      <protection locked="0" hidden="1"/>
    </xf>
    <xf numFmtId="10" fontId="17" fillId="6" borderId="0" xfId="0" applyNumberFormat="1" applyFont="1" applyFill="1" applyAlignment="1" applyProtection="1">
      <alignment vertical="center"/>
      <protection locked="0" hidden="1"/>
    </xf>
    <xf numFmtId="164" fontId="17" fillId="6" borderId="0" xfId="0" applyNumberFormat="1" applyFont="1" applyFill="1" applyProtection="1">
      <protection locked="0" hidden="1"/>
    </xf>
    <xf numFmtId="9" fontId="17" fillId="6" borderId="0" xfId="0" applyNumberFormat="1" applyFont="1" applyFill="1" applyProtection="1">
      <protection locked="0" hidden="1"/>
    </xf>
    <xf numFmtId="165" fontId="14" fillId="6" borderId="0" xfId="0" applyNumberFormat="1" applyFont="1" applyFill="1" applyAlignment="1" applyProtection="1">
      <alignment vertical="center"/>
      <protection locked="0" hidden="1"/>
    </xf>
    <xf numFmtId="9" fontId="14" fillId="6" borderId="0" xfId="0" applyNumberFormat="1" applyFont="1" applyFill="1" applyAlignment="1" applyProtection="1">
      <alignment vertical="center"/>
      <protection locked="0" hidden="1"/>
    </xf>
    <xf numFmtId="173" fontId="14" fillId="0" borderId="0" xfId="0" applyNumberFormat="1" applyFont="1" applyAlignment="1" applyProtection="1">
      <alignment vertical="center"/>
      <protection locked="0" hidden="1"/>
    </xf>
    <xf numFmtId="0" fontId="45" fillId="0" borderId="0" xfId="0" applyFont="1" applyAlignment="1">
      <alignment vertical="center"/>
    </xf>
    <xf numFmtId="22" fontId="11" fillId="0" borderId="0" xfId="0" applyNumberFormat="1" applyFont="1" applyAlignment="1" applyProtection="1">
      <alignment vertical="center"/>
      <protection locked="0" hidden="1"/>
    </xf>
    <xf numFmtId="0" fontId="11" fillId="0" borderId="23" xfId="0" applyFont="1" applyBorder="1" applyAlignment="1" applyProtection="1">
      <alignment vertical="center"/>
      <protection locked="0" hidden="1"/>
    </xf>
    <xf numFmtId="0" fontId="11" fillId="0" borderId="24" xfId="0" applyFont="1" applyBorder="1" applyAlignment="1" applyProtection="1">
      <alignment vertical="center"/>
      <protection locked="0" hidden="1"/>
    </xf>
    <xf numFmtId="22" fontId="11" fillId="0" borderId="24" xfId="0" applyNumberFormat="1" applyFont="1" applyBorder="1" applyAlignment="1" applyProtection="1">
      <alignment vertical="center"/>
      <protection locked="0" hidden="1"/>
    </xf>
    <xf numFmtId="0" fontId="11" fillId="0" borderId="25" xfId="0" applyFont="1" applyBorder="1" applyAlignment="1" applyProtection="1">
      <alignment vertical="center"/>
      <protection locked="0" hidden="1"/>
    </xf>
    <xf numFmtId="173" fontId="17" fillId="0" borderId="24" xfId="0" applyNumberFormat="1" applyFont="1" applyBorder="1" applyAlignment="1" applyProtection="1">
      <alignment vertical="center"/>
      <protection locked="0" hidden="1"/>
    </xf>
    <xf numFmtId="177" fontId="17" fillId="0" borderId="24" xfId="0" applyNumberFormat="1" applyFont="1" applyBorder="1" applyAlignment="1" applyProtection="1">
      <alignment vertical="center"/>
      <protection locked="0" hidden="1"/>
    </xf>
    <xf numFmtId="175" fontId="17" fillId="0" borderId="16" xfId="1" applyNumberFormat="1" applyFont="1" applyFill="1" applyBorder="1" applyAlignment="1" applyProtection="1">
      <alignment vertical="center"/>
      <protection locked="0" hidden="1"/>
    </xf>
    <xf numFmtId="9" fontId="17" fillId="0" borderId="16" xfId="2" applyFont="1" applyBorder="1" applyAlignment="1" applyProtection="1">
      <alignment vertical="center"/>
      <protection locked="0" hidden="1"/>
    </xf>
    <xf numFmtId="173" fontId="31" fillId="5" borderId="0" xfId="1" applyNumberFormat="1" applyFont="1" applyFill="1" applyAlignment="1" applyProtection="1">
      <alignment horizontal="center" vertical="center"/>
      <protection locked="0" hidden="1"/>
    </xf>
    <xf numFmtId="43" fontId="17" fillId="6" borderId="0" xfId="1" applyFont="1" applyFill="1" applyAlignment="1" applyProtection="1">
      <alignment vertical="center"/>
      <protection locked="0" hidden="1"/>
    </xf>
    <xf numFmtId="164" fontId="17" fillId="6" borderId="0" xfId="2" applyNumberFormat="1" applyFont="1" applyFill="1" applyAlignment="1" applyProtection="1">
      <alignment vertical="center"/>
      <protection locked="0" hidden="1"/>
    </xf>
    <xf numFmtId="0" fontId="12" fillId="0" borderId="26" xfId="0" applyFont="1" applyBorder="1" applyAlignment="1">
      <alignment vertical="center"/>
    </xf>
    <xf numFmtId="14" fontId="0" fillId="0" borderId="0" xfId="0" applyNumberFormat="1" applyAlignment="1">
      <alignment horizontal="left"/>
    </xf>
    <xf numFmtId="14" fontId="0" fillId="0" borderId="0" xfId="0" applyNumberFormat="1"/>
    <xf numFmtId="14" fontId="0" fillId="0" borderId="0" xfId="0" applyNumberFormat="1" applyProtection="1">
      <protection locked="0" hidden="1"/>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left"/>
      <protection locked="0" hidden="1"/>
    </xf>
    <xf numFmtId="0" fontId="0" fillId="0" borderId="0" xfId="0" applyAlignment="1" applyProtection="1">
      <alignment horizontal="left"/>
      <protection locked="0" hidden="1"/>
    </xf>
    <xf numFmtId="174" fontId="17" fillId="0" borderId="16" xfId="1" applyNumberFormat="1" applyFont="1" applyBorder="1" applyAlignment="1" applyProtection="1">
      <alignment vertical="center"/>
      <protection locked="0" hidden="1"/>
    </xf>
    <xf numFmtId="164" fontId="58" fillId="0" borderId="16" xfId="1" applyNumberFormat="1" applyFont="1" applyFill="1" applyBorder="1" applyAlignment="1" applyProtection="1">
      <alignment vertical="center"/>
      <protection locked="0" hidden="1"/>
    </xf>
    <xf numFmtId="173" fontId="59" fillId="5" borderId="0" xfId="0" applyNumberFormat="1" applyFont="1" applyFill="1" applyAlignment="1" applyProtection="1">
      <alignment vertical="center"/>
      <protection locked="0" hidden="1"/>
    </xf>
    <xf numFmtId="43" fontId="11" fillId="0" borderId="0" xfId="1" applyFont="1" applyAlignment="1" applyProtection="1">
      <alignment vertical="center"/>
      <protection locked="0" hidden="1"/>
    </xf>
    <xf numFmtId="14" fontId="17" fillId="0" borderId="0" xfId="0" applyNumberFormat="1" applyFont="1" applyAlignment="1" applyProtection="1">
      <alignment vertical="center"/>
      <protection locked="0"/>
    </xf>
    <xf numFmtId="166" fontId="22" fillId="0" borderId="0" xfId="0" applyNumberFormat="1" applyFont="1" applyAlignment="1" applyProtection="1">
      <alignment horizontal="center" vertical="center"/>
      <protection locked="0" hidden="1"/>
    </xf>
    <xf numFmtId="173" fontId="11" fillId="5" borderId="0" xfId="0" applyNumberFormat="1" applyFont="1" applyFill="1" applyAlignment="1" applyProtection="1">
      <alignment vertical="center"/>
      <protection locked="0" hidden="1"/>
    </xf>
    <xf numFmtId="43" fontId="17" fillId="0" borderId="0" xfId="1" applyFont="1" applyAlignment="1" applyProtection="1">
      <alignment horizontal="left" vertical="center" indent="2"/>
      <protection locked="0" hidden="1"/>
    </xf>
    <xf numFmtId="9" fontId="11" fillId="5" borderId="0" xfId="2" applyFont="1" applyFill="1" applyAlignment="1" applyProtection="1">
      <alignment vertical="center"/>
      <protection locked="0" hidden="1"/>
    </xf>
    <xf numFmtId="164" fontId="11" fillId="0" borderId="0" xfId="0" applyNumberFormat="1" applyFont="1" applyAlignment="1" applyProtection="1">
      <alignment horizontal="right" vertical="center"/>
      <protection locked="0" hidden="1"/>
    </xf>
    <xf numFmtId="164" fontId="33" fillId="0" borderId="0" xfId="0" applyNumberFormat="1" applyFont="1" applyAlignment="1" applyProtection="1">
      <alignment horizontal="right" vertical="center"/>
      <protection locked="0" hidden="1"/>
    </xf>
    <xf numFmtId="0" fontId="17" fillId="0" borderId="0" xfId="0" applyFont="1" applyAlignment="1">
      <alignment vertical="center"/>
    </xf>
    <xf numFmtId="0" fontId="17" fillId="0" borderId="0" xfId="0" applyFont="1"/>
    <xf numFmtId="164" fontId="34" fillId="0" borderId="0" xfId="1" applyNumberFormat="1" applyFont="1" applyFill="1" applyAlignment="1" applyProtection="1">
      <alignment horizontal="right" vertical="center"/>
      <protection locked="0" hidden="1"/>
    </xf>
    <xf numFmtId="9" fontId="11" fillId="0" borderId="0" xfId="2" applyFont="1" applyAlignment="1" applyProtection="1">
      <alignment horizontal="center" vertical="center"/>
      <protection locked="0" hidden="1"/>
    </xf>
    <xf numFmtId="9" fontId="15" fillId="0" borderId="0" xfId="2" applyFont="1" applyAlignment="1" applyProtection="1">
      <alignment horizontal="center" vertical="center"/>
      <protection locked="0" hidden="1"/>
    </xf>
    <xf numFmtId="164" fontId="11" fillId="0" borderId="0" xfId="1" applyNumberFormat="1" applyFont="1" applyAlignment="1" applyProtection="1">
      <alignment horizontal="center" vertical="center"/>
      <protection locked="0" hidden="1"/>
    </xf>
    <xf numFmtId="164" fontId="15" fillId="0" borderId="0" xfId="1" applyNumberFormat="1" applyFont="1" applyAlignment="1" applyProtection="1">
      <alignment horizontal="center" vertical="center"/>
      <protection locked="0" hidden="1"/>
    </xf>
    <xf numFmtId="164" fontId="16" fillId="0" borderId="0" xfId="1" applyNumberFormat="1" applyFont="1" applyAlignment="1" applyProtection="1">
      <alignment vertical="center"/>
      <protection locked="0" hidden="1"/>
    </xf>
    <xf numFmtId="164" fontId="17" fillId="0" borderId="0" xfId="1" applyNumberFormat="1" applyFont="1" applyAlignment="1">
      <alignment vertical="center"/>
    </xf>
    <xf numFmtId="164" fontId="22" fillId="0" borderId="0" xfId="1" applyNumberFormat="1" applyFont="1" applyAlignment="1" applyProtection="1">
      <alignment vertical="center"/>
      <protection locked="0" hidden="1"/>
    </xf>
    <xf numFmtId="164" fontId="14" fillId="0" borderId="12" xfId="1" applyNumberFormat="1" applyFont="1" applyBorder="1" applyAlignment="1" applyProtection="1">
      <alignment vertical="center"/>
      <protection locked="0" hidden="1"/>
    </xf>
    <xf numFmtId="164" fontId="23" fillId="0" borderId="0" xfId="1" applyNumberFormat="1" applyFont="1" applyAlignment="1" applyProtection="1">
      <alignment vertical="center"/>
      <protection locked="0" hidden="1"/>
    </xf>
    <xf numFmtId="164" fontId="17" fillId="0" borderId="0" xfId="1" applyNumberFormat="1" applyFont="1"/>
    <xf numFmtId="9" fontId="22" fillId="0" borderId="0" xfId="2" applyFont="1" applyAlignment="1" applyProtection="1">
      <alignment vertical="center"/>
      <protection locked="0" hidden="1"/>
    </xf>
    <xf numFmtId="164" fontId="17" fillId="0" borderId="0" xfId="1" applyNumberFormat="1" applyFont="1" applyAlignment="1" applyProtection="1">
      <alignment horizontal="right" vertical="center"/>
      <protection locked="0" hidden="1"/>
    </xf>
    <xf numFmtId="9" fontId="17" fillId="0" borderId="0" xfId="2" applyFont="1" applyAlignment="1" applyProtection="1">
      <alignment horizontal="right" vertical="center"/>
      <protection locked="0" hidden="1"/>
    </xf>
    <xf numFmtId="164" fontId="12" fillId="0" borderId="26" xfId="1" applyNumberFormat="1" applyFont="1" applyBorder="1" applyAlignment="1">
      <alignment vertical="center"/>
    </xf>
    <xf numFmtId="164" fontId="17" fillId="0" borderId="0" xfId="0" applyNumberFormat="1" applyFont="1" applyAlignment="1" applyProtection="1">
      <alignment horizontal="right" vertical="center"/>
      <protection locked="0" hidden="1"/>
    </xf>
    <xf numFmtId="164" fontId="12" fillId="0" borderId="11" xfId="1" applyNumberFormat="1" applyFont="1" applyBorder="1" applyAlignment="1">
      <alignment horizontal="center" vertical="center"/>
    </xf>
    <xf numFmtId="9" fontId="11" fillId="0" borderId="0" xfId="2" applyFont="1" applyAlignment="1" applyProtection="1">
      <alignment horizontal="right" vertical="center"/>
      <protection locked="0" hidden="1"/>
    </xf>
    <xf numFmtId="9" fontId="12" fillId="0" borderId="11" xfId="2" applyFont="1" applyBorder="1" applyAlignment="1">
      <alignment horizontal="center" vertical="center"/>
    </xf>
    <xf numFmtId="9" fontId="17" fillId="0" borderId="0" xfId="0" applyNumberFormat="1" applyFont="1" applyAlignment="1" applyProtection="1">
      <alignment horizontal="right" vertical="center"/>
      <protection locked="0" hidden="1"/>
    </xf>
    <xf numFmtId="164" fontId="17" fillId="0" borderId="0" xfId="2" applyNumberFormat="1" applyFont="1" applyAlignment="1" applyProtection="1">
      <alignment horizontal="right" vertical="center"/>
      <protection locked="0" hidden="1"/>
    </xf>
    <xf numFmtId="164" fontId="17" fillId="0" borderId="0" xfId="0" applyNumberFormat="1" applyFont="1" applyAlignment="1">
      <alignment vertical="center"/>
    </xf>
    <xf numFmtId="9" fontId="16" fillId="0" borderId="0" xfId="2" applyFont="1" applyAlignment="1" applyProtection="1">
      <alignment horizontal="center" vertical="center"/>
      <protection locked="0" hidden="1"/>
    </xf>
    <xf numFmtId="0" fontId="3" fillId="0" borderId="0" xfId="1" applyNumberFormat="1" applyFont="1" applyProtection="1">
      <protection locked="0" hidden="1"/>
    </xf>
    <xf numFmtId="0" fontId="3" fillId="0" borderId="0" xfId="0" applyFont="1"/>
    <xf numFmtId="0" fontId="3" fillId="0" borderId="0" xfId="0" applyFont="1" applyAlignment="1" applyProtection="1">
      <alignment vertical="center"/>
      <protection locked="0" hidden="1"/>
    </xf>
    <xf numFmtId="0" fontId="0" fillId="0" borderId="0" xfId="0" applyAlignment="1">
      <alignment horizontal="left" indent="1"/>
    </xf>
    <xf numFmtId="164" fontId="0" fillId="0" borderId="0" xfId="0" applyNumberFormat="1"/>
    <xf numFmtId="178" fontId="0" fillId="0" borderId="0" xfId="0" applyNumberFormat="1" applyAlignment="1">
      <alignment horizontal="left" indent="2"/>
    </xf>
    <xf numFmtId="179" fontId="0" fillId="0" borderId="0" xfId="0" applyNumberFormat="1" applyAlignment="1">
      <alignment horizontal="left" indent="1"/>
    </xf>
    <xf numFmtId="9" fontId="11" fillId="0" borderId="0" xfId="2" applyFont="1" applyAlignment="1" applyProtection="1">
      <alignment vertical="center"/>
      <protection locked="0"/>
    </xf>
    <xf numFmtId="9" fontId="0" fillId="0" borderId="0" xfId="0" applyNumberFormat="1"/>
    <xf numFmtId="174" fontId="62" fillId="0" borderId="0" xfId="0" applyNumberFormat="1" applyFont="1" applyAlignment="1" applyProtection="1">
      <alignment vertical="center"/>
      <protection locked="0"/>
    </xf>
    <xf numFmtId="174" fontId="63" fillId="0" borderId="0" xfId="0" applyNumberFormat="1" applyFont="1" applyAlignment="1" applyProtection="1">
      <alignment horizontal="center" vertical="center"/>
      <protection locked="0"/>
    </xf>
    <xf numFmtId="174" fontId="64" fillId="5" borderId="0" xfId="0" applyNumberFormat="1" applyFont="1" applyFill="1" applyAlignment="1" applyProtection="1">
      <alignment horizontal="center" vertical="center"/>
      <protection locked="0"/>
    </xf>
    <xf numFmtId="174" fontId="65" fillId="0" borderId="0" xfId="0" applyNumberFormat="1" applyFont="1" applyAlignment="1" applyProtection="1">
      <alignment vertical="center"/>
      <protection locked="0"/>
    </xf>
    <xf numFmtId="9" fontId="63" fillId="0" borderId="0" xfId="2" applyFont="1" applyAlignment="1" applyProtection="1">
      <alignment horizontal="center" vertical="center"/>
      <protection locked="0"/>
    </xf>
    <xf numFmtId="173" fontId="63" fillId="0" borderId="0" xfId="0" applyNumberFormat="1" applyFont="1" applyAlignment="1" applyProtection="1">
      <alignment horizontal="center" vertical="center"/>
      <protection locked="0"/>
    </xf>
    <xf numFmtId="174" fontId="0" fillId="0" borderId="0" xfId="0" applyNumberFormat="1"/>
    <xf numFmtId="0" fontId="18" fillId="0" borderId="16" xfId="0" applyFont="1" applyBorder="1" applyAlignment="1" applyProtection="1">
      <alignment vertical="center"/>
      <protection locked="0" hidden="1"/>
    </xf>
    <xf numFmtId="0" fontId="18" fillId="0" borderId="0" xfId="1" applyNumberFormat="1" applyFont="1" applyFill="1" applyBorder="1" applyAlignment="1" applyProtection="1">
      <alignment vertical="center"/>
      <protection locked="0" hidden="1"/>
    </xf>
    <xf numFmtId="164" fontId="11" fillId="0" borderId="0" xfId="1" applyNumberFormat="1" applyFont="1" applyFill="1" applyBorder="1" applyAlignment="1" applyProtection="1">
      <alignment vertical="center"/>
      <protection locked="0" hidden="1"/>
    </xf>
    <xf numFmtId="166" fontId="0" fillId="0" borderId="0" xfId="0" applyNumberFormat="1" applyAlignment="1">
      <alignment horizontal="left"/>
    </xf>
    <xf numFmtId="0" fontId="17" fillId="0" borderId="12" xfId="0" applyFont="1" applyBorder="1" applyAlignment="1" applyProtection="1">
      <alignment vertical="center"/>
      <protection locked="0" hidden="1"/>
    </xf>
    <xf numFmtId="174" fontId="17" fillId="0" borderId="16" xfId="0" applyNumberFormat="1" applyFont="1" applyBorder="1" applyAlignment="1" applyProtection="1">
      <alignment vertical="center" wrapText="1"/>
      <protection locked="0" hidden="1"/>
    </xf>
    <xf numFmtId="174" fontId="17" fillId="0" borderId="22" xfId="0" applyNumberFormat="1" applyFont="1" applyBorder="1" applyAlignment="1" applyProtection="1">
      <alignment vertical="center"/>
      <protection locked="0" hidden="1"/>
    </xf>
    <xf numFmtId="0" fontId="27" fillId="0" borderId="16" xfId="1" applyNumberFormat="1" applyFont="1" applyFill="1" applyBorder="1" applyAlignment="1" applyProtection="1">
      <alignment vertical="center"/>
      <protection locked="0" hidden="1"/>
    </xf>
    <xf numFmtId="0" fontId="18" fillId="0" borderId="19" xfId="0" applyFont="1" applyBorder="1" applyAlignment="1" applyProtection="1">
      <alignment vertical="center"/>
      <protection locked="0" hidden="1"/>
    </xf>
    <xf numFmtId="0" fontId="18" fillId="0" borderId="19" xfId="1" applyNumberFormat="1" applyFont="1" applyFill="1" applyBorder="1" applyAlignment="1" applyProtection="1">
      <alignment vertical="center"/>
      <protection locked="0" hidden="1"/>
    </xf>
    <xf numFmtId="0" fontId="27" fillId="0" borderId="0" xfId="1" applyNumberFormat="1" applyFont="1" applyFill="1" applyBorder="1" applyAlignment="1" applyProtection="1">
      <alignment vertical="center"/>
      <protection locked="0" hidden="1"/>
    </xf>
    <xf numFmtId="174" fontId="14" fillId="0" borderId="12" xfId="0" applyNumberFormat="1" applyFont="1" applyBorder="1" applyAlignment="1" applyProtection="1">
      <alignment vertical="center"/>
      <protection locked="0" hidden="1"/>
    </xf>
    <xf numFmtId="164" fontId="14" fillId="0" borderId="12" xfId="1" applyNumberFormat="1" applyFont="1" applyFill="1" applyBorder="1" applyAlignment="1" applyProtection="1">
      <alignment vertical="center"/>
      <protection locked="0" hidden="1"/>
    </xf>
    <xf numFmtId="0" fontId="28" fillId="0" borderId="16" xfId="1" applyNumberFormat="1" applyFont="1" applyBorder="1" applyAlignment="1" applyProtection="1">
      <alignment vertical="center"/>
      <protection locked="0" hidden="1"/>
    </xf>
    <xf numFmtId="0" fontId="28" fillId="0" borderId="16" xfId="0" applyFont="1" applyBorder="1" applyAlignment="1" applyProtection="1">
      <alignment vertical="center"/>
      <protection locked="0" hidden="1"/>
    </xf>
    <xf numFmtId="0" fontId="28" fillId="0" borderId="16" xfId="1" applyNumberFormat="1" applyFont="1" applyFill="1" applyBorder="1" applyAlignment="1" applyProtection="1">
      <alignment vertical="center"/>
      <protection locked="0" hidden="1"/>
    </xf>
    <xf numFmtId="0" fontId="28" fillId="0" borderId="0" xfId="1" applyNumberFormat="1" applyFont="1" applyFill="1" applyBorder="1" applyAlignment="1" applyProtection="1">
      <alignment vertical="center"/>
      <protection locked="0" hidden="1"/>
    </xf>
    <xf numFmtId="0" fontId="28" fillId="0" borderId="0" xfId="1" applyNumberFormat="1" applyFont="1" applyFill="1" applyAlignment="1" applyProtection="1">
      <alignment vertical="center"/>
      <protection locked="0" hidden="1"/>
    </xf>
    <xf numFmtId="0" fontId="11" fillId="0" borderId="14" xfId="0" applyFont="1" applyBorder="1" applyAlignment="1" applyProtection="1">
      <alignment vertical="center"/>
      <protection locked="0" hidden="1"/>
    </xf>
    <xf numFmtId="9" fontId="17" fillId="0" borderId="0" xfId="0" applyNumberFormat="1" applyFont="1" applyAlignment="1" applyProtection="1">
      <alignment vertical="center"/>
      <protection locked="0" hidden="1"/>
    </xf>
    <xf numFmtId="9" fontId="17" fillId="0" borderId="0" xfId="2" applyFont="1" applyFill="1" applyAlignment="1" applyProtection="1">
      <alignment vertical="center"/>
      <protection locked="0" hidden="1"/>
    </xf>
    <xf numFmtId="174" fontId="17" fillId="0" borderId="27" xfId="0" applyNumberFormat="1" applyFont="1" applyBorder="1" applyAlignment="1" applyProtection="1">
      <alignment vertical="center"/>
      <protection locked="0" hidden="1"/>
    </xf>
    <xf numFmtId="164" fontId="11" fillId="0" borderId="0" xfId="1" applyNumberFormat="1" applyFont="1" applyFill="1" applyAlignment="1" applyProtection="1">
      <alignment horizontal="left" vertical="center"/>
      <protection locked="0" hidden="1"/>
    </xf>
    <xf numFmtId="174" fontId="16" fillId="4" borderId="14" xfId="0" applyNumberFormat="1" applyFont="1" applyFill="1" applyBorder="1" applyAlignment="1" applyProtection="1">
      <alignment vertical="center"/>
      <protection locked="0" hidden="1"/>
    </xf>
    <xf numFmtId="164" fontId="14" fillId="0" borderId="0" xfId="0" applyNumberFormat="1" applyFont="1" applyAlignment="1" applyProtection="1">
      <alignment vertical="center"/>
      <protection locked="0" hidden="1"/>
    </xf>
    <xf numFmtId="173" fontId="12" fillId="0" borderId="0" xfId="0" applyNumberFormat="1" applyFont="1" applyAlignment="1" applyProtection="1">
      <alignment vertical="center"/>
      <protection locked="0" hidden="1"/>
    </xf>
    <xf numFmtId="173" fontId="14" fillId="0" borderId="0" xfId="2" applyNumberFormat="1" applyFont="1" applyAlignment="1" applyProtection="1">
      <alignment vertical="center"/>
      <protection locked="0" hidden="1"/>
    </xf>
    <xf numFmtId="0" fontId="28" fillId="0" borderId="0" xfId="0" applyFont="1" applyAlignment="1" applyProtection="1">
      <alignment vertical="center"/>
      <protection locked="0" hidden="1"/>
    </xf>
    <xf numFmtId="0" fontId="17" fillId="0" borderId="0" xfId="0" applyFont="1" applyProtection="1">
      <protection locked="0" hidden="1"/>
    </xf>
    <xf numFmtId="0" fontId="0" fillId="0" borderId="0" xfId="0" pivotButton="1" applyProtection="1">
      <protection locked="0" hidden="1"/>
    </xf>
    <xf numFmtId="164" fontId="0" fillId="0" borderId="0" xfId="0" applyNumberFormat="1" applyProtection="1">
      <protection locked="0" hidden="1"/>
    </xf>
    <xf numFmtId="164" fontId="17" fillId="0" borderId="0" xfId="1" applyNumberFormat="1" applyFont="1" applyProtection="1">
      <protection locked="0" hidden="1"/>
    </xf>
    <xf numFmtId="37" fontId="0" fillId="0" borderId="0" xfId="0" applyNumberFormat="1" applyProtection="1">
      <protection locked="0" hidden="1"/>
    </xf>
    <xf numFmtId="173" fontId="0" fillId="0" borderId="0" xfId="0" applyNumberFormat="1" applyAlignment="1" applyProtection="1">
      <alignment horizontal="left"/>
      <protection locked="0" hidden="1"/>
    </xf>
    <xf numFmtId="9" fontId="0" fillId="0" borderId="0" xfId="0" applyNumberFormat="1" applyProtection="1">
      <protection locked="0" hidden="1"/>
    </xf>
    <xf numFmtId="43" fontId="16" fillId="0" borderId="0" xfId="1" applyFont="1" applyAlignment="1" applyProtection="1">
      <alignment horizontal="center" vertical="center"/>
      <protection locked="0" hidden="1"/>
    </xf>
    <xf numFmtId="164" fontId="11" fillId="0" borderId="0" xfId="2" applyNumberFormat="1" applyFont="1" applyAlignment="1" applyProtection="1">
      <alignment vertical="center"/>
      <protection locked="0" hidden="1"/>
    </xf>
    <xf numFmtId="9" fontId="11" fillId="0" borderId="12" xfId="2" applyFont="1" applyFill="1" applyBorder="1" applyAlignment="1" applyProtection="1">
      <alignment vertical="center"/>
      <protection locked="0" hidden="1"/>
    </xf>
    <xf numFmtId="14" fontId="11" fillId="5" borderId="0" xfId="0" applyNumberFormat="1" applyFont="1" applyFill="1" applyAlignment="1" applyProtection="1">
      <alignment horizontal="center" vertical="center"/>
      <protection locked="0" hidden="1"/>
    </xf>
    <xf numFmtId="0" fontId="17" fillId="0" borderId="22" xfId="0" applyFont="1" applyBorder="1" applyAlignment="1" applyProtection="1">
      <alignment vertical="center"/>
      <protection locked="0" hidden="1"/>
    </xf>
    <xf numFmtId="0" fontId="20" fillId="5" borderId="0" xfId="0" applyFont="1" applyFill="1" applyAlignment="1" applyProtection="1">
      <alignment horizontal="center" vertical="center"/>
      <protection locked="0" hidden="1"/>
    </xf>
    <xf numFmtId="0" fontId="11" fillId="5" borderId="0" xfId="0" applyFont="1" applyFill="1" applyAlignment="1" applyProtection="1">
      <alignment horizontal="center" vertical="center"/>
      <protection locked="0" hidden="1"/>
    </xf>
    <xf numFmtId="0" fontId="11" fillId="6" borderId="0" xfId="0" applyFont="1" applyFill="1" applyAlignment="1" applyProtection="1">
      <alignment horizontal="center" vertical="center"/>
      <protection locked="0" hidden="1"/>
    </xf>
    <xf numFmtId="0" fontId="4" fillId="5" borderId="0" xfId="0" applyFont="1" applyFill="1" applyAlignment="1" applyProtection="1">
      <alignment horizontal="center" vertical="center"/>
      <protection locked="0" hidden="1"/>
    </xf>
    <xf numFmtId="0" fontId="2" fillId="0" borderId="0" xfId="0"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74" fontId="4" fillId="0" borderId="0" xfId="0" applyNumberFormat="1" applyFont="1" applyAlignment="1" applyProtection="1">
      <alignment horizontal="center" vertical="center"/>
      <protection locked="0" hidden="1"/>
    </xf>
    <xf numFmtId="0" fontId="2" fillId="0" borderId="0" xfId="0" applyFont="1" applyAlignment="1" applyProtection="1">
      <alignment horizontal="left" vertical="center"/>
      <protection locked="0" hidden="1"/>
    </xf>
    <xf numFmtId="174" fontId="2" fillId="0" borderId="0" xfId="0" applyNumberFormat="1" applyFont="1" applyAlignment="1" applyProtection="1">
      <alignment horizontal="left" vertical="center"/>
      <protection locked="0" hidden="1"/>
    </xf>
    <xf numFmtId="0" fontId="2" fillId="2" borderId="4" xfId="0" applyFont="1" applyFill="1" applyBorder="1" applyAlignment="1" applyProtection="1">
      <alignment horizontal="center" vertical="center"/>
      <protection locked="0" hidden="1"/>
    </xf>
    <xf numFmtId="174" fontId="2" fillId="2" borderId="5" xfId="0" applyNumberFormat="1" applyFont="1" applyFill="1" applyBorder="1" applyAlignment="1" applyProtection="1">
      <alignment horizontal="center" vertical="center"/>
      <protection locked="0" hidden="1"/>
    </xf>
    <xf numFmtId="173" fontId="2" fillId="0" borderId="4" xfId="0" applyNumberFormat="1" applyFont="1" applyBorder="1" applyAlignment="1" applyProtection="1">
      <alignment horizontal="center" vertical="center"/>
      <protection locked="0" hidden="1"/>
    </xf>
    <xf numFmtId="173" fontId="2" fillId="0" borderId="5" xfId="0" applyNumberFormat="1" applyFont="1" applyBorder="1" applyAlignment="1" applyProtection="1">
      <alignment horizontal="center" vertical="center"/>
      <protection locked="0" hidden="1"/>
    </xf>
    <xf numFmtId="0" fontId="2" fillId="0" borderId="4" xfId="0" applyFont="1" applyBorder="1" applyAlignment="1" applyProtection="1">
      <alignment horizontal="center" vertical="center"/>
      <protection locked="0" hidden="1"/>
    </xf>
    <xf numFmtId="174" fontId="2" fillId="0" borderId="5" xfId="0" applyNumberFormat="1" applyFont="1" applyBorder="1" applyAlignment="1" applyProtection="1">
      <alignment horizontal="center" vertical="center"/>
      <protection locked="0" hidden="1"/>
    </xf>
    <xf numFmtId="174" fontId="2" fillId="0" borderId="4" xfId="0" applyNumberFormat="1" applyFont="1" applyBorder="1" applyAlignment="1" applyProtection="1">
      <alignment horizontal="center" vertical="center"/>
      <protection locked="0" hidden="1"/>
    </xf>
    <xf numFmtId="168" fontId="2" fillId="0" borderId="4" xfId="0" applyNumberFormat="1" applyFont="1" applyBorder="1" applyAlignment="1" applyProtection="1">
      <alignment horizontal="center" vertical="center"/>
      <protection locked="0" hidden="1"/>
    </xf>
    <xf numFmtId="164" fontId="7" fillId="3" borderId="0" xfId="1" applyNumberFormat="1" applyFont="1" applyFill="1" applyAlignment="1" applyProtection="1">
      <alignment horizontal="center" vertical="center"/>
      <protection locked="0" hidden="1"/>
    </xf>
    <xf numFmtId="0" fontId="7" fillId="3" borderId="8" xfId="0" applyFont="1" applyFill="1" applyBorder="1" applyAlignment="1" applyProtection="1">
      <alignment horizontal="left" vertical="center"/>
      <protection locked="0" hidden="1"/>
    </xf>
    <xf numFmtId="174" fontId="7" fillId="3" borderId="0" xfId="0" applyNumberFormat="1" applyFont="1" applyFill="1" applyAlignment="1" applyProtection="1">
      <alignment horizontal="left" vertical="center"/>
      <protection locked="0" hidden="1"/>
    </xf>
    <xf numFmtId="164" fontId="2" fillId="2" borderId="0" xfId="1" applyNumberFormat="1" applyFont="1" applyFill="1" applyAlignment="1" applyProtection="1">
      <alignment horizontal="center" vertical="center"/>
      <protection locked="0" hidden="1"/>
    </xf>
    <xf numFmtId="174" fontId="2" fillId="5" borderId="0" xfId="1" applyNumberFormat="1" applyFont="1" applyFill="1" applyBorder="1" applyAlignment="1" applyProtection="1">
      <alignment horizontal="center" vertical="center"/>
      <protection locked="0" hidden="1"/>
    </xf>
    <xf numFmtId="164" fontId="2" fillId="0" borderId="0" xfId="1" applyNumberFormat="1" applyFont="1" applyBorder="1" applyAlignment="1" applyProtection="1">
      <alignment horizontal="center" vertical="center"/>
      <protection locked="0" hidden="1"/>
    </xf>
    <xf numFmtId="164" fontId="2" fillId="5" borderId="0" xfId="1" applyNumberFormat="1" applyFont="1" applyFill="1" applyBorder="1" applyAlignment="1" applyProtection="1">
      <alignment horizontal="center" vertical="center"/>
      <protection locked="0" hidden="1"/>
    </xf>
    <xf numFmtId="168" fontId="0" fillId="0" borderId="4" xfId="0" applyNumberFormat="1" applyBorder="1" applyAlignment="1" applyProtection="1">
      <alignment horizontal="center" vertical="center"/>
      <protection locked="0" hidden="1"/>
    </xf>
  </cellXfs>
  <cellStyles count="3">
    <cellStyle name="Comma" xfId="1" builtinId="3"/>
    <cellStyle name="Normal" xfId="0" builtinId="0"/>
    <cellStyle name="Percent" xfId="2" builtinId="5"/>
  </cellStyles>
  <dxfs count="2254">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border outline="0">
        <top style="thin">
          <color theme="5"/>
        </top>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8"/>
        <color theme="0"/>
        <name val="Segoe UI Light"/>
        <family val="2"/>
        <scheme val="minor"/>
      </font>
      <fill>
        <patternFill patternType="solid">
          <fgColor theme="5"/>
          <bgColor theme="5"/>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0"/>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rgb="FFFFC1C1"/>
        </top>
      </border>
    </dxf>
    <dxf>
      <border outline="0">
        <left style="thin">
          <color rgb="FFFFC1C1"/>
        </left>
        <right style="thin">
          <color rgb="FFFFC1C1"/>
        </right>
        <top style="thin">
          <color rgb="FFFFC1C1"/>
        </top>
        <bottom style="thin">
          <color rgb="FFFFC1C1"/>
        </bottom>
      </border>
    </dxf>
    <dxf>
      <font>
        <b val="0"/>
        <i val="0"/>
        <strike val="0"/>
        <condense val="0"/>
        <extend val="0"/>
        <outline val="0"/>
        <shadow val="0"/>
        <u val="none"/>
        <vertAlign val="baseline"/>
        <sz val="8"/>
        <color rgb="FF000000"/>
        <name val="Segoe UI Light"/>
        <family val="2"/>
        <scheme val="minor"/>
      </font>
      <fill>
        <patternFill patternType="none">
          <fgColor rgb="FF000000"/>
          <bgColor auto="1"/>
        </patternFill>
      </fill>
      <alignment horizontal="general" vertical="center" textRotation="0" wrapText="0" indent="0" justifyLastLine="0" shrinkToFit="0" readingOrder="0"/>
      <protection locked="0" hidden="1"/>
    </dxf>
    <dxf>
      <border outline="0">
        <bottom style="thin">
          <color rgb="FFFFC1C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top style="thin">
          <color theme="5" tint="0.39997558519241921"/>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8" formatCode="d/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1"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ill>
        <patternFill>
          <bgColor theme="9"/>
        </patternFill>
      </fill>
    </dxf>
    <dxf>
      <fill>
        <patternFill>
          <bgColor theme="8" tint="0.79998168889431442"/>
        </patternFill>
      </fill>
    </dxf>
    <dxf>
      <fill>
        <patternFill>
          <bgColor theme="6"/>
        </patternFill>
      </fill>
    </dxf>
    <dxf>
      <fill>
        <patternFill>
          <bgColor theme="8" tint="0.79998168889431442"/>
        </patternFill>
      </fill>
    </dxf>
    <dxf>
      <fill>
        <patternFill>
          <bgColor theme="8" tint="0.79998168889431442"/>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left style="thin">
          <color theme="5" tint="0.39997558519241921"/>
        </left>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1"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6"/>
        </patternFill>
      </fill>
    </dxf>
    <dxf>
      <fill>
        <patternFill>
          <bgColor theme="6"/>
        </patternFill>
      </fill>
    </dxf>
    <dxf>
      <font>
        <strike val="0"/>
        <outline val="0"/>
        <shadow val="0"/>
        <u val="none"/>
        <vertAlign val="baseline"/>
        <sz val="8"/>
        <color theme="9"/>
        <name val="Segoe UI Light"/>
        <family val="2"/>
        <scheme val="none"/>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top style="thin">
          <color theme="5" tint="0.39997558519241921"/>
        </top>
        <bottom style="thin">
          <color theme="5" tint="0.39997558519241921"/>
        </bottom>
      </border>
    </dxf>
    <dxf>
      <fill>
        <patternFill patternType="none">
          <fgColor indexed="64"/>
          <bgColor auto="1"/>
        </patternFill>
      </fill>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0"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7"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4" formatCode="_(* #,##0_);_(* \(#,##0\);_(* &quot;-&quot;??_);_(@_)"/>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8"/>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8" formatCode="d/m/yyyy"/>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tint="-0.499984740745262"/>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center" vertical="center" textRotation="0" wrapText="0" indent="0" justifyLastLine="0" shrinkToFit="0" readingOrder="0"/>
      <protection locked="0" hidden="1"/>
    </dxf>
    <dxf>
      <font>
        <b val="0"/>
        <i val="0"/>
        <strike val="0"/>
        <outline val="0"/>
        <shadow val="0"/>
        <u val="none"/>
        <vertAlign val="baseline"/>
        <sz val="8"/>
        <name val="Segoe UI Light"/>
        <family val="2"/>
        <scheme val="minor"/>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strike val="0"/>
        <outline val="0"/>
        <shadow val="0"/>
        <u val="none"/>
        <vertAlign val="baseline"/>
        <sz val="8"/>
      </font>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71"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71" formatCode="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9" formatCode="m/d/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protection hidden="0"/>
    </dxf>
    <dxf>
      <protection hidden="0"/>
    </dxf>
    <dxf>
      <protection hidden="0"/>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protection locked="0" hidden="1"/>
    </dxf>
    <dxf>
      <protection locked="0" hidden="1"/>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253"/>
      <tableStyleElement type="headerRow" dxfId="2252"/>
    </tableStyle>
    <tableStyle name="SlicerStyleLight1 2 2" pivot="0" table="0" count="10" xr9:uid="{9DB8D611-4D15-4128-AF8D-E3329BCC5BCE}">
      <tableStyleElement type="wholeTable" dxfId="2251"/>
      <tableStyleElement type="headerRow" dxfId="2250"/>
    </tableStyle>
    <tableStyle name="TimeSlicerStyleLight1 2" pivot="0" table="0" count="9" xr9:uid="{58382D9D-B456-41C4-B229-09D2A872184E}">
      <tableStyleElement type="wholeTable" dxfId="2249"/>
      <tableStyleElement type="headerRow" dxfId="224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11.xml"/><Relationship Id="rId68" Type="http://schemas.openxmlformats.org/officeDocument/2006/relationships/pivotCacheDefinition" Target="pivotCache/pivotCacheDefinition16.xml"/><Relationship Id="rId84" Type="http://schemas.openxmlformats.org/officeDocument/2006/relationships/connections" Target="connections.xml"/><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xml"/><Relationship Id="rId107" Type="http://schemas.openxmlformats.org/officeDocument/2006/relationships/customXml" Target="../customXml/item1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openxmlformats.org/officeDocument/2006/relationships/pivotCacheDefinition" Target="pivotCache/pivotCacheDefinition18.xml"/><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xml"/><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12.xml"/><Relationship Id="rId69" Type="http://schemas.openxmlformats.org/officeDocument/2006/relationships/pivotCacheDefinition" Target="pivotCache/pivotCacheDefinition17.xml"/><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pivotCacheDefinition" Target="pivotCache/pivotCacheDefinition7.xml"/><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xml"/><Relationship Id="rId70" Type="http://schemas.microsoft.com/office/2007/relationships/slicerCache" Target="slicerCaches/slicerCache1.xml"/><Relationship Id="rId75" Type="http://schemas.openxmlformats.org/officeDocument/2006/relationships/pivotCacheDefinition" Target="pivotCache/pivotCacheDefinition19.xml"/><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xml"/><Relationship Id="rId60" Type="http://schemas.openxmlformats.org/officeDocument/2006/relationships/pivotCacheDefinition" Target="pivotCache/pivotCacheDefinition8.xml"/><Relationship Id="rId65" Type="http://schemas.openxmlformats.org/officeDocument/2006/relationships/pivotCacheDefinition" Target="pivotCache/pivotCacheDefinition13.xml"/><Relationship Id="rId81" Type="http://schemas.microsoft.com/office/2011/relationships/timelineCache" Target="timelineCaches/timelineCache5.xml"/><Relationship Id="rId86" Type="http://schemas.openxmlformats.org/officeDocument/2006/relationships/sharedStrings" Target="sharedStrings.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openxmlformats.org/officeDocument/2006/relationships/pivotCacheDefinition" Target="pivotCache/pivotCacheDefinition20.xml"/><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14.xml"/><Relationship Id="rId87" Type="http://schemas.openxmlformats.org/officeDocument/2006/relationships/sheetMetadata" Target="metadata.xml"/><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xml"/><Relationship Id="rId82" Type="http://schemas.microsoft.com/office/2011/relationships/timelineCache" Target="timelineCaches/timelineCache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pivotCacheDefinition" Target="pivotCache/pivotCacheDefinition4.xml"/><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3.xml"/><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15.xml"/><Relationship Id="rId116" Type="http://schemas.openxmlformats.org/officeDocument/2006/relationships/customXml" Target="../customXml/item2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pivotCacheDefinition" Target="pivotCache/pivotCacheDefinition10.xml"/><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pivotCacheDefinition" Target="pivotCache/pivotCacheDefinition5.xml"/><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microsoft.com/office/2007/relationships/slicerCache" Target="slicerCaches/slicerCache4.xml"/><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Dashboard_BCQT!$CV$13</c:f>
              <c:strCache>
                <c:ptCount val="1"/>
                <c:pt idx="0">
                  <c:v>Giá trị gốc</c:v>
                </c:pt>
              </c:strCache>
            </c:strRef>
          </c:tx>
          <c:spPr>
            <a:solidFill>
              <a:schemeClr val="accent1"/>
            </a:solidFill>
            <a:ln>
              <a:noFill/>
            </a:ln>
            <a:effectLst/>
          </c:spPr>
          <c:invertIfNegative val="0"/>
          <c:val>
            <c:numRef>
              <c:f>Dashboard_BCQT!$CV$14:$CV$25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Dashboard_BCQT!$CW$13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3F653216-5D50-42BE-A452-124063CE49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2A2B335F-D71D-4DD5-9588-C03E5E1052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4-4604-8EF4-D8C410ED02D1}"/>
                </c:ext>
              </c:extLst>
            </c:dLbl>
            <c:dLbl>
              <c:idx val="2"/>
              <c:tx>
                <c:rich>
                  <a:bodyPr/>
                  <a:lstStyle/>
                  <a:p>
                    <a:fld id="{AC17643A-4ED4-42CB-BEA4-E0D03F8509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4-4604-8EF4-D8C410ED02D1}"/>
                </c:ext>
              </c:extLst>
            </c:dLbl>
            <c:dLbl>
              <c:idx val="3"/>
              <c:tx>
                <c:rich>
                  <a:bodyPr/>
                  <a:lstStyle/>
                  <a:p>
                    <a:fld id="{5756FEBC-FFA5-4849-ADAD-628F9076C7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4-4604-8EF4-D8C410ED02D1}"/>
                </c:ext>
              </c:extLst>
            </c:dLbl>
            <c:dLbl>
              <c:idx val="4"/>
              <c:tx>
                <c:rich>
                  <a:bodyPr/>
                  <a:lstStyle/>
                  <a:p>
                    <a:fld id="{47A233FA-B947-414F-AA16-0EA6299885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4-4604-8EF4-D8C410ED02D1}"/>
                </c:ext>
              </c:extLst>
            </c:dLbl>
            <c:dLbl>
              <c:idx val="5"/>
              <c:tx>
                <c:rich>
                  <a:bodyPr/>
                  <a:lstStyle/>
                  <a:p>
                    <a:fld id="{C869229E-FDD3-4E8D-8E2D-526D467757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4-4604-8EF4-D8C410ED02D1}"/>
                </c:ext>
              </c:extLst>
            </c:dLbl>
            <c:dLbl>
              <c:idx val="6"/>
              <c:tx>
                <c:rich>
                  <a:bodyPr/>
                  <a:lstStyle/>
                  <a:p>
                    <a:fld id="{14D71F87-7F84-4AA1-9609-850BAF5E26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4-4604-8EF4-D8C410ED02D1}"/>
                </c:ext>
              </c:extLst>
            </c:dLbl>
            <c:dLbl>
              <c:idx val="7"/>
              <c:tx>
                <c:rich>
                  <a:bodyPr/>
                  <a:lstStyle/>
                  <a:p>
                    <a:fld id="{80895E69-884A-4FED-8037-31232A95D7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4-4604-8EF4-D8C410ED02D1}"/>
                </c:ext>
              </c:extLst>
            </c:dLbl>
            <c:dLbl>
              <c:idx val="8"/>
              <c:tx>
                <c:rich>
                  <a:bodyPr/>
                  <a:lstStyle/>
                  <a:p>
                    <a:fld id="{946B5C27-8E94-4FF7-9F8D-A3A8BFEAF0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4-4604-8EF4-D8C410ED02D1}"/>
                </c:ext>
              </c:extLst>
            </c:dLbl>
            <c:dLbl>
              <c:idx val="9"/>
              <c:tx>
                <c:rich>
                  <a:bodyPr/>
                  <a:lstStyle/>
                  <a:p>
                    <a:fld id="{8FE2532E-C203-417F-8B9A-957497659F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4-4604-8EF4-D8C410ED02D1}"/>
                </c:ext>
              </c:extLst>
            </c:dLbl>
            <c:dLbl>
              <c:idx val="10"/>
              <c:tx>
                <c:rich>
                  <a:bodyPr/>
                  <a:lstStyle/>
                  <a:p>
                    <a:fld id="{C2C92955-8D63-4501-83AB-92E0BDE6D8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4-4604-8EF4-D8C410ED02D1}"/>
                </c:ext>
              </c:extLst>
            </c:dLbl>
            <c:dLbl>
              <c:idx val="11"/>
              <c:tx>
                <c:rich>
                  <a:bodyPr/>
                  <a:lstStyle/>
                  <a:p>
                    <a:fld id="{1CB71F46-8AB9-4087-8BB8-5A3C42A3FE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Dashboard_BCQT!$CX$14:$CX$25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Dashboard_BCQT!$CY$13</c:f>
              <c:strCache>
                <c:ptCount val="1"/>
                <c:pt idx="0">
                  <c:v>Hiệu quả</c:v>
                </c:pt>
              </c:strCache>
            </c:strRef>
          </c:tx>
          <c:spPr>
            <a:ln w="28575" cap="rnd">
              <a:solidFill>
                <a:schemeClr val="accent2"/>
              </a:solidFill>
              <a:round/>
            </a:ln>
            <a:effectLst/>
          </c:spPr>
          <c:marker>
            <c:symbol val="none"/>
          </c:marker>
          <c:val>
            <c:numRef>
              <c:f>Dashboard_BCQT!$CY$14:$CY$25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98FB3050-C66E-44DD-835C-4B2BB809394D}" type="CELLRANGE">
                      <a:rPr lang="en-US" baseline="0"/>
                      <a:pPr/>
                      <a:t>[CELLRANGE]</a:t>
                    </a:fld>
                    <a:r>
                      <a:rPr lang="en-US" baseline="0"/>
                      <a:t>; </a:t>
                    </a:r>
                    <a:fld id="{FCE14BBA-EF4A-40B8-8217-135A8FF9BAEB}" type="CATEGORYNAME">
                      <a:rPr lang="en-US" baseline="0"/>
                      <a:pPr/>
                      <a:t>[CATEGORY NAME]</a:t>
                    </a:fld>
                    <a:r>
                      <a:rPr lang="en-US" baseline="0"/>
                      <a:t>; </a:t>
                    </a:r>
                    <a:fld id="{BC6D0AB1-F766-4D18-8CD0-0AE775B81650}"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688074B0-76A2-40B5-9FF0-11F97B475349}" type="CELLRANGE">
                      <a:rPr lang="en-US"/>
                      <a:pPr/>
                      <a:t>[CELLRANGE]</a:t>
                    </a:fld>
                    <a:r>
                      <a:rPr lang="en-US" baseline="0"/>
                      <a:t>; </a:t>
                    </a:r>
                    <a:fld id="{0BDB2C26-05E5-4D44-938C-02FF0C3A62ED}" type="CATEGORYNAME">
                      <a:rPr lang="en-US" baseline="0"/>
                      <a:pPr/>
                      <a:t>[CATEGORY NAME]</a:t>
                    </a:fld>
                    <a:r>
                      <a:rPr lang="en-US" baseline="0"/>
                      <a:t>; </a:t>
                    </a:r>
                    <a:fld id="{7F8CE3E5-D8E5-4B6E-9502-3E6CCC749295}"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Dashboard_BCQT!$CU$28:$CU$29</c:f>
              <c:strCache>
                <c:ptCount val="2"/>
                <c:pt idx="0">
                  <c:v>CP biến đổi</c:v>
                </c:pt>
                <c:pt idx="1">
                  <c:v>CP cố định</c:v>
                </c:pt>
              </c:strCache>
            </c:strRef>
          </c:cat>
          <c:val>
            <c:numRef>
              <c:f>Dashboard_BCQT!$CV$28:$CV$29</c:f>
              <c:numCache>
                <c:formatCode>General</c:formatCode>
                <c:ptCount val="2"/>
                <c:pt idx="0">
                  <c:v>0</c:v>
                </c:pt>
                <c:pt idx="1">
                  <c:v>0</c:v>
                </c:pt>
              </c:numCache>
            </c:numRef>
          </c:val>
          <c:extLst>
            <c:ext xmlns:c15="http://schemas.microsoft.com/office/drawing/2012/chart" uri="{02D57815-91ED-43cb-92C2-25804820EDAC}">
              <c15:datalabelsRange>
                <c15:f>Dashboard_BCQT!$CW$28:$CW$29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Dashboard_BCQT!$CP$4</c:f>
              <c:strCache>
                <c:ptCount val="1"/>
                <c:pt idx="0">
                  <c:v>Giá trị gốc</c:v>
                </c:pt>
              </c:strCache>
            </c:strRef>
          </c:tx>
          <c:spPr>
            <a:solidFill>
              <a:schemeClr val="accent1"/>
            </a:solidFill>
            <a:ln>
              <a:noFill/>
            </a:ln>
            <a:effectLst/>
          </c:spPr>
          <c:invertIfNegative val="0"/>
          <c:cat>
            <c:numRef>
              <c:f>Dashboard_BCQT!$CO$5:$CO$6</c:f>
              <c:numCache>
                <c:formatCode>General</c:formatCode>
                <c:ptCount val="2"/>
                <c:pt idx="0">
                  <c:v>2023</c:v>
                </c:pt>
                <c:pt idx="1">
                  <c:v>2024</c:v>
                </c:pt>
              </c:numCache>
            </c:numRef>
          </c:cat>
          <c:val>
            <c:numRef>
              <c:f>Dashboard_BCQT!$CP$5:$CP$6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Dashboard_BCQT!$CQ$4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7A32CE26-0D1F-4AC3-AEE6-6CB74E22FD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619E4486-ED81-4802-978B-CF0124C80CB3}"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Dashboard_BCQT!$CO$5:$CO$6</c:f>
              <c:numCache>
                <c:formatCode>General</c:formatCode>
                <c:ptCount val="2"/>
                <c:pt idx="0">
                  <c:v>2023</c:v>
                </c:pt>
                <c:pt idx="1">
                  <c:v>2024</c:v>
                </c:pt>
              </c:numCache>
            </c:numRef>
          </c:cat>
          <c:val>
            <c:numRef>
              <c:f>Dashboard_BCQT!$CQ$5:$CQ$6</c:f>
              <c:numCache>
                <c:formatCode>_(* #,##0_);_(* \(#,##0\);_(* "-"??_);_(@_)</c:formatCode>
                <c:ptCount val="2"/>
                <c:pt idx="0">
                  <c:v>0</c:v>
                </c:pt>
                <c:pt idx="1">
                  <c:v>0</c:v>
                </c:pt>
              </c:numCache>
            </c:numRef>
          </c:val>
          <c:extLst>
            <c:ext xmlns:c15="http://schemas.microsoft.com/office/drawing/2012/chart" uri="{02D57815-91ED-43cb-92C2-25804820EDAC}">
              <c15:datalabelsRange>
                <c15:f>Dashboard_BCQT!$CR$5:$CR$6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Dashboard_BCQT!$CS$4</c:f>
              <c:strCache>
                <c:ptCount val="1"/>
                <c:pt idx="0">
                  <c:v>Hiệu quả</c:v>
                </c:pt>
              </c:strCache>
            </c:strRef>
          </c:tx>
          <c:spPr>
            <a:ln w="28575" cap="rnd">
              <a:solidFill>
                <a:schemeClr val="accent3"/>
              </a:solidFill>
              <a:round/>
            </a:ln>
            <a:effectLst/>
          </c:spPr>
          <c:marker>
            <c:symbol val="none"/>
          </c:marker>
          <c:cat>
            <c:numRef>
              <c:f>Dashboard_BCQT!$CO$5:$CO$6</c:f>
              <c:numCache>
                <c:formatCode>General</c:formatCode>
                <c:ptCount val="2"/>
                <c:pt idx="0">
                  <c:v>2023</c:v>
                </c:pt>
                <c:pt idx="1">
                  <c:v>2024</c:v>
                </c:pt>
              </c:numCache>
            </c:numRef>
          </c:cat>
          <c:val>
            <c:numRef>
              <c:f>Dashboard_BCQT!$CS$5:$CS$6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Dashboard_BCQT!$CV$34:$CV$50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899B65A3-B83C-4DF9-B71C-08F979EE61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CB899EA1-BBBF-4271-B77A-36050F72FB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E00EA260-2944-4404-BC01-56549481C0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15A422DA-4003-47D8-A4A1-73AE0CB564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D6160ECD-B14B-4DBD-B7BA-21F27174EE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DD9485B8-7565-490F-A133-E586276FF9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D91D6BA4-EB23-4F1A-BE82-A9342B4E44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401373BF-4A92-4B85-A478-DC284F6877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1D8D811F-FDD7-4669-9DF1-D96DAC96D2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6AA10B5E-1868-4B5B-BDA2-14113D17F4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AD885D91-32D7-4DD9-9820-7B385C4DDD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6F93BED1-8DC3-4286-992A-F53B3F82D1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0BEEDC9A-9CBC-4AF8-AE98-5C1249A30A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55DFB6D0-11BA-4FBD-B22A-F5037FF643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16D5F679-1354-43C2-88BD-B81DE7E8F4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238094E9-AF86-405B-9114-BA69DF4878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8D156B75-3374-4715-93BC-FEE2C946E4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06580670-D238-4924-97FE-23C6069323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A42DE02E-9B40-4B71-B414-11E73DE71C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CFB46F89-0EC2-47B3-92E3-C28A35E2CF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02BB07F5-2F3F-4127-B7F1-105645B58C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D03D679F-7913-457D-8BC8-23010762CC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DF0F2D52-AAF6-45EF-9667-89D86899AD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83C8413E-E46D-4104-A63E-CA3F7A9E6E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en-US"/>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19A01473-01D4-4898-BB13-4F856A028A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3A0D92C7-047F-46B9-8D94-12619DBC07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E3AFDB1F-054E-4C5F-BEBC-3E808528B0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9319CC41-869B-49AA-BC6F-B3A5FEE49D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0955E7C3-3371-4F86-B230-5071CFCCB1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E-400D-9BDB-C2C912AC3EA6}"/>
                </c:ext>
              </c:extLst>
            </c:dLbl>
            <c:dLbl>
              <c:idx val="5"/>
              <c:tx>
                <c:rich>
                  <a:bodyPr/>
                  <a:lstStyle/>
                  <a:p>
                    <a:fld id="{52327994-5484-4797-BBA1-B76C326B74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E-400D-9BDB-C2C912AC3EA6}"/>
                </c:ext>
              </c:extLst>
            </c:dLbl>
            <c:dLbl>
              <c:idx val="6"/>
              <c:tx>
                <c:rich>
                  <a:bodyPr/>
                  <a:lstStyle/>
                  <a:p>
                    <a:fld id="{51EFBE32-BC9E-4F68-8582-6D8D74613D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E-400D-9BDB-C2C912AC3EA6}"/>
                </c:ext>
              </c:extLst>
            </c:dLbl>
            <c:dLbl>
              <c:idx val="7"/>
              <c:tx>
                <c:rich>
                  <a:bodyPr/>
                  <a:lstStyle/>
                  <a:p>
                    <a:fld id="{E7EED577-D3FF-40DE-B475-2620E4C078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E-400D-9BDB-C2C912AC3EA6}"/>
                </c:ext>
              </c:extLst>
            </c:dLbl>
            <c:dLbl>
              <c:idx val="8"/>
              <c:tx>
                <c:rich>
                  <a:bodyPr/>
                  <a:lstStyle/>
                  <a:p>
                    <a:fld id="{002CC26A-6022-450E-B05D-C0412203EE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E-400D-9BDB-C2C912AC3EA6}"/>
                </c:ext>
              </c:extLst>
            </c:dLbl>
            <c:dLbl>
              <c:idx val="9"/>
              <c:tx>
                <c:rich>
                  <a:bodyPr/>
                  <a:lstStyle/>
                  <a:p>
                    <a:fld id="{0D257A18-AA85-4EB7-BC78-7169D2510E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E-400D-9BDB-C2C912AC3EA6}"/>
                </c:ext>
              </c:extLst>
            </c:dLbl>
            <c:dLbl>
              <c:idx val="10"/>
              <c:tx>
                <c:rich>
                  <a:bodyPr/>
                  <a:lstStyle/>
                  <a:p>
                    <a:fld id="{569B6179-9681-44F7-AE11-72D4721E5F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C16E26DF-8955-458C-A3E1-905CF4AC0E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66E5C1D4-3AA4-4A91-86AA-56984A9B1C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55C7933F-97B2-467E-A82C-47CD7EA297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25ECD72C-1097-438D-9C90-6AB0F11751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B1B68ACB-6759-41B7-BD24-8FFBD88753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F4094F38-81B6-41C3-88D5-9683E160C8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9DE-400D-9BDB-C2C912AC3EA6}"/>
                </c:ext>
              </c:extLst>
            </c:dLbl>
            <c:dLbl>
              <c:idx val="5"/>
              <c:tx>
                <c:rich>
                  <a:bodyPr/>
                  <a:lstStyle/>
                  <a:p>
                    <a:fld id="{7FB48DE3-59F9-405F-BB69-D895B62222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9DE-400D-9BDB-C2C912AC3EA6}"/>
                </c:ext>
              </c:extLst>
            </c:dLbl>
            <c:dLbl>
              <c:idx val="6"/>
              <c:tx>
                <c:rich>
                  <a:bodyPr/>
                  <a:lstStyle/>
                  <a:p>
                    <a:fld id="{AEBED210-EE7D-4FDA-B39D-5041BB3D42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9DE-400D-9BDB-C2C912AC3EA6}"/>
                </c:ext>
              </c:extLst>
            </c:dLbl>
            <c:dLbl>
              <c:idx val="7"/>
              <c:tx>
                <c:rich>
                  <a:bodyPr/>
                  <a:lstStyle/>
                  <a:p>
                    <a:fld id="{57D8D2D2-2353-44E7-AFBF-250253FC3C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9DE-400D-9BDB-C2C912AC3EA6}"/>
                </c:ext>
              </c:extLst>
            </c:dLbl>
            <c:dLbl>
              <c:idx val="8"/>
              <c:tx>
                <c:rich>
                  <a:bodyPr/>
                  <a:lstStyle/>
                  <a:p>
                    <a:fld id="{38E389E5-733D-4150-B50C-FFCD972C67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9DE-400D-9BDB-C2C912AC3EA6}"/>
                </c:ext>
              </c:extLst>
            </c:dLbl>
            <c:dLbl>
              <c:idx val="9"/>
              <c:tx>
                <c:rich>
                  <a:bodyPr/>
                  <a:lstStyle/>
                  <a:p>
                    <a:fld id="{13CABEA7-1682-4092-A6CD-3FE8802E54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9DE-400D-9BDB-C2C912AC3EA6}"/>
                </c:ext>
              </c:extLst>
            </c:dLbl>
            <c:dLbl>
              <c:idx val="10"/>
              <c:tx>
                <c:rich>
                  <a:bodyPr/>
                  <a:lstStyle/>
                  <a:p>
                    <a:fld id="{DAF4CB34-6E27-4FF3-A740-0C78B978A4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08CAFEDB-FF0E-4625-809C-3F002BD7CB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5455311B-DBB8-480A-8822-C72B38AC12E2}" type="CATEGORYNAME">
                      <a:rPr lang="en-US"/>
                      <a:pPr/>
                      <a:t>[CATEGORY NAME]</a:t>
                    </a:fld>
                    <a:r>
                      <a:rPr lang="en-US" baseline="0"/>
                      <a:t>; </a:t>
                    </a:r>
                    <a:fld id="{C2881089-269B-4149-AC54-4D1AB97E7171}"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5F21CC47-D616-4194-9F31-8324E1234492}" type="CATEGORYNAME">
                      <a:rPr lang="en-US"/>
                      <a:pPr/>
                      <a:t>[CATEGORY NAME]</a:t>
                    </a:fld>
                    <a:r>
                      <a:rPr lang="en-US" baseline="0"/>
                      <a:t>; </a:t>
                    </a:r>
                    <a:fld id="{227E3632-C8F1-4651-964C-67531115E36B}"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2BFDB597-6A5B-418D-8493-4987143CFCE4}" type="CATEGORYNAME">
                      <a:rPr lang="en-US"/>
                      <a:pPr/>
                      <a:t>[CATEGORY NAME]</a:t>
                    </a:fld>
                    <a:r>
                      <a:rPr lang="en-US" baseline="0"/>
                      <a:t>; </a:t>
                    </a:r>
                    <a:fld id="{2B829CE3-7B49-4714-84AB-3B71E1BD6654}"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003B82BA-DA74-4F71-8929-0B702262D5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39D38968-DC28-4A52-8253-25C6CCD1CE2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DDC5CD1F-7559-4041-A103-489A8F4F436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55996A92-9063-42E8-B4F8-7915E8DAF79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51C7C747-9948-4F34-9344-4EAE4277051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1FDECA69-73BA-497D-85EB-12950EB1C88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33B04CBF-59EF-431C-AB24-1DA195A2372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C8A152DD-5681-4526-868B-6292E7C5515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3F18BD2B-F008-4017-9111-23683212842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3239D9BE-8015-4360-AE67-B40492B80E1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9507FEB6-7C30-4F79-8170-1AA7A3599C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C707AAF2-185D-4F30-903D-DC7C9DF126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AC-4E93-BDD6-6BD4DD360261}"/>
                </c:ext>
              </c:extLst>
            </c:dLbl>
            <c:dLbl>
              <c:idx val="2"/>
              <c:tx>
                <c:rich>
                  <a:bodyPr/>
                  <a:lstStyle/>
                  <a:p>
                    <a:fld id="{54F20672-FCC7-428C-A952-ED7A17720B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AC-4E93-BDD6-6BD4DD360261}"/>
                </c:ext>
              </c:extLst>
            </c:dLbl>
            <c:dLbl>
              <c:idx val="3"/>
              <c:tx>
                <c:rich>
                  <a:bodyPr/>
                  <a:lstStyle/>
                  <a:p>
                    <a:fld id="{7CEC0BB3-935A-4B4F-A7F8-C52B3F3316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AC-4E93-BDD6-6BD4DD360261}"/>
                </c:ext>
              </c:extLst>
            </c:dLbl>
            <c:dLbl>
              <c:idx val="4"/>
              <c:tx>
                <c:rich>
                  <a:bodyPr/>
                  <a:lstStyle/>
                  <a:p>
                    <a:fld id="{550AE41B-2BD2-43A3-A3C7-DED0DD04A1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AC-4E93-BDD6-6BD4DD360261}"/>
                </c:ext>
              </c:extLst>
            </c:dLbl>
            <c:dLbl>
              <c:idx val="5"/>
              <c:tx>
                <c:rich>
                  <a:bodyPr/>
                  <a:lstStyle/>
                  <a:p>
                    <a:fld id="{86522B9A-93AF-4C37-8C3D-72C7D9CC07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AC-4E93-BDD6-6BD4DD360261}"/>
                </c:ext>
              </c:extLst>
            </c:dLbl>
            <c:dLbl>
              <c:idx val="6"/>
              <c:tx>
                <c:rich>
                  <a:bodyPr/>
                  <a:lstStyle/>
                  <a:p>
                    <a:fld id="{1AFFF6D1-5C29-4149-9215-500236A590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AC-4E93-BDD6-6BD4DD360261}"/>
                </c:ext>
              </c:extLst>
            </c:dLbl>
            <c:dLbl>
              <c:idx val="7"/>
              <c:tx>
                <c:rich>
                  <a:bodyPr/>
                  <a:lstStyle/>
                  <a:p>
                    <a:fld id="{68EC42A6-C46A-4032-A92C-28598782ED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AC-4E93-BDD6-6BD4DD360261}"/>
                </c:ext>
              </c:extLst>
            </c:dLbl>
            <c:dLbl>
              <c:idx val="8"/>
              <c:tx>
                <c:rich>
                  <a:bodyPr/>
                  <a:lstStyle/>
                  <a:p>
                    <a:fld id="{4F6DC46D-9B72-4911-A369-BE42ED8752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AC-4E93-BDD6-6BD4DD360261}"/>
                </c:ext>
              </c:extLst>
            </c:dLbl>
            <c:dLbl>
              <c:idx val="9"/>
              <c:tx>
                <c:rich>
                  <a:bodyPr/>
                  <a:lstStyle/>
                  <a:p>
                    <a:fld id="{30838A5F-005E-44AB-A2C0-7FB9A4A75D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CC333AE7-B761-47E2-A1C5-958E3B6216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AC-4E93-BDD6-6BD4DD360261}"/>
                </c:ext>
              </c:extLst>
            </c:dLbl>
            <c:dLbl>
              <c:idx val="11"/>
              <c:tx>
                <c:rich>
                  <a:bodyPr/>
                  <a:lstStyle/>
                  <a:p>
                    <a:fld id="{21562A00-9743-4AE8-9DFB-7D81D33E40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E387825B-B567-47CD-BAAE-D7D91BB27A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4B499393-75B0-4910-A8D1-9E660EE424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9D9-4B81-A762-6C0B778AC1FE}"/>
                </c:ext>
              </c:extLst>
            </c:dLbl>
            <c:dLbl>
              <c:idx val="2"/>
              <c:tx>
                <c:rich>
                  <a:bodyPr/>
                  <a:lstStyle/>
                  <a:p>
                    <a:fld id="{52C83A72-D07A-4DAB-A6A9-AA6F810793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9D9-4B81-A762-6C0B778AC1FE}"/>
                </c:ext>
              </c:extLst>
            </c:dLbl>
            <c:dLbl>
              <c:idx val="3"/>
              <c:tx>
                <c:rich>
                  <a:bodyPr/>
                  <a:lstStyle/>
                  <a:p>
                    <a:fld id="{04FD4F06-D417-4E8D-84AC-4513ED9E63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9D9-4B81-A762-6C0B778AC1FE}"/>
                </c:ext>
              </c:extLst>
            </c:dLbl>
            <c:dLbl>
              <c:idx val="4"/>
              <c:tx>
                <c:rich>
                  <a:bodyPr/>
                  <a:lstStyle/>
                  <a:p>
                    <a:fld id="{799ED5D4-0331-449F-B5B5-3652B53B0A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9D9-4B81-A762-6C0B778AC1FE}"/>
                </c:ext>
              </c:extLst>
            </c:dLbl>
            <c:dLbl>
              <c:idx val="5"/>
              <c:tx>
                <c:rich>
                  <a:bodyPr/>
                  <a:lstStyle/>
                  <a:p>
                    <a:fld id="{405FA56A-1408-4DAA-A17C-300E1AC900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9D9-4B81-A762-6C0B778AC1FE}"/>
                </c:ext>
              </c:extLst>
            </c:dLbl>
            <c:dLbl>
              <c:idx val="6"/>
              <c:tx>
                <c:rich>
                  <a:bodyPr/>
                  <a:lstStyle/>
                  <a:p>
                    <a:fld id="{026A0936-45B4-4060-BA80-EE26083950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9D9-4B81-A762-6C0B778AC1FE}"/>
                </c:ext>
              </c:extLst>
            </c:dLbl>
            <c:dLbl>
              <c:idx val="7"/>
              <c:tx>
                <c:rich>
                  <a:bodyPr/>
                  <a:lstStyle/>
                  <a:p>
                    <a:fld id="{9174CC03-3BD3-4B92-9719-12850D1C7D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9D9-4B81-A762-6C0B778AC1FE}"/>
                </c:ext>
              </c:extLst>
            </c:dLbl>
            <c:dLbl>
              <c:idx val="8"/>
              <c:tx>
                <c:rich>
                  <a:bodyPr/>
                  <a:lstStyle/>
                  <a:p>
                    <a:fld id="{E22B619A-328E-4760-BDEC-A1E6826C41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9D9-4B81-A762-6C0B778AC1FE}"/>
                </c:ext>
              </c:extLst>
            </c:dLbl>
            <c:dLbl>
              <c:idx val="9"/>
              <c:tx>
                <c:rich>
                  <a:bodyPr/>
                  <a:lstStyle/>
                  <a:p>
                    <a:fld id="{ADD82EC5-B927-436E-BC7A-DA8933B8CB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E8445B04-E5FD-4AE8-942B-3A8803A4B3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B848B972-7413-451B-BADA-4BFA84F9EE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B1CCE4D6-825E-4C6D-B52D-D12A957A555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2DB51815-7F63-43AA-B1FB-1806C4A7DC73}" type="CELLRANGE">
                      <a:rPr lang="en-US"/>
                      <a:pPr>
                        <a:defRPr sz="1200" b="1">
                          <a:solidFill>
                            <a:schemeClr val="accent6"/>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8EA42299-A340-42D5-8506-60CF60C70C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D33A44B1-3A10-4C97-A8EF-6A1C9B3A15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E2B48170-2CED-4624-BC46-E2A376DA18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FA03A792-91E7-4A14-A51D-531B88C02F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F0BBDBBD-364A-46FA-ABB5-52D6B3333D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0E697A6A-C744-4E90-8657-5CC4425197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4E8F7D4D-A456-48E2-AEA2-A5EEC4EE62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B152E0D7-A1ED-4150-9EFD-2ACC348669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F807AE0A-5EE7-4466-A865-5A396446D0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06E76B99-CD5B-4D36-8465-B8D00B6031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0ACE70D4-243A-4B65-AEC4-888414BE26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68113689-F152-4233-A8B2-1A43D31488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4A3E9CEC-7AD3-4232-BB8F-F89B8B7A8F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FC37C0AD-6350-428A-8742-8D450672F3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856EE8ED-71C6-4D3D-B3EF-DA44B70867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618C60FA-87F2-47C0-9E31-04D851AB22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0A1DB723-CC31-4C12-B604-903843EA6A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49AEC5AF-A637-414C-8166-7FEA0BAF82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EA06C9F3-B5DC-47B9-99ED-842D6454CC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E43F2CA9-B443-4EF9-8CAC-5997FC7BD5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69775CC1-ECE9-4C57-B8C3-D273B5A3BD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1A34996A-CA9C-499B-8DEE-2AECACAE88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A4356B7B-56C0-412F-8288-84738E5A62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DA5CEC8A-2D75-4F3C-B45C-11D8ADF74B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f>_xlchart.v5.3</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_xlchart.v5.0</cx:f>
              <cx:v>Tỉnh</cx:v>
            </cx:txData>
          </cx:tx>
          <cx:spPr>
            <a:solidFill>
              <a:schemeClr val="accent1"/>
            </a:solidFill>
          </cx:spPr>
          <cx:dataId val="0"/>
          <cx:layoutPr>
            <cx:geography cultureLanguage="en-US" cultureRegion="VN" attribution="Powered by Bing">
              <cx:geoCache provider="{E9337A44-BEBE-4D9F-B70C-5C5E7DAFC167}">
                <cx:binary>1HvJkt42tuarKLRupkEQIICKckU0yH/OeVRqw0hlpgBwAAeA4wvcRW/6EW4vu6N3vbzLui9y36RP
WrYspWU5fKOio0t2yPETBDGcg3O+7zvwXx+nvzyWzw/dm6kqrfvL4/TjW+1985cffnCP+rl6cEeV
eexqV3/0R4919UP98aN5fP7hqXsYjVU/YBSSHx71Q+efp7d/+yt8TT3Xx/Xjgze1veifu/ny2fWl
d99p+2bTm4enytjUON+ZRx/++Pb47/9av0kezNs3z9YbP1/PzfOPb7966+2bH15/6zfjvilhar5/
gr4YH0UxRZhHTPz0h799U9ZW/dwcInIUhpizmItfBj19qKDj8cMfzuSneTw8PXXPzsFSfvrvFx2/
mvYXzx/r3vqXPVOwfT++vTXP3j5Ub98YVyefmpL6Zeq3pz+t9Yev9/tvf331AFb/6skXJnm9VX/U
9Ob3JvelPb5650/aI4yOCI4iQTD69Cd8ZQ9+hGkcYxxBw6dBP9nj8zb9/ky+bY/PHb+a9v9v+/6V
s8BJuNYPVr/Z/v3/PPyyDf+As4COEKEsiiP06SyAy391FuhRFApMSASH5Mu9/3ky9Xfn8u3d/6Lr
V0v8vMKXj/5TWeb+7//LvpF//x//yCAVHjEWU4Ei8m3DkCMaCwRnIvrp0Lw6GvfPMKHvB81vG+dz
x1em+fz8n8ow1xqMApb531b/4r7/kDNDEeEhCem341V8FAnMY0ReGQUcHyZjvj+Xb5vli66vDPNF
yz+VaU6V/o9/+5c3/9X+4wwTiiMcQaKIWPxtw5AjQWjMQvQqmMFcnv9gJt82y+eOr4zy+fk/lUm2
f//XN9f//j+/759/DmuFkLu54Byxn8PYa6xFj1jEMAW89YsffMrt24c31/+pk/K54yuTfH7+T2US
2Iw3//7f/+Pf/ts/0igYHeEYURpF9Nu5JT7CYDBEEf/U/rVpXuaU/qds82vPV8b5teH/rXV+HyV/
JhDpg39Y/cQ8vgDK32/9KVYAH3rV9XsE5hO02j39+DZEVFAioi9A9Mt3vgJfLznkzbXuHz4Hz697
Pj84//IlfiQAI4QMuA5HnAK2G58/tTBIUYRAQ0g4iRh9+8bWndfQKTyilBJwDBaHIobD+/aNq/uf
mtARvCwiQRkNBY1C/Jn5ndflrGr7eVt+/v3G9tV5bax3P75lb980n956mSvjPKI8jkIWv5z+CFYM
7Y8Pl0Au4eXwv+SdVkqostpR1pukI+IwRNFp4QckqQkudY9t8sUefWPEEPbw1ZBxyCJCaBhjKjiF
9PzlkITwuqsXq3Z8YJL3RKL2fNCxrNA2QHuDdhw/FiNeLVUgW2uk10/fnwHgg99MAfZcALPkBDMs
0MuufLFqPLQqjzImtu049Qkns++S2Ol6P4sie4gaQ2+zbPY3RKhsZ+qF5lL4sVjVGFMZqqwtk16T
+L4RZZT2IuxWXjT5Q734HRtdcRCOuxVr2uKDciTP5TA0H2PPbBpQ0qzjmo0Jjxqd9rpsjscKR0kR
mDyprW19OnWYGllkuWaJUWq+zkM03KhmaNYZWQ4kKq7zMbsqFLtyoy7PmOrqA+nifTmg+zpWbk0L
Ecig0ZVkte9WuEZPTlX106w1SXG9ZBJV1h0jjoPnMYviNRy87RThtHbNpoq7OombspQzGjYjz7uz
cImDy9YHbdI5GydV0c+yjqZbUhdc0qz2yQLvf7DElaeBW2iKnA23jasceFQQSGyrbhf1xWWAwNHi
YBtO8XiRqcgn3nRZ0jTU7SlelrVuKivLyKclD6NaIq3b5zaz473pfX8WizBINTJJoaphw1GJty3J
d3RqN4Nti6syXua9J3G/soV6p5b5tHZkM7DKJMsYqw12y5wyLm6HuupS1y8ql/HYkqQVWSO72D21
dr7CYfFxKdo4nSqYDM4F3hA2BquoU8NG4Kg6M7Z7mjPTSESI2Q9zXCYY5ZUscqs2Wgcm6efSSzaE
d9PSv9eanQ0VC3cmdkxO3GRpmS1YhlxVsH3Rx8AJLXtbLqupX1DiA5utx4oWMsgWkoqmO8/G8arV
QZS0yFaJCZZa5j54jsnc3y6ZGVPiM+ylCpTZ94I/+oxEq6Lu+vM6RqxL6tlnyeJDdd6SLNyqodia
qtuDw90vdetvCQ4XI8VCFhmEs3IJKaxKmswgIgWJb9A4cFmH+q6P2tN+Ce7aYLlshryR4ej5MSpK
t7LTRGQ+dO0GKfSuCMJS0jE+lIXV21Hhh6HocglqlU64yN8NjOm09kWXdIXRe73U1ZbEw3joMX6M
q5AlPm/mdAnbLilq2C2SszD1dFayFVxLHLSPFbVWdmq0csBzJ0VQv88qodIMsUOFzAqWo+SC6nsl
2htV0FpSmzE5NmpXKnIV1tqleAw/zJGrpajzIVE0n1eBneREWX3TNaVIQ8P0KdHNsEgqlBzybh86
MLFW4rSixKU6Wsze+igVGUpbXhcyqjuShgKdeltAMPBZv8rjYRvbQCd1npNKupIXsu1ZfGxsjg8l
iWdZaGRvGoxcUk5hmA5Z0x+aJetW1dL5D4QU9aon2GxyE5yOuGolhbgl1UTvUdjQJAzU9dgRmw45
gRfCIE+aZW63QZTTtNZqltUSPQ8EXZiw9GmgUbNqo3odKxRJGy2Hhs1typ0+4cZYcMe5WHdN67Y9
0k86nuuziXRPZeEGObPOw3FpfaLrMLvBRG18FZO01Pl9U0163U4FWinIsRK7bkyU0BHMNroxTZkl
BAfbnlbofcgXV2z7BiKbpNymwnWBDH2MpFH9O21jIU09neGxXesFQk7FLUnj2X30DUKSGw5mbHj9
2ImxXGNd6vt4JuUzHntyW9Z5LzPFRFL0gVpHIzspbEnkbJYSRmf5ZhbcrAuGlrWZ/DsXZJksF18m
viAfqgr8UrXzlW1gF3KbNUkuuh0IBUleT+dFiD4oFj0rblZ2nm8Ex6FcyuGhZ/SqXup3OFjWfZWt
SUvXgrarsMgeZ9zdUZY9dUs0yHqOiCS22mYkrmArlUnsOAtwzSCWSLAhaXtfpb0NuQzxaNISx1sW
kDrhfHqeM38ivDqzlTKSeZenNfFb0rG063wpS4imWlVKzrN/76y5tnbc1ot+nLiFTYmDC9ube+om
vCo6HsgG68uWVnkSoPImKCEbscVdgP1vpkYpSfjUShCn3ndxvCR+GrrEFEublsQcq35pk74xG9+G
Ws58SBunvQz8ZCRZpnUohmPRt5nM63BnbXmhMdFJvjRassqOSdZUT6grG8nHaUoCOgUSUXcesP59
G429nNqih8/mBwvxNZlzdeqmspJ+HiG4NMFOtPnHosgSPhWDDFkFKbS8VZhD8I1tCx6PdNr6sU3n
NlySlmK7nRoxy0FXvRx7F8gelW0asknmfGOLAcKdGIvdbINVHbeTVIt/wgFhOYT0Jv7QYFddaziy
712Wjas86sUuH8khHuNVPMR0XxaxDEawlCSTr7ddrld93y9J1XVVQsaRJsw3XRI0tVu7OtqXutvz
IYfhfZBaOuokczWWtvAfSjVvWh29h6zayY6p8ylUO4iaj5pD3GqiESIALdOs0g9RzLdVP88JCftb
EjQbhVwme9ztdZ4zGbrmUHharCprr5e4hYMf5KeL6OAo12hrSElWJWAD6cQ1bs2yqTi4UQAhi8eZ
Tb+PvvBv8R9joDQDLg5j0G9e4z8Dmc1kaMp32VDGsjVxnY7ZQJKyNFvcoGWj8+40W9DHro7vGdIy
6/qzpTxD/Ttfj5uWs/OxKi4cYAy5RJNYL4YhiUuzq5bqY2G9ui0DW118f9rfgK0v044pIWHEY4rJ
15gxrE2WOQ3TZu07MNYOK4jbTbN1OE/mqroaW751I37XDfEJ7XvZV0JGfJI/TeNnBvQzfP4E4B/r
Zu6M0j9Xbz7//NvJLyWhn8oLvz5/qf/8+uu6ruDf16+8DPT5HRjn54FfuM1XP37DtX6HTX2qL/1O
45+hWhzIz+f60W+o1sY8vDn+VUj9lWe9dPuVZ3EWhSEwakEpYiBl/MqzCJCAiCJBf6Jav/IschSD
essFkPA4wtGLVX/hWfhICMpBwgo5OCsl7E/xLPLa7VlIEJS6wIdeqnYkjr/2H1LhuB5V43cT9YG0
Aw/SmKE5xXPZ7o1aWADAN1IooagJVqJXfj0Hg008NTcuqu6NqMGhDIQR64J7BHwu4THk4dY2d7Sa
buZuOURZR2XVlIPsoimN2q5NytpUkuP8XKt605ZolJWuzMrHWZTmMw0TumT3JW+KxA7DLJelcjIq
KwBpM65lz6MbP7XrMkYqQb6FNAU4BL7XnSqHrzVF934QQoZZdR7FfpBDHysIVrm9Fx66cJT1B5aj
cF3VtpJ5Hz/lcaZkPAexkf3QshM7FvBpRlYNrvRqmOimDaY9z8k5a+vjuIP4VXvvE1sQurILfgjn
XklsThCDJBBifTyNfknZwNCqhrACE8+e2dicCFyd5wo9Am4ekiryW5eXD5XNQmnKLJA1bXECP9fI
Di8xsF7jAjBAV9BOGqR4Ok/jLAH5A5LJepeIubrE3DVJ78KbKqN8E5IhkhEbvSxUcFqAkLOdukCv
5rDalRNZEtoPRuopu6C+ROmSqftAFIW04AdyxHkECUEPq3YAABZE4iWLx88BrrYDsteDW1KgGLUM
zOjPYq7rVbhoLhvC1aYJhynphgZJBsdBcjWpTT7SUmpq1zNRfdJzotdhXFchJHwTAkxcqrUqh72u
8WkRxWJlwt7viSoGMCkp1naeihR1WbNmudhXwbisrFBeTjMLXlY6p2OBgVAidBrPTSUX69aIoEXO
XfR+qSndtr5oEw1unWdYpFOQr4MSqKGb6EXOIDa6tt+yPt/Fi35a4qzfKRUV5y43hez0OO+BY8zr
pc2AJFgV7zM9G4kiUSS8CZ9nZ3Xa8Jyv68XgVVc6dWJGwBLhQpJhCIcDFHFt0jjjE5Bi4kTFY3fm
+zbaIiA52pbD81RxAJGiGtOsiBSkduykI+H7oZzK/RhArM550axGxwE6h0wlOaE+Cdh0MjAarxW1
gFNCHKRZZgCnCBumE5qGpDZUJ33FL6tuuV5MHMrCzX3iOn+Ny/6m5s0shYXHZWx0WjW0XAHcPPjI
6SRytlp11oWAlItSCrglkPreihXhwR7EpOCksoSlRCB3cEO4Nc10I5hv1yPKN5jVd3Hbo9Olp1cz
Kw/K8FtFoy4hRiyAkuZeRn5sNhPLPYCcaknB/3o4pCxMAO67lOPYJIFiE4DvKkhDUtHE8aWQpCzR
qlJ6pxrhkqnJekkdbJ8uMi+F0WeK4dPaTGcdss165INKRcxOSeEWOZR2FRh2KvLxucvc1UCiPp0y
kCMUMU1azJCcazGfAL8ON3wsu0SIrJU9tei003ZOtHV7FrZL6rBiOywETvIs5KCG2HLfYL8cs6LE
OxQEYjsQQVZTt5izBQds3ebNcT+GtyDdHcpqeMJEXBv6MY/nS8bMMQgd0ueDOVjShkmB6ZTErUAA
gxQ/j4uMpJTraoX8i+4k+Blnmq4MExawv4NYHPLGJyM3d3lZnkKfhyUqeCJc1O6KfqjWnWuXZNTd
vcnHKRlnBaDVADHXtOTpYIZrzmwkKxLcs9qdVBS1SQVMFc7oZNZx6Im0qItAMPHXI6QSSBNxnyjU
nwy47sAfx4+2w+/DRuzwMj3NY1AnnaePDR0h5PMKHOjFoNlsNm5BGz+qIJ3zcafN8tDm1SBLtQwy
n4NGZkv1zupGJfXSb3gImkibYTnrst2UTJN1NmMGXmBPislchEF5YKU+jURUymgM0G5ZljtAwC/W
RA40A35YuL8OVLvtxr5JB+6OicdXLBLHIgY2W7HmpBUWnWR2OdOjKw+6gksuLZkSNY2XAY7z40Hw
JUHDfDU6e7e4sZN5Nb2MMNQJbSqW9AXcWeHgo5emIdPKTaJKRqPIIa8oQP8899doartjiPFYYjVk
q46hPEET37YaN2uj6uumqpqLCU59k2eQrkLs0krQdLLzWVk14HYOwS6hJtEDzVZ1gyFJhG7bDvWl
rU25Eu1SymkY3y/zVEpF4yEZ5nlTirGWcT8vAFeXjMsCmzJhRUOkyjuyppaSDa+id2Rm6eD5Wmiw
GMn8fCyMwqkBAQ2yAaQe3vRlGnNQCPsyqpNg4vTaDLkChtzc6X4U26XgEDEwTuE2Bxxe5ngyRs2y
8nNskxYIS2pboKG4TqssJLJtF7EZjI3Xre67lS0ZWw+QO2VjqrvZIoh6DXumPUhTQdWVqQvARUhc
ZqumLU8VgpBFM71FPbB848v97HO7Etzhw0TMFXKVln6wIi0UFtIHqE+NUdW2LoopLQcySBxX7cpo
tM9rz2Q0aL7pNSycsc69uOr1zOPhuGfFk0ZTd2yWwgDvMXfa+hnYezmmOW5aWTt63DvUSaoV/hjO
dgH22BAjS8zKx4hlQy6rErSyuSxICTkxA+GV6pluXYkI4Kw8gMPfIY+m1Vj0LEhwOPWHemyiIWVN
BoJ3P561qmggDVqIa9Fz1IUqIb2LQHLqQdYpgouqqaMVz+w9HBK0AnLdy8IMbRKBDFMoMyWMDxdd
1u4EaZp09nDABhzDOvl8vUQZxI32/VDNYWpBZ5MZNqeiJSOcf36uYnHROX7mWmCbdUtvqmk6jtyy
yKoqL6fO7LkyNB3rCiVh60EzcfCJnuWdbHUB6uO4qGRshN+WCNdJP6C7kiqxUpETFxFdihTkDZCv
HcrWVk3VDmBenxSAgVcxBv2prtv9NJqHUi87tIw+iZh+xjZ7ypvhtMHlY56hw1SpZ7qIm3gCFGea
4UO+iNsmQsvWiBLUYqBrdTlMsi2qOqUdhLaiiG4zka3rJrqM6Q5iZYr9cYaHrQftUJoWFykI4hug
nHsSoFhaU65DtkC2CDOW9u5cR0VSLfUkSdUdh/1ZsBxcZeqNmIEnRoXaxhrcrC6DYacqfx8hO69G
xNMotiedm9c1mMzHHIJjd2qiXQhbN1SVFJBvqwJQVnCHIXEzgRrJpqZLqZ23HYcQqsUt4KM0q6mC
U13fetIMiVeRhaAJSkU05XU6iZlKy7hLA0uPhTYA0ehwP+lCpFGefQy90OecJdSqlGoaSaEBj0w1
GF0ol+2J1SrpY3tHhbubYzLJIYt3Y4ZdEtj5QYTutuHj5eDKEaSDInVTX4FMxDNZDDFoRcECgFQd
ehFwaQhkxhA3qchRtXVQj0oyG4CuOwIyg3k3IGTj84L22262oIRbEGznEk/H2Jt9M7r8PZQJTk0d
Z+c5JFfAK7FOqr7u1hPNN1nhrtBQR4CSIijQ9HA0msGtgdaEIEQgkAw1LhKEVbSiOqpkZJ09hGZK
aY3cTTBUJMHUnwxQ8tmHBXlAInyEewJnjWuj49wOpgZIVqotRGiQ+dqA7ZY5PI2YLbdmySXXnSTh
fB1xdIYrcz6zaCPaKodDRPuEluM5IhEIsFO4BvBzUgegwI9BvItzXwIVaj7+eSL+bYr9JcP+2+a5
hqrqs/un4eEvtPn3efgWrs6ca7il+SaBS6C/FKR/peMvvX+h4+yIESh6xvzlkg6hwId/oePxEUEI
LuZgwhGJOfT5ueyJwyMUCqhtAkmGugT8/ZmOQ7U8hGslHIUhYSRGgvwZOv4i1nxZ9oxJhGFq9OVm
F0yFv5D1LwqA0+J8nodFs0e5f5o6dqoWUOW/2JlvFDpfCP2rMSLCI6jehyELf1Pn7EH4NU0PmKLs
w7vQz7sG6kAgZF8DzPsDceo3y6Ecw0BQW+ZQR6bo1XKyiTgoL04AX7oXbjGcz0qsv7+aPxripf2L
HRNBI0ZUjs2+x8GmQP7ZB+zu+0OAdPP1hr2sAoQRqHwL0NnYq8Lw4D3gIQGrCBegjdYkEXAcMWy/
P0oI7vXbYUAOEiFlKAJo+/VKlNZiHDWp9w3SyVjnx1k9XJVhdl810V02NXdjZD/kNkimIXiE4myd
hKR/dh3o1gRE9QEUmM5UuyLMo/NsHjd/ML3XFfn4ZRcYgn9AaCQIv6pNR2Ubdyy0zV4A20liFJ26
Hgpyo6g2nBbvlUDpMFjg1v06K/EFKDPJjL0CYCVOp5AcFGlTuBO369HSJ9+f2zcNJAijUOVEcEBf
+UAVtYsfVNvsa4jYU1MlA0dXNijPvj8MEd/aAxpyQglcmYj4a0+wNFK5BcFrj1h8OSFy5spg70hz
mAnZD2y5KCr1Mcf4EOHGy6oTV55MVmZ1aeQC9bakzbOND/WWzuEKUOUKRO0LIMfr0bh04fgCj8tj
ZdlKLP0pEwVkF1OmaChBUgtGCRLQdtELyPRWrbOw3WioHUlHSdpqEki4mJEsqqiTyvfNeqm4ApVk
vo00wAGQ9AAO5ILKJUdJW9pZms4fU82Ol7G+W6JlZwS/nfm8VdN8zaYMtK/gsMTLIc/oIc70RYTm
TdAuIDYNF4KKR6CZV5rzXej4rkDTTWzcyvTLPrCdkkxPDx6qo6DxrJyKbhq4V2E6djsHfjva8TGf
3NZM2XHO9XruoX5px/7WuRjId78rGncO9/jO6hx8PGP3o+820TBc+ak8n9i4onO+znGtgJQUu6aE
imKJsn2ZOSiWiuPBTOtlHpIx73csBKYbeVBVDB8vYpzdcNUcaGZS2mycOfZB1EgSlQnNs/MJVM88
W5y0HZQtsskDA4kuhgkfez6mBSy9DKckEtkm6vzK92YTNOEhmzCYznRystGHmZbraVKXOszpprNQ
KKXlKY+Xa1OiNVzaeBZl+0QpPm3a+YIoKkUbpWoCHhrTk3ABbKNpfWaX6ZyIepuT/qoEacmS+Lpv
x5eVJfEECSH3/qSK7bYJ6SXty5Vm4wnvOyLragK8Z4+zDkBkVwBLzqY7a+lmrKINF/N6jLuViDQC
YkkS0NY2w4zPgqJag9Z8CxFwPWX4GIfRTeYRVPj5Zg7pu9FVJ8y4g9F2N2sLVcJ9LM4M58APQTJu
CIgJUAuaBNvnsAG9tVsy1RualWcdFnve+bQw+Tq2+mpWPlGMnXTaJczi05m7zTjnmyp8Qb1QjZOV
G2/bblyJkayUH1cDtS911xO41wLQG6v1DBhUVhnZFHZZl607MSKYkxrYPXf9u3Bmu1YsW6FBtOXR
ZmHVDVD6syGGmwAxWbnQpR0gRwCFV2WNUjsbqK0NcOtEjSsTA5jjnvfgLvOL/x5C7Tdw6SIpCTkD
Ef/eVtl5lHe3tuF3tcVnlWp2beOflW6Pu96D42WHZSFbrcPdCNqoqtp1S2krGXGVrKImQa5bR8yN
MhyMBoUi05I4dQdFp6smK4DkT4FNgEW+87Q5mRi5jJrAgfhFUlByYPPK5jBi70HgnfcB1XDNQ+yg
ZvyhCd1pR5ZGxl2f8oKfLyW7GZy+Q3UJ7Lq6qznQhSBrbu1S7nmLgXcHhxaRe6P5xUCXQ2y7D4EC
D/dqN/jmWIzdqc2LVdaXm0nRi6Lgx52FAiX8zxhb79D7vAgv0dS/XG6Y12S2DxmwMbhJceHIQGVT
thcC7rwsHAI+QcEJkLdkyVksgcDzZA4dsASywmF2iPF44tF80NG8cnmEJIwSwUGK7mtE9mXdXECF
Ig0EuSqbqUoWEmi5YLMeqT6D20Af4O7Ih6l2PZRa6/NaQza0Xb+O9HJOpqFK0FjuhsxcQsyA+AIC
h6MlBFJ+05tyBxr5pgiXy3oa3oUaatuKJE2Bb20QQXlzbFcoDs4aRVdNre+hFnBlK1DIMQQZ+nL3
Ii+qPaLxCoBm0pjmYBZxV7LwGBAjqMH9yTxmW+ebK4tjJquerNFMTh2pUwixq2Vm/5e8b+uuE1e6
/UXsgQSS0Ou62AbbaceJ00leGOlcAHEVCBD8+jNX729/bauT9tk6j+exe4zIWoWmqlQ1a9bvrSjP
U6L3QynqP9Zy2w5FDuJSPtyYunxK8PUOu1Xvaq0eAik/WlVmiRl/qxQyjeBJ3JRJVyMru+GhndP7
MgxBcCrermq/6bv8A07U11Uk4zGcq5tR0FOdVzfF1r9Xs7zd6uVuQ+FWBNVd2KHZSAzlVYJEv5I9
MulmOW7lelsQnbXgoDU7LQ6kWt52EQGbCf+xbstNbedPteRvTAPfRMmbyiZvaBhf9S1brsXafbHB
1h1lPj80eFBLjpLyqvkjtfpjp/i9rOKP88Aemiq+otvyY7Thsaz6U02bczwCMtPIbki03JY7e6oI
qh8FKtfLeGqQ00OxovwdVLcEzA/+kSb607rT31FOu2OkF0cZ51eoeH9POhg0z7u71ST3YzBMh0UM
A3wGLpTKIpOXt91doRJyTIrizVYlt0JO34MyuoqQtlFBnB/AU7mq5zllKzkFyf6+n6t7YnRzmHn1
kJTyzVDIdNiSd3tYV6/E6z+Lbp4HHXh7PI9w8ZBvpsTuXZZP6roLxGHUuBg6m74S3fw9/Lyw4zkq
jiDIx4kT33Vdh6MGol1WanVcwxLEEBRu/vlvkJcExwSNQqAMh0hZoDsCeeJLC8Tz30J1S8lWjUOG
B9h2ZGS9bbVazwirHgtrqi99l0yoOCB7FdT2C5v+53WMpy0ItQ//fuU8p5XSP0O0v14/2IEgBM84
vLOIiEFgdp4k28YqhYxyk3UjCuHFYqrftOQTLgtcu5qCVrAGQSbVfsB1uKaya+vzstDuxESsjlMs
96shb/PbqRPymgWzAmukW08zNwluik2l6lKzHPs6uJdNqKJDOYw0BX+y+81uAwiRG8gFfcBwdnQS
6I9tKL4PCXsytcn6Nf8toQPYKwYJtJG8LzRIhV2d/EhGbEjtFuSsyb6ZjU5HMf8AC+sTJY0670X3
cUtEFtloPaxx/VgmLXK7oKORTY1v406mre0/qqVZjuB/5Let6BCug59wuwTBcJUUwVUSyjQnRXec
TGuu7LCdZaWqc1KyTGyXoqwMe1D8tjY8aMKvkO2dzj3SVHLg3UGNHeLPrdivbQOHEfAr0/OnMp5z
FHBWCqIpP/VjgVhXn8sNrCWzZsklP9MHd5ZG+wkpTYWiEy0PYRejTEjkqQ/FxUEg9G0zKkEJ2RPk
xroU5RMUFPCvwpsl6ZObebfbqUNyIC3KqcsWuQYPJeUkS4KiSEsyifPEgummGYvoqljhQytds9RU
W/+Q1/sX8Ajze3R/4jqZhD3bXm/XoKWV13gn549l3CInN63rpw2l/SMZkdakoIYdI13Yq3IBIdjo
zqBCUX63pZpOpLXLoZiirNbhJbVJj0svuwNotTvqiZQflg2l3nDd+hMK8/OBWkluy37J8iZRpwWV
7WON2O6wzVPyloZ4y8lLWXbPu7POp6eyYmAU2vhhUAmqiQFIQ321XkoizFzHOZibQbRnO1V/hHHV
nSmdP03wA2EvPu9Veyui5mnuh3cDqlvJuH5bcWQRcrQ/ehtfdbj/Dwvb3uFxeora5MYmKA8TMC5R
TrhZN30nh+FNE7N0IwvAsIp7WuYft1ge900hLqQ1ytyLuK4FrWDlsD9NJRx5M+bskNfi2KGczkpt
DuBXnpe9Lw96xHVMtvhbncvuuMj+dhn51yQHY0sa+HE5gf8J9uBNsEXveF0JZJKD5jpcrbqyBUpS
Siz7mSKwQy4X3K5tmm9Kubzlmn4vgkWnDXKXJ8K2CL4cKfSor0BWGMyb2hp7anWAFF2RPwbx/qCL
cbyKx+T7iBfYSWygocky+TQhWB+mz7qOLym9MhtqlKKiIkDadoi/ErsO4GohFU9n9rkL2YNg6psW
eN/lYXlrBdPHKeT1ceFNea7CQZ0qtvyR5z1c2QICYbxca2Hu43kBthMm7gdj30rUBA8d2dd71RJ7
aOIuJToUd31YE2Qf+vpOozADGnLFzoL1eEs2iC7GuU5OvEMCFwb48+L+/4De8/V57/TzxCD6Cp45
r78xe/63Cfiv3os//8V/sojyXzFo3SCHMiFJSJBk+08Wkf7rQqNBhlgilQNizV9ZxOhfYPQgkRgS
ii4DIuDJ/4fUk/wrxv+TcExCoL+DhP9V88TLnFgAKhEykUhQXDJ/z3JhcO1bvze9zfKOnzbxBZh5
JUn1q5UvMcqzlS3IA2BDNmtWmvVrVNdfA118fmben7jmXy3tJG8GZYO8B7U5M0rsKLuQxzpql1cy
RL9a3PH2Eg0wIFGoNRMMob3t29+aOo/+qxTkX+Z2AjM5BHWCCHTN0KNyJ0lTH/cGfsrPLE6klPCp
AU0eO09Q9rhCia8791K+Rnr8lV0ucdrz7wlaeKjptGT91ggUTiQuk0th3Wvv1M1kVqUyCT5ipgu9
nPkw5rey3taT3+qXPOqzvW8ozfJ853NWJ4gjE2Q/pHjli75Mxf7vF3VznCtKpjZHXT9r0JtCb5au
mqZr+NJafzHLvluQbXOq8Ihegtu4i6nnx6YOcG2yKxT67Zx11fodXKkT6advftZykEspaHdTG82Z
BTsDjK+9a9KK7sX6WnIUVv8rrv7LZJcT9uxrSDPmIPEM2LoJ7ifCwX5Y3vtt3QEvmcncCSLmTAux
oQ9rGbuHGK9Sz5078J0CcDVnredsLgb1GDZJfLMRwTwx4OC3aGJThkGPzetRgjnGi0tzzb/d8i+f
Mxfj/szoDnyHYS/4XmDrI2pWIJHnZPhDRqT+8s+Gvxy7nyzvViKQTZR8CHOT0SIIwAFs1jybo7Z9
BGUD5KycoRnun//SL37InzWRZ6cnwUtetbKcs0iH5lqaXl+Tuez9vgFxnrQU7XMU59NkdmR4g1A0
ODTzdvLbuoNZEFFIs+WxyfhSVQ94JOj7kcW3fos7qB3qOWEV7easFfI+H8M+q+vC/lv+5b89PeTy
MZ4bnTXhzOfQZEFr5aNqyvl9ELR+kcKfdPVni9twR3KTTTCLKtUtSbrwqt1U7flFHcxWidl5sUYm
69ADBjqOqqrfbCV2T79IHNSuW5KvUwjTdNNIzzMeFwej569+H9VBbRNIUc9ha7IBPNdPAYg2H4ed
0Fd81y+gFDpO18hFVRtYkNlQzjPKcuhvqjr98M9bf1kA+99b/qKQ8PzI0EZvw1qIKVMjW3/ohtHb
btjFQ7BptBm0c452JNlFzM9SoQPclQ8aCW84lXDBC96WP+yupN8RCh3cjhUtOrMCt02y3kYyeR/T
4d0/W+lXn8BB7TqvahyGxGRyKe9UuKRbW1z7Le1gNpS8w9oFgh7eg3g1B5/YuK2eJnEcbSlkvwwh
UGXmsL7fSW2v+5UOv/tt3cHsTPLGGlVMmRyvN7CzaF8f/VZ20MqoQj+fQTdRoGJwm8GfrsTJb2kH
qx0RES27YMzAS/xtthXY0sTrU0Jk7CWWLB6VgRp27NoEPbrL+fvSar9IUkgHqGFJx60dzZjpQN5H
zWSQR2yefGzy58v2+SUQF0VR7mIbs0bpK55bNK9ZL3ML6YDSqInGdWDHDPT939Gtcg7MlPnt2gFl
Pwz9GlXYtSnJfWuaa/BevXydAPXnxa3IyqHeckZMFg3021pvdzRYPXftQHIHpS6Ymwo9vTUDv7w8
FL3f0RbSwWMlw3wnSG5nhejB4zOPuqn8ol5kRl5aZBg3G/TFMGa2jMV57WsNTu1cn/0+pQNKcJ55
qS2MEiGrFhPU6hT1+5QXXYvnZ3tJaIK0Xz1mbEDyj4vgmxT7D69tX3hlz9dmXDQm4rimSBR9Lrf+
rUL92W9px1GiYNDzOilGdB9QtBV/l+g49FvZQeQQJeiruNi6DHaIKnxFssDvK1465Z6bI5lE0aHf
bMxEV3wr55KBuT/94bdrB5Hbakc1o809oxYseNPO30E19/I2wuXmJXEhKt0otIBs9NoIcq6bxc8l
JA4k+TQQZBQbCB+s4QMS4B/ztnqNJHX5YH9/zInEhWQSEDsIXFJ27nV4mHWDvjbZtPp721LWnmKV
jF4PC5E4+Ny6uLUhYSM4CfaeTfQzmgEfvT6scPApi3ob7ATjTwMo4XIA+ScIYuJ32C9s0edHspj6
0FhD4JIvHTXJ9Nu2TF7pTSEchK67jJVsEUjsG8pxSbvWh6mdB78zKRyU9grtczYPdLaR7VyUaKvK
Gz+YXkSAntsEzSek2KEokg0iRLlNxuMh6OkHv8/p4BQB5zzxGfdWkiToxHuHYNYvkhCO45zkHtRy
xMrjAFWSgR16ce+3ZwekRbigFY/ksDXn88Fw8b5voOPxz4tfrPoTlLrMwnCJwoLbdcpA66uhEjBE
Wj52vGP9hxyyEE///Fcu5v3ZX3EAKkdtBFcwjrLFTc3NUSe5n925A1DIXOCxI6TO1KJPi+1uFsTj
XrvmDjrrCfeWAbsjC6dvl0YbpfxOIXewGe58CvsdewY3607H0J4ZhtfYG78w9d/aqmcF4lovYOqu
FId1QR9PrTxDOO5gs4NgQz9VCLNQ/FQ3ehPTaesV9fNG/PKTnqVwZlnJPJawd9KJYzNHhxo9On6f
0kFnQBcLVhwsbhN1NevgBA5o6re0A08Y14RCAJ4GdEfTRHcET06/pR0XWk8RX+3AYRDLT2p6J0Pu
aQ8HkGQtZlFqmBokCbQRg+qpAj/XcJF3e/4VqYiKKKxgj6gFO9LKA7Ldnks7gAxn3EgDYvBsbuqT
RRupKIjn0g4kddw1Ncj22DWu75k2d9tS+h0Q5vhKdL5qMM4inQW7oo/o/d2gRqCo5+oOJAnqW4Im
Me6SCP19ZBTvJ/naY/Dy439ybTMHkMJO5V7MSBwKKJPoq3hGUniz5EJdtkJ+W/Zts0fQ0SGR4HXg
Lz0yz8/OuOdlPXctsMTJaY2nP3IC4RW/tV2c5nrT/baOWT3uYC7liTzso/JMrlxq/M93rmcScPTI
6Wy1W9Ym4H+AFe23cQerG+TuIB+IpfvZvg07+k5W/M5raVftsB0rSeYaPEuz64w36Bhogyu/pR2s
JnWLTswCMbkUBdr0wkbKK1PmlvsBFmokLwy+9uMKpvyEu7Hd5aGt8KTjUCvy27wL2REqpJCm0Oi8
UfFRVvV0Em3E/C7f2IHsSITOo3bQGaRGxBFUne0QKr+ELaiOL+0Sg5VmRQkI9VOSMQmscugKeNrF
wSce+zVddvh/2cwG7QfhOJJr2fToRfUzPH25+7ndaKxafFU8jY66ig5oL/Zc2kFokE+C7wowEksN
OmH9YPTidwfHDkLzeVDFJpWGWfStsiNkLcOzl0Eix5uiZ1WuCkIi2RSgL4IXV8WrSk6XE/GT2/0i
pf/8yrIBGWkRQvVwZVNzLIYG4ipDQ7uvfjt3AKpAxkAjxgaqRFuRR1syezPtCfvut7qD0ITmsi2V
RkCn6Heotn4MksQzlx05+Nx2w+lMoEJUT/kXHoxvwAv2XduBZ1U2Qb8ynMJmlN8JGjwGOg9+Jzxy
0BlCawiKORcZyyDMQSK0EoKRdmDom/IzuoNOjXakjkpcXHUlIde5tNfLpDyPiwPPKoiajfTAEJ/W
N3ubp7HmXkVtETnw7CPdFCUpECIF9PeRJRk4j69c5RcY/gRDLuMInfgcnS0jXv3NNrG3kCHQCi1N
Ac5LO5MFalToH/igFiPUOWGDiaGOOU2L3w+7iJU/RzD4I1GTNJApqFb9oxZQgIiE9iNTCZeTFCg1
mmW6FLmMBBl8IGm5Q3nH6yS5xKNEBquko0GDh94+dFHyAbHlR7+lHfSqiNp2GZCakj008xZwlE/7
2AevJUx+cWtSB8DLPkEdVc94g0CVwoQIfVsDCq3f3h0E59OQawj2IdUzlQ8QPP1UhhAO8FvbAW8I
vkXZDTgsScJv5rx7AkXcL0NFHexyiy0blEgyG3VnWxa3Jpke/XbtYNcEezXUewdzRwpSMsXSQK3J
M8Hj8o0gsdBEwXgJfaHWMCCIaafRz9ouwWgaikbVIGFDv5t9pIu4qpvZD/Uuu0hehJEDsuKpUcQ3
C1shqdRBY9TL3hd+8fMrpUEmHbQ6gfCRFg9jm99PdeKXpScOMJt4mvqlAnL2dskP+az5oYJwrN++
HVgijom7/fJ+l7L/3EAHYz4S0OC2o9/yDjBjuzH0lCFfYqBeV+X8kK/EL3iEfP0Li0PvhaAHBRHB
pf39ME5QlMLUCs/P6SAzJjmHKB889hSt+YFx9r3lr7bB/+Iq/LPp6lm+TgeFmaMx1BkV9WMe2ftu
qP3OiksqmiHN3RUCS19kftCe+mCm4tHrU7qUoiaBICnSz9ATMPkHatUjXSLPpZ2QN1i3aDU5QJ/M
UFGYpw8d1Nz8vqRLH7JTUy/RDNSzZfyGO+BOt51fLB06wJxoXRM5AvNQKb7mQXHbJoNfFsBVSOir
KRHWIIPJ9/osmvbNvPbv/L6jA0kvyZJfnGx0RbzApEksg2YOth3LJdshZglWued3dBAZGFMi3wpE
km55i76nRymDGz+LOL4yGbaI7hEu2GgO0QMX3u3cD4/c5Q71Epqc+3LRg9Phkw4D6KzTwS/q4S53
yFi6oqMbRxvdK1fbiMXNSv3qIfxPaY1nlxRjPTSR6hFvlj4JzvNO5McAMym8gk3u8odIDtkWtG4B
lXF+bVf5W4mKq8/X5NJB5V/iIjYoPv1fCovgGP/91cJd/tDC7BLJHS6Hsqk6QNoFut7LVnphnrud
rvFgIXxbUsQngcRckG6Wh2HiXmecuyQixA8kqhQbMj537xIj35vSfvIzuINMaAn2ZTXh2b9Cs+Go
IMC/8TH3gj1atF7eKGKmKilWHMNhhwZuLGuoGbTm7LVzl0QkgmZBAzO+Z2DR01/TU5sQv4/pcogU
+pi2ACqeGZug/oviYnGAsK/2Cqug4vjSKmtuVlOzTWc5BmYcmJUPWk9+qRaeOKFsN81sygtch/Mc
gSIPUZuqCv1IOdwlE/GKDns443vayV4VsXoai8nLsUEu7KVRlrruFlkhiuCYsnGggr8jxeLFCvmb
zldBKOcMMwoytcr10Kztfo4hY+13yF06UdUEZb5cWvkxxOZwaeWHbIGf3+QunWgNc9XsJXhh8HCk
Ogw1JjqcTJEPr6Vyfu7zIZPx0uzS0jgvh3jI8lxfi23BmCHlVWbhLolobUvD20tWO9AQ/TXlXJwC
qyM/ELkkorJhYs/hLiCgwO5YGKWC+y7t4BO0jShoIIae2T5SBz2U36oFouRet5bLIfp/F2n7T9sA
dzlEXax0bGJwiJaRQtoobCBbvTGvbAcXDj53sZgA/f/QymvUXbKPbzDmxestyF0SERLaAeu0vORo
1HaAKsYtJmz5JfQw4OzlAS/4NqNLAJctRkepk2j0ww7dOc9D6DjPMdxZs4WYBdSICEm9/pGGwRe/
c+IAM9rmINIc93gcI0UDzRhyUQCgfht3+UON7PalLi++M4qvxto8Qdv8yWvjLn8IT+4oojwYMl3J
d8sAfahVf/Bb2gUmpbQDjXXM8qhDw35/rJfED5YugQhyNELvMSpOTQs2ZbJiVkEHBW8/F+EyiHxk
E39xgbv0ITu2kPcP7JApQ9D4CCloZT1tEr2ETmM02ldNgbysEf3RlpcBAkZ7HhMHlwSyCtZQnO8l
bD5F7XwXF7Gfu+cuKrcwybcAOV8ZtRBMaR+XPfd7nnAHlVQrTUG1QwAkyuaPqGwZ5upVtd/qLomI
5NMq0YeIp2yyY1aG0G826Lr7xbQsefk10YJO43ZBoF/Qt5KW1xgo5LmyA0sRY/ahWnB/13pYoYdl
1gPvGT15gd4lEsmCbPU44KBA3ey6W/ZbCylGv6XZS5PkzarVKHBQMNrxitHwrayl3xPZJRHt3Yb5
GNgptI36H9Zisob0S+Vxly7U9ixh0YILVqhhuDL7tF/XY/uaQOov7hPm4LJgdICADqoao2V3ZAiy
oSne+5nbwWUlS9AbNUgajEOqMq6uIRbj90BmDi7zcFGimICcEfOrGomsW9n4uUqXLQQf3NEdMkVZ
wfkNsuu3eeh3BcYOItEPUHQDBKGyrTKfWkmGE3TZCs9tO6CUJOnN0AHuexke+6i5i8PXuJ+XJX6S
SImdJyayhA169VD+3aHlFX9uQYv9XDHM+LsKl5pBDDKZwocNOtyj529xcRrZPMGwFZAqZAzhIHrf
k97vynWJQ+Vl6m6cyyHr+gRShxjp1rBh8ru6/hwG9SwLl8eNoTtB0l3w/Nx0DWTMN69SAY8dmMJV
zHk/Yd/TNGLQqsBsvgiDabyA6urGCVPNDYN0HzpUqx/dEj1h5FP5ytqXb/azw+Mg9aXuctPx8XGJ
FP/9dQnlX1xgLncIjSUtlVYMCG0xZCU2/Re1qNeyK784+i57CHmEatsIUuStoB3mzjXm+1D1mI5c
5Ikpj0Wtg4e87z1viMgBcZWPo+oXsIkiNf1ONnovZuOlx8Fd9SIzdxBRnJFS3OWA7h7M/MDIhcWv
xYe7ZKK+Gqt8wqnMupVHP8ownEH9WWfP9HZ0+fbPgEWiEWrtyG9nG5u3pzC36lM0tqUfbF1G0V/a
2xgX3KcUM1Sh9KvWBy9wRQ5ybTDYZl9Q5GPL1KHwhOk1C51Wv7d05PjYvUZXmIkh0F4uFv1V7CGI
Fr8rxyUUSTz8V06QoUMVGPJzJtbLeODl/oo3pL+4GVxW0V9y3+tsSI2V6+2NATehOlm7LNMhEXP/
HrlY/TiWJHzqlMH0DR634huGAdW3pYmEusLITHk7xkXwlEQRJncy+Ni3lan7T3XSjJiRUoX2mwkY
ZBjhFKf8jiB0hSyjxlrLsOQXHjnmYXh9apep1OlpiFsCLdE90rcXHVHVy1fSMZcY4SfXqMtTmta9
E8ja11kPv14eMWynuINCn7zdV6rB9Fya/hFthxDpK3nf+DlLl7/0l56o7o36GPN9wx0IqVy/IO7P
g/EM1ZVdl3htFggs8/h7KYdj3wdf/b6Ec2E0su9GWWPpmN6DZD/unhaJXl5EkKwySzVi3cJCNR5i
3aap/IKeyxCM53fckhMMCseDMA0VFKMvHvgdnlftZz+DOPdE18+bxHA8mY5anexWnIbqm9/KjoMn
RT02C+bFpXHYHmx+m7R+7e7cJS7lCmONeN7LtJvOGFJ8FLNf+zV3eUu0xHhQO2FlFg3nbUqgXaz9
TojLW8IUCabnHksTqa4wxwkz7Qc/F+6ylsqhitEbhMPXMYzhKQpUj5O9Xc9e39ElLrFtwkgyqiUk
u3eCqQjdw9JBLdVvcQePKp/3jgssHgfjQbArDs1Wv5UdRBZlE00WTW8pRuydWAKZWfXeb2UHkGwf
IdFMIO5LoLsKyRIMVPKrwbo6SEpZjE6cep6KmDXHHaO8j6TLPYkGLmEpNnnQiFYJcItDzHqcS6i5
l7bxCzhczhI44jlkcUeeKsaqW8FYifGsunolKLich5+4OZe2ZJkIeCMGnkoT1fe0b/L3WlvPI+4K
H0kd0HiyGEeWrC2UeAnmRlI/9LjEJTU2q92XhaUkXE60/1yNu5+XdHlLmBuSrBMxPDXjcOjzbxqS
vV4H3KUtxfkcRpAPwspGDqciJo+KDIlfktAdTgSVr6Yec4gZq3X5Ld/t/bR6lo5d3tIW7UqTgrE0
1GUBBbEco9F6DFr1s4rjKYuOVzHbV5a2LHqHsYcP4+Qns8BD11Um6AwJayyN2CTFlMFsjL1ideYy
l9ZFDQnYEQyX91bdkGmeb/Km9GPlYdzUy9BkpEIREFxYinulhOh/aE6mb0svpi+E61+uPm0qmpYW
0FkkWjsFy5jxI3Shzvdy6XUFV5F1M0uHVWLinzxWsddFxVzeUhFrRfZqu2h1J+05UXN4liT24ycz
l7o0iEDm9YzVk5UNZwzzjo4hoiyvE47uuJdWCZA8neiKY4h2pbt+Vr/3e+zlHTAx6uXSJi7jcmqB
+mlO1Bc8GTHRdJ1UMHndKsxVQKrNCoX+hWDrw1BeR3jo3YyGeH5TB557mfAqLAOWVpBtUnlnjnHH
PTHkspeSZgHNgGLxvtDxgYDQdVzjhft9UpfAJDXvFcE0unTFpA2MvNF5AApGVSi/hhDmcpjQbylQ
AhvjtN0x5xdDsiiVXrEhcxlMTU8SaNk3YTrl+ZGQPI1W6hWMo07y8jhu4FavaK0I0wrDhDWmxJdU
ejl85vKXBsj4YWp3EaY60O8wJ/W9bgMvIg1zpZDarmzqoVz2lLb0A9Q5oJJXr54HxQEoj5bBiD3Z
UghSL4e9kr+vwr718ZzMJS/V7bjsusUc2RwtkRT5G0y+nurWTwOAudSlrlaYSqGETfnM7zkGqE8y
9ArIoTnvnJNyYNDO2G0q+/CmnOjRNK3fEXR5S3se1PGYW+xaQ1py3eR7dCp7hYbMVT/q9pEkBZlt
atlQnoe60FcmF/211+d0mUtog5RQJ1MWMwXFYTYYc1Xmfte4y1ziciUTHOeadpgle0DlsT6MW/zR
b9/OW7PnyI2FlVxT9EGDBcTu+9mv3Z+5zKWcDqbcp2BOkag/ialMaxF7WtsB5jw081Qt5ZJW03aI
Y3oImFcCmrniRz205qwg+Zwqbs8qya+W/LufpR2HqeJtKPs5nnFC1hVjngW7SYbIr6sHAx9egrLp
o9Zilt6cLkSLUwmRgnO0+gkIMJe1hMb+iFZqmdNmZaeWkfvCs9UJ+oMv981VbKukL5Z0iGZM8exP
YKL5eQaXtbRgKk7MdL+kup0aTCav06BJfnh9TJezpFermw3K1WnJRLqOwakYuZ9jcDlLiVwSCErj
BNoYQgeYjtldlaEJ/GJO7oSzzCpixpDMIJ5FyxlT3NihkIac/Mzi4LLFAK0INYQ5rbrgcVfrVVXz
P/yWdl6aAmIHloWYo0mCOs1p9zbZmw9+SzvI3GK0O1XMzCnksR5yKj/Qzo+Gj6G9L483FDyXGU+I
OcWonutm3W6Ep1ALcylLkyo3uwbYdUNDDBkU9LZoxFcvizAHlZjjlaMBbJhTyj8W4XomXeUXCbqE
pc40BkGtxMrohN/b+Vqz16SJOGz693QYJiS/tDXtmhijOFZMWu2HTZ5FO4rqvOQj/VSg0M0PYoox
idDPQI7btGYNw15iCt8cVbcUaplmCA5+SzsIVXMsS4gdmFTWwzFHK0E4Us+lHXjmezRstI9Nuqk1
f5rCobrLW+En1MJcvSPOtYATCkwatWV4gGSwuI1sv/m5fJfEJMpFzYpVuHG7i26CPNVF5XfjuiSm
CBMI1wgy7Olq+HUkpzsIQvrFbi6LqUftFVLSwZTukzyIMb8ZMHrM65y4akd7jSJYtJYm5Z+T5Rz1
nste0PWszii4VXJoKpOSJTgyoVI7509+O3YAKoXC7Yf0RjoHAiIt6gbSPq8xZ36eC2cuVSnCcNWw
bGCNSmCmIOYtxzcBV5Of13S5Sq3lw4rpRFM6KvYUbUl76OQ0+6HSZSthlpUOwZQ3aRGgGD2P1dNQ
jsbvReWylcCdiCTkwqY0ke2VEuJGWeaXinQljspSqGopWpPupHmn6HhijfXMoLg8pcBGmPCA0U1p
u9AfRJHP/Uw884UuTQnTMcdENWZKaf+d2fpUy8ov/HEZSayZMbXTwNh5vx9B0biCpImf33QZSeu2
0WG8HOgCQ6lv+IyhhSwx0yuX68Wv/8R1uowkGXRkFhBjgOtUUbaCsfxFDy1mNO91peOzCaaCHCIN
VWW/M+9ylMINQx2WaZjSsgj3w5DMGGudk1foH7+4C1yKUmt0HCRLM6VdsA9XA1fDSXSYq+t1i7kU
pTowtuUjjg+mA4V3DRHw0qOnZjBzKUol+sBLkEXHVBIMzivb9iMzjZ9yGHNJSqyj0FGnekx7KTBO
+21V8HdeRnHpSYXVJkY/zphG9XJYZfStLnu/DIXLEzJlZcdOYemxR4sSLssDX2e/FkLmMoXWya5q
gEhz2gbBeBnGHp5446cuz1xG0NqQvtqHeEwJgf5NE96ZqfdzSC4bKEqiZF3mfkyTLTmFIseUcr+K
OHPVjFYZQiopbse06vOrffhOw9zvDqNOZBvaBDLbIYQwCY1OEAw4JsbzneXygfhe0TKABFM61t1h
lvaQDJ1fQOQqGW1tX69hs+u07YviY7La6mEPC/qHH3Cct6fsyyTHhDOdFtBgYU1+aK1nSOQyghKz
ld1cY+k1Kc2p3jAfGrPG/7tZ3f/pp8RQ8JdxYj/3AURssbom6rru5xtQw/0eVy4rCNJ9RSGLpoWv
o+aEUS/dTTmDRuxlcZcYNFz6zaK9K1ICNhBCubfJ4FnQc1lB1dqyKg+tAlWFgC2cd836oZ321k9H
mbnT0nCd5PlUYv3FYPi73uvPc9B4ZhDdaWlxmUSQ2A/YzTLJzGBIsYBgoJ/JnXdnWbX7uMSVuOn/
D3Nf1iQpjmb7V9rqnR4JxDY23Q+AuxMee2bkUvkii9wQCCQ2CcGvvydqqu900WXWd3i6ZpVlGenh
OC6kbz3fOZ4pFt9BNaEFp9Gxi+8KQys4SIzXs6hkUD7egDyK6LGzuccGkblmw1DXthxqy86JgKT4
vEIN+tB977FBAEeOcRVWtpRedOcJcUptf6yIvQcG6WSi4Ywidgl1zSUjY3rv8/pg93SPC2qXZfIB
7bRlPa4vI1RIst5LD8b9e2RQ6nWoSkxvi2IqKMfFyQ0YyY/e+S7/DKBaxhaXmjKtQMia+EuU4/6P
FRH2+KCOC+u1LsbFOX8P6ppPfDkWcO7BQWPXq2lVgS29ts9pI4rYxscO5h4cRMWwemLxDbJCUVg/
AT7o9dju3p1KM9LOsmi1JQmbX1uvOy9yPLgeO5cJJ7mOQi+2DAd329v6nG7H2P8ggv1Hp9ajjecL
MdjSNh0/p5VHM8u0fyhhhmzBH68O2RLaoMVhy9HFxUCaD3wbPhxZbraHBdlOoq4yGFvOM733qwrk
vT49hjlge2AQYm/bKmOxAcPhIU1jjWrzeMhUsT00KFak1oOQtlymLccHXYLYHtonbI8LmkYiw1ri
YW4d8bLY1ycv3I6VUtm/wIJsw/uBtLbUE9ocq9yiE1jwvx97mjt/CWkKGxrMI5faDZetizIs0iGv
w/aYIJLMGnVyXDoOZd5Odd5Xx2RX2J7PiI90HWKJSzu3nVP7RrKRHnuUezzQaAYCYnGcHAi5zplW
zYeEjM2hAILt4UADRr3C0SlbqobkYWBOKjoWU7E9EKgJSWUp/pTpwn+ieZWLIfpxaI/sgUA1S5tN
zTg4wcbOmmibJai2H1ySnadU3TqNTSNs2enmvS+/ai8+BMtneyTQoHTqTxqLHRAHnxBeqmE+FNiz
PRKIgA5WNwsWu55AeNOKC2aVDqXbbM9ipBlIwChayZBhV1kEOZAI/BrHnuPOUY4UJ0V2jS2reitk
fDP3+pBzZ3sIUOtb7VvPM6UTUHE3IoNQ8aG2BttDgMgwrgNRsH7Vm+5mnWDaeTuou8L2IKC0aiJJ
K9x3mo5f2y18b9u1ObbaexBQ3BIPOHlcWwR3hiY52baDV971TVoqtoggUShNv2Yr/9Ennw5tkD38
Z65EFM4OGwR4mgJI7mxph2POYE9bRPpIjJNKTDm4MAIZCFCKs5y8g1cP/hjuiERGlXkLtydKTQFw
yidmW3dwuXcu8i3BjpcRtz4F66V362XRxxjo2B4CRGPfdzF01Up0eIdMv1HHpNXBQxnvgtepjjmK
G4EpRybT3HTb8OzSZfo30dRvlYB/LeSzPQwonTekS5pMJUFFlpRkFaP3IPrU8DyktuXvW1CYJehC
jou4gLNhhFhPuNjxMqZON5eWdDXLyJo6+SA2Nyw1BDFbdqy0yPY4Im7DCAbUTSVtg9uwcQWYrY4Z
uz2OKLEkGZt0wqXTxc+W0LuRGJ8/tpP3SKK6q0Jbe8tUSmJOrsEHTHNzjCaL7aFEURUY0fFxKiul
uiK0a3eCYnpwzN/u0UScx6QD5uctCI4HhE4dWyrM+c78WGS2xxM1TSckJQp3jyd7UzeDuEvnJToY
m0W7Y27SpYJWaD2Vg/0AHqd7aZpjydieBylsETvZpZ3KnnLQHlL6E7p+Xw+Z7D0RkpVeyDsIbZZb
3/3KwqpBS+SYTBvbI4qsDpiIfTmVyVSXdZvUGR2OQRTZHlK0bd0gE8wklM72fjYMds1ArJocM9l7
UJEmVe02imcJOLjM4jh4G0DfjjHRsD2wyNhBT/OANTfwC1lFuc7nJPx56IHuoUWm4RZk6bh1HorP
ZF5ugtH7N61XBm/4JxZ7z4Vk/XoTlnHct18VzAVlGh+bPmR7LqS5m7slmrBVfKpZDn0pmm/yWBed
7amQyNK3YQ0TW/JZ/6pd9QQb9m+Oz1uW8WdLsguJ7RL5VZK0qEqlTN2CXUhdTRqsBHOlU/zl2BPd
+WGKQTgykxDHSMVJtqjpG7f9sZI0+xdAUQ092bb34S/C5uJPvzqVHPNEezwRvLuHAVJcmaRrlTcB
yQmUTY4d0D2iqJp72qsNFxfxcM+HFq2X4VBLnu1ZkSIntQ4xNV1GrPeKLpKPXsUPFh724mkdCIBG
sgRT2b71bjH3/aWr5cEodg8smoNlG+ueTeXa1Pds7PJxbo+5oD2qiA/gy4kDij1Y1TUKpYLnoHI7
JpwIEPwu/B4DvWmKVUn6uVQiKJDTH2rQsT2oKNJe03kAFZVp3V54pPKkiw7hldgeVES0q6MVtG0Q
BvMwR2EzUR/rLbA9pih0U9KCcATbxNEMcJAkOlTrZntAkR+Ngxw9XNhC+eneq9I6m5poOeYg9qCi
JjUJCXwzlTHvlqqY+0FVWS96DMgcMoV7aJEPds8EvIRvT7PP+9B8CIJjM7zsX3BFYT+s9YCAv3Wd
X/jClYtJxTFztccQDWPcQzcaIX/Xsssyp5lIybENvkcQebTF3FeLSwdtfEUJpRD9MX1NtocPcZCL
bDaw2OBeKu4l77DmLVqjx57lznW+wbZB70lUyYKKXoVnxLlL5uTY4dzjh7aOpSMdBly9FjXJdDvp
LnddNRzjp2B7GFHoraoJ216VXHVtNiCG69fqmMff44i62R8HLoepNOOWARh2K2vx4dCq71FEopnS
aaDdUEL80pwXEW65RyAYcOzqu8rSivrgPLapK+sUBfBQP0XNfMwt72FEW+CFo+w3V1rn1QXYtsaT
0+Rg2rxHEgHrO4loXF2p2+RjhbJvpkJ3zHfusURcQs+A+sNaQshvArGV9S9TKo8xsLA9nGj02YiO
K3dlF69zlwHTEXR5OqzLj2OPdHdMhdLgoHJ4pB5u2SzNKRr+HUbkz6GczN8FtlpSUzuLR4rGq/2Z
4vGyU6WW8ZseWAu2MBCKNx+9Le6mY5WXPcxoc6Rf45S4MprfeZMHoqeDT2EPMdpUVzHgRF0ZQhpj
Nm02h8dkCdgeYuStDOzkCVZJLNNjE9MLPaiLw/b4onjdvG6uqSuRYoi81Vub1ePBRHSPMKoYB/v7
NLqSs1p+QL7umWwd/eDfZXWU/Nb2+pPsaw8yaroBE7gy7UuF4Wf2AmlicbWR9cI7MWOA9h3o2mj/
MlWyhhbvuslJv7poCVbwrPG+tV1Wo+ulBugvM71dKygEiMxtlRjf0y4Kh1s6tqa+jnZY54dprer0
JAlmoG9mUHmNhWr90Nysc7Qk9wwqZfSkeABZBxtWYHnIeJhWn5kX+knebjABRcsHPRZTGBmbBanX
LuVcowDwxHzjhWc5E1ZdIgfc1NPSJyzfwtW5EzqVV9v57COCKPOVET3fhx/7Z3US75Dii6lKzhPQ
zt8MPm3NQ4iFRCV4/cBuFCQk+emhHwlKHGQ5FUgP6rg6B6tm+j1tfPtzc6BTA69cNwSQRYF8xI12
Qdh9p2pD1yv02k6Xoomb7WPTi9ad5yTy1nOMsdPxBiNMbXLrTakd7sMuVMGXdulXUwaQWqjzJJqb
D1O1hlXOQ0ASc0N139501VKND51gen2JoDhaF1JjwC+XVaqiHMoEIT/PdOPT9U1KXRREyZU9osNc
L1nKfS/9umLRxxtw1BpIYrZp0HyqG8fJjbeA2qBwkZi7cxJ1fpWnAfoDpyh23uMSboKdwM+wJjlj
hkePa12rd4vfNPpUCaPYswblBO5mVuqNjkwnJB+qqU0yNzdKngkYb4JHKfyxzQfwyqM/tVmwtArV
YfwmlgsA/wszlZenKtZzsTmg0HOyzBRM6wOPQNlEmdaXJAXALhtYun1cJsC1siZIei9fiKxYtq0m
lmcQTpP01E2mavLEjeaTaVsKXk9BFnMJwsiLf2xgsArKgPe0ugQUuu2Z6QPo/XigbzI5H7zlGhMe
g7wbkJkq34bef8XHTGATjFt7RaLfRxn4H/vps2mSSWYopcVpWYcTsSAi8lFJdwynKJtVEJknk7KV
i2zyK7tlTaeDtQgd99TZyGSt86kCjzDEb7aN51ppzE0vQZxMp7H3AZtlLeF17idCVueWT8wVFCDm
16WpnM08ojV0OVRjeJEQmdqXwbD4EwoHXBT9EqZj1vGFL5cJ/9yWJgnmLavbgSWPaB1EUwZa5EVf
eJfg74NwcSgyLxrauc0kCH5cMRoj1s90TQVwfOC+b/SPuE7HtCB1Z4K7FlSYP/ytduTiJZ77NkJC
5ctaSf+FJkpGqFnU3viOV3IjIJiJlu02FAsIGfOGjT09zdyP2NPSrSE5m6pr1c1quK8vYonlkE2h
sY+DNa0642wFJtfh2H9faobKOQeFtimhH+Q1F2+11ac0wgh3bwgbQGE5dvGHJdTeVVr8S1aD1SX+
NPdJ1/YncGW2Wp6WybL2uY54q36im0ejE2hl/MQAS8yD6OrmABSSmbJVKFQu0RbqgywiQb3m+LLr
+NBHhNnL4DE/ueuX/m0PeHEFs1T1FR4X8kL+HmNsNX0vjVcriJZOnA5ZP1SookVN139QlJD6ezIE
XfV9ggrFUJCRI8Su6zbqbmvQd7sbFdGtfdzGJvrYOukFuSR2Cc+jFmZ6gDX1XM5qo6MzOqexn4F+
UXYfMD4SpB8qTfk16dHXx0g0n6prH7noZ2v8DuhdFqvlXimFcMHv7PQpClMD1TVhmp9za+cnLRyP
s67HifLyafNl974xm8cLuiHGyMDQtgRFjXhpuJAee4J4kUgeXMorcpGeGapTg1DNy4ckroJTjCmz
qpiS2tOZiKfQOzWet7xGKlHDjZZbEWywHdmCfufb8r7zUwtfkyCAFJxlgq+gFx4ft2o69fX0LL0x
3U4wCTHusJIc1lklnJHz3HJCbzwAMzQtAky4fBzWEPUyGk3p60iD+DYJ9HIfjV6jr2lcd8ElhMaF
f2Y4BPM9HOC1W/t8ABWkcfV9ukQ1RlYatt0nkRruUNaCdw+AG/HzNVa8OWsZLyJbGTouGQ5o+gWM
netDKlgb5+my/Oo3Q/o9TIfqq9+TXj33cb1hJ9RU0DwidVK4gUo4RJBlgnpt5eAs9KGCJdv6K7PJ
2TJprkqR4YQGlChA7qNOeuaX2rmSkUYXoUC5foqDyxhQkqV0feSdG7OAb12WghwuE6B4wr5snhFG
mKzFJG5unLdkGzgJZBpvBY8jk3Ed67vG9+8dlUUYj5/54tmzT5q6MBBEKqBSfrfF44pSnky8Yoaq
W8E7m+ZCezbNKHj0Lq4C/xWscxvfp0n7YtbRwJ67rzHn8xnkrKyIrFxeYlvpYmhA2Q1mgXHIU2j/
GWzbpIL5CZ27gtHOzyDC9CIZMggPFh6uTX1YEw/2sBrSjOHh5sBQ0IzR9Z6u/EIbd5/akZxAe++g
n9qJfI5lna8TeWgj8yuWMToNYG4sUcj6KhjfTkGwFIC18qJbm5/pQuqTZ9BRTiB0hgDAtWfhxGXt
+JBXKZlz0hu4FUOfSJc8mjW+Bj2wgnUIiE8YJyqLK3Pp2JDe9ay9r4Rbiihan1s19vJcO+9X5uAQ
ZCVvZ7vd04rrjNPpg15kcp2iZDxVS/RT1vaBS7SLc4U1DFs94yRolw8kuUPKub15ANCyO6thgpQ3
QwLL5yOirSAMprMIIpklTtjcb4WXs354V8U8Lv2ZgxNdk2fUsQLQoLR5IPw+k2bMmp7gPbHCFILF
ZNKpDZm8QbEiqjK6YMZEouicjaoNn6BXH8PTVAW+EFfFBk1PkfXxNj35nEY/l6iaqyK1tf9S68Cs
xWBbNHqo38jmjoY0RO3AGro+QG0oLhaiuLjwpBUyx/ejfh56XUXPMSpT7kp0QO8j4gmdMY5Z1MyN
Ovmm11AVfRN4yU3SVtGnvutClwXr7D5DJzIi53Qcqk9L2y4TYj7MhV5TnyUOO3MELzPv6+1DytB9
OiUgBs27VfmfIA+jx2xs6vFT3A/858jROb3tOoPVMRJnCsdpiCE4XTcbHAgKZQ+R59r13ahSrq4x
J4l/Hn1OgLjuvJmdejp2rEhaxYF2Ukv1MIXVZC5twOSXbpvlG2JdMAUgssC28vtpXdCfXVNT8LnF
vTKMy7TPQVrTb1MMcbkPQpPWZH6PYitqpMvwmbTdYBBUJXVb1lWvPup5Zf2veo6Xn3ME1FI2RgGQ
/CMiYvR+F0VZAVJwP3myotP65JsWPHVSra0sYyg0vSeUVfLUa4ENOZgE45y8nlmXCROPj/Oy8A2h
yThL6FA5o576oedN3hkVUBiWhswZKqzhdE4ntdFslHwdcgw908cBVP/y/QC6ielxnAgZzj0xkzg3
tEJsmAaYOs4X52MaGN9CzWfbB03BNCElgmY/XQukgnegeZuAf6b0ClqPKb4FQ7uPeCzctvHUws58
In6wue/hWgHuqe3gzZexBy93gbnghj9LqJMGN0OQsApL0URBZi0VIiex38GuRNxlC55nW4aqBuHq
7CQm+0LeNP2zp5xqHimNVF2ECHlpNmvQQj0hb4FKOJs2lpwQWz+Ba7HGVBNJ4Eo3u65bYWIR3TaO
heKaUD4DXxPFRgAGOCVVZptteO9MMr6yAaR4lxY4ei+PGsim50yK5af2EuFnArPBH9TqgYZTDVHL
S3D4IyqJHIYoCjsjds88nYy3c6O9k4Qjf2UmCF+mwZNXCM8hoWiUu8IUUvEQBjOzmZTWsWsqeMOQ
AlhQgrNt+yltOH1EVpfEWduPVZCPPin9iouTJ5duLqyXDOwSMM+5XFtG3fNMm3nNA93aArYu+bwZ
WYEpHKrECmesV589Eifu1LWIBe4GWN7tUSJczQxEF89VpDT5SuYp2HIkO426zN4q9WlLKX8H4GBa
nzbPs/QaO3TYbnlv1hcoT4qf6K1bnk+DVvVlQLjVoJ+0DLTYWHs3227xH1v5FhgpU0FxB1yJ+nvq
Nyx6ijnbTv2qpjhH9690oPR02QTNTZ1VHrsPxy1FhgjhGAUpk2qdUGhjAStMxDjJRS0l4rE4CJ+H
uvfeydEKeKJZxs/JEgvzuIVTPz4tdO2+qkU5H3PFWnjZKny4p2kKRjDu9pv/ECphn+pJ9tB/X+rP
olnd8LmikbZ5UGHMLEgTzytwAMAUwNvpzcKvw5jC2ifzmLttGevLIjf/apO5bsBetzGXTxq5MAF3
U/sZQV0bZYr5DcTUcSPvtzRtfoRCLM8olwcf6jhc9Elss7iZIICLIGmO1hYHMvLItQbyp2gctacq
nkUp0KnLhNv85kyUcdWttJPjD/VI+IfBho/QymaZ9jE06YtZnGJo0Af5UgPCd4oCV8vbqQ8WMKe1
wQyePb5iyoX3qTjNjvHmwTTB5l0gi0Lu/GRcPlVL4N0rL2ZzEUStRgkBI0lxuY3IK050CILxvpp8
8dU1SsiMIJJdTmNITXIb0S4u11S2QFP5dkCfm0aiP/Xh4H1cJWUZighxrpKwvZigG96gDd96Sx6Y
6aHj4SXRhpiijb1CxTTgF14NU5NZvqXP6dJurzrU/EoXbh+kQCaYpa6jzX0CH75+hfrsak/bCh94
mZXtS0e36kuvzKpPwxIreBvhentWFSX9I2pySMqtj/AQ6qP8O3Lo9r2cZiBt6y0qh8Ta9yOM5Y2/
BlV0S9xcyyeU8bsfPOnSIe/FOhf+4LprEFaIb+Q4PswpBwEbyIBhxvqUBZ8H4LZY5oM1cTsNbtMP
c9/M/FSFS/xIoao6lxWfkZZ2Kwm/4WS/FWtIvHrvxsG1Bglt2t+p1vVl6Bv2eQIes0N8ldrl1FE9
YlfBKTaZnOr0JgKNKsvWJtZe7tLB+rdchjwthli9uYS2fk9r/SAtCwopt2uzrUPWhD15BznG7a4n
zpp7P0jcywZfMZxavmDEfAQRwmmgOo5ueuOcf1XcxC9igmwZFl10MoeyDv2CVWPBtQ6k2gig/YOv
JlidaXVFtQz2KWIx7GhNvelZiKSC4rDo0lvdLj8A+oy21wnz7T+Ub8HmizakzKRY19x5IIK9LHxd
SbYSTB+qeL4lmzuFrKX1qeuEu6/8pnRV97R2E1tQnPDjGzh/wHzAEEhUmHuYh/q+8oSWdt2m9zX1
jcwxcQQREdrSabhhXQJe+WRi2ztvU4ZmpmX+K7Dz8lfrm4CVpINPym0QuuHcrBiEki00H/jqL/eT
sSPCL6m9iwlR78iXcdnElYBb2tyuE5qyORt9v7/zJEmw+IsgL7IidnpIQ4yNnH2MpQzvAZPWU94t
a2de5lrXP9FkmHUBF2xRhtFVj6tsmN4BBaQJmzvPYf39wEVPoe50e9bDBr1fZsY1LEMgSP2Mp2At
z5aasscm8XWYWxj2e6L58irqtosvsewB+oEVasCyDcJGWjRVrfszeIumX5lw6PJC9A7WZgbPhsw1
o/B80HfDWe6N8KOyj5WVN/WKM36DWZT+fSxTGt72Y91iUzNdF1Yx1WQdHJrIEMr36XUNjK8z9HkM
AlzSGfEpeVOjLeAzIOsSrpAfOzPZsakYxy5tz3GgpvpBV5oj6/Ft1J/MLOzXGXRcJKfWR5/RisQk
OR3q5D3I0BqeD14U1nckQEXjBUlAut4EJljpi19Bt/h7LIDSf1gSOZtrCDCbfxls1Y5PSdf1wY+t
UlJcQPDHf9oZEra3FNn6hpMrx/CR1igQFGKsa++p8jdQhGRUoBGBkz4lI5woxXhvYdYO6bQTkFf4
CIGmGEwwsx8+BKhu+l3mweqwJz9U5EpUE9tiiYcuyAzBYtw2GI4JLo2fDvLMOqzgx6WTk39ylVtZ
YeMGeolymTv12cwrrBtaXIN7pKgHvqITMqwZTySpcpCnz7wAC6x93wVQuio0VxEQOwvS6QxORHyK
TAP5K8M9VA7MbHoEu9FE+wcJ2Te/4Esc1++dIl6fY7ySLHk/bm5+ik0znDplkDYiBenkmSc1TX+i
ihQuJxW34YCuFQLtbEI9qn8HdKvtQaOJN9y0CYl8mVXaCHvmMeqYnwdaCUYzlC8w3IFDFniPg/Zg
aLtJJODQ8VRar1nMusneSQRZwmWR9X3+WgVpKrKUMDlmM7SwXoXE3xEhNeGSdd2G7wFa/fEVRe8I
UvXohc551Yx4QJ2Kt7Fc8AFtoR3B0F6DWDp6JRraNmXbh1P4Ll26hZ+iCns889dYP5GWzPJbMnog
ferbpmqKZiUiBqLAx8jHVHRMOfZlCjcv/RZY3aPwYAfTnID89ZA+dXJmeawnkmYOofh6DEW6nw2e
AyGbmuu+nKCnWap0TB5RK2NHuzE7qMpIe6pJN/ZlMhNXtErqbFPid2WM//jm/rP6oZ/+u3cx/f2/
8PM3MHyNdSXm3Y9/f9Ed/vuvt/f839/54zv+fvmhH167H9P+l/7wHlz3988tXufXP/xwUnM9r8/m
x7i++zGZdv7t+rjDt9/8f33xLz9+u8rL2v/42y+v37taFfU0j/W3+ZffX7r5/rdfKAGX9m/Qu//4
5w/5/TfevsXffnkRr/VfslqJP3/jj9dpfrtQ9NcojCIa+ZQg3QISb/nxjxco8ZElsIimlL0N5Co9
zuJvv/jkr8jAoySleIMP/jm8NGkYxN9e8lkMrxkECQ0YwPK//OP+/vCY/uex/UWZ7knXap5wM78x
hf5PKypOItQiIDISARxNA3zUrgO+OYdCkCXy2oyOD5nc1vaFAgv3XPv6ViGtg5QZQauoCizJ0wZj
Lk0H4+WbWn+JE03uwa8d3UPUXMNdD/YRaWd64bOICh1Xn7yVD6ifdvcp85qc8aQ5db1AqX/rVPQI
HIgsnVibjEM5KWvrarqZtPTuZdLLPAG1+Y0FpdBJbmopZjj2HCp/6SVd0/R2RlPiDLXoJt8mpwqx
ILmOvHq54c2WOc+7olygCiY8lY9pNJ1hMuvHxtQp/Kl9RkEWtk0mBaq/cZaEmp6I0uGppqCzRNNK
In6SNPcHEt/1Q3eDCpjLNN2Wew6Liobp9lwLmdyjZg7BqM3e1yhPr2Q8e1wnRRPar1Bs/RRtQ/Rl
rgMPBDxrejYT9TJvpD88HiWnuTUdtFM8eoqkiRCgJ2tRedGYq1GsRTO3D7IH6Tdo0V1Wz9F1m7hF
MwK9ixq1jZPk9VMUcIrRFYmcuUuryzKuz31VfVyCSt5jFjE8QaJzPq9zLy9wTdGlWybkSZjOSY13
XeOKvXQaU5vNVt1E8xbmHQFxIG1SVOoxFJiFXtM8xIARY+3nb92CEpSElgzg3epjwEV1Qe1d37CF
vloS4BEnmPGDg6cvDBnWbWiH6lvX9OauRkZ29pBvFGrpkGAZh3TGAi072h4AgM7pkxxW9sXbULKX
UV9dxoipu9Y09a1FOHQWBlplFB9SdE2zZEEfcXg/D7F11YLldZNdWsSrS1EoBkXJVvE4hyIDlGbj
eFU54MrqCjyqRVSlHmW0NR/bBKF+N9G0wLxSdSFzOj7Nq/bezXIVn7YwgOslobxtGKrUtl3mItpM
chGixZ4DJv+MioTOQMgZjkWj2mtFqo//Xav/DcPwvzKr9/W3UU/657w3mn+ws39ufP//tavBP4E5
3oz3H+3q6/qXhz83q3jf/5hVzMHGKGj6URKGb4jaf9jV8K+oA4V+iP+hfPGGMPndrlL61zjxQz9N
AphiP3rDJvxuVyn5KyQ3YXIRc8Q0RWL0v7Gr7DcJjX+2q4kPndGEgJkoSmJY+TdM+j9x/UVkYuDu
3sISdbC6GCe0Ipq12QqQR8BYVPGlSxL7pBJWn1Q4vXMqPdOe23NrsHuHmtrCvXUJeb+eEfS5e/QP
Rb629ZjHVBp09OStscGl7XvUfebChO5jNNPcofl3SWMfFTecP5ktA6baCEniXIPaoKiS2H+26xmk
nfrMA90VvWQqQ/NIZQHBsMZm4vqMHLcqOkDz2qhDKKpQdgWJxqtYzNXvondrM19sZYL7dmiSd1E6
f+crYwUBj0zmq+S9n/4f8s5rOW4kW9evMi+Ajkx43ALlq+gp0dwgKIqC9x5Pv7+SRtNkiSOGel/t
cyLmatRkEi5zrd+t+BLXW+wNsiqXdS/TFbuRQt+S4Desb5lz2LuS8dULjKqp60zd6IXH1rNOiHfp
S901g+JKYR4ePXele6NZf3VqI1nrc54sNYK2FpOZX1rRcBc1WbFS5k5f+oN6wJRQeUQ1wwcLISlF
GcaX+YvRCi7sXL3VcwPyEFR3pJLc9WN9wQi5bd1Ml5NqXydFtjON+sru6i+5b5yp9hy7lmKl7jSW
+2Oj5OaxswZAfE4aUcDKDZ/Q4/jXTT5Ej85x/pqjM9GCekFa+76wajcKfQCRTFYMjjci9VmoEaN+
ssxcaUWk0gD4ZxORC95UGgOgW23y4IPZ631rTSR0zEw3zpoOVMdTCy1YVEFRA6nWa0YrXoLWebFj
LNQ6PjS9D96kLQO9Yci2HZOgGNiwHvmqaYxla/bLpC+2ju7cgqCvKiEW4GIQ7UzzcccxfVYEVFvs
B8aqF8VFHWZul990MlvWkRK5adJuUfPf9Wm69Us23dnyr8rk6NSK4htqnpgmOzkLTA1viJkgtPbN
m1KpQ9Ba+Zj63fOci02oRschooT16mfSwZ5WtumqadMLgOHRAxbjtE1LoOo+R0BStUjxBumcZSrz
7TDdOYtAi17EOJhQOk0KVBrdmrGt6y5+WQUUrEJ6UmrdAoBFWYeaGqwLdOuLoeOAq6xO3XJE5cBU
tkCGUaBhMdJFXI6cco64yqoyPy8KP1rVsCZbxY9sr85zjtpAGjgJJV9HHjzpcwEEG7XzOelD5jIM
m0cjkZKzp33WlWdHEQfHKq+QjoyLKc9q4D21cgkt1NZ2XJ3F/Yx9ld+xI7pMYP8pDmrXKefWoH+Z
LOsShKDeJ34JYybD3oX/6SHYeGpt7D9ZwnG82PCffBit65k5kqlbdll61RrjQxwJ6RFU8ckuDfs6
kEW8qv0Q0ixB2RUOpNWIVIm8MB1WoT19atQOSlQvz7Sq/lZrR4A9+tzZ+QUcxdlgH9VG2XIewUZG
Gq6wAIKsoZiHq8wsLsbUf0mgk3QJrjBVk8kGERGY1BKEUwHxdt+0C8dCd9+4in2dB+q2UmvpJn7/
qAV8N07drMs42pT+9M2mrsnK9iEB52ni5DOSq53W214bzZPX+SAgpjiLh+ZsbDrYfDW+MtRonxuJ
WCJC2hmJzqNPyvOqlk8jL8MCo89XqterTg8vpEVOVKa1yxBudZkThu75jCOqUq6tz+B2B+np/Qyv
mu01JVrZHUGvOFfOy1q7B6x4pqS/IHdyV9fzDbhSSWqTcmnbyq2wrKtBFdsyzuEsu3hg0ylNb2rl
bSqSJ8LhP8lpKiiGeumRJPeUZ9Bh7DrZJgnF50SCTMR2N7rVjJom7Mz6UspaXUl4iAV7H+NBtJ45
CnF6rXQ283GNFn2JrWaLluCkhS6H2TWb0YIO6FQkCZGxxE/7uQEXXuAEQXbljM1ZUBrzI94Fw63J
4l+LWPcv68BRnko1SBa07MD4eFIx0PmiuPETJ9s4bTTAlQefoyEVuy4EkOz8YGBLix6NMXDu1G4e
QISl6WpWmXkaTHgI11OoMSx3jHgetDhfodWXN3Yw7n0aa6+fquysb3yTwrqueW8U0khmcRh97f7/
+3JJsRyLEgapI3k5/70TPTah/1qclExvfvZn1eT8pZmaaRjCoYNUj4FHP6sm+y9TSNUWqlR16DwK
lp9Vk/6Xxb8wtUpqQrPY0f+umrS/oJSl5jCqxLJUjpA/qZqOvebrmgkCgC7YkVKTjsMJbb+tmdSu
t9LkOIBnFsVCN0g5UVF7F8lCnz/KjaTr/mWpY1cOUk2d6Jy2vVJR/LiYGD/jD/YCDQltAyNojLz+
QP393joOGhiVVaRK5/72kgDkSKdGiAYWhoomdL6qo7LoYRo+MJi8s44heKyYM/n6rFPrql2OItBq
pgBpQXx9nAI0kLyrZh/mf3x3fpw8I3IrdRU4w5DUySfPSMvHNDYCa9i2RvbJT6Z+H/vp7IZZb3pa
nSde68f3to/FIO/CvdKAVwdlBledmLmbFDOcNmUcWrQR8RdmXjes0vxzJfSrlpPAS7Qh99q+R8GR
NvoiYsqy27bzVihN5nVmg2AoEuck5zag0e2DXgXWKqyTC3uqei8wlIfatjWENqW8KMMcJHek+7bD
GvGNAfKuDAqkPuyDq2O9chlZfJe1bGHC1ht3stNx2Q+FvuJzCD0I4898LdPKN8UhUHMDhNOIN3jK
B5d2lXa5zm600Dir82yLZOGTGEv7AL+PZs+q92kSI7uRMbyxNg7reKyqTZWbuqtMWuNydFBsKd8K
I1QQlUY0tGKuXWNOjKU9RLMXTRQF5bSTVrVPI9JtADldPcziZRXP+7mpqcPgVN1mhsOoB4qGtm9C
t0o7Mn/RILpWD+MKT3pHc3stYDk2nSU7txlbjtgMpahU971uUHsNTKm39HofJ/mNgXYSTZyaXJqZ
oYOkOGa2FQ4lqCjDnW/ruQc4heLO38T0yYQakxdLaO95WUznnV/dQMt8yWX/daQiXvg2HYaSqy9W
n+1jYxaNNxkIn20Utc91n1Hw+gSKllOMMEXHDTDnKiyiSQhjjJqmf2jCSEHzFJLy6obxEK3FKCdk
s+KhLvFR6saXQakDhAPtvC51Cv9Sm+rrAcLRbXLzOtGUHcreVRiOMt8Ufp2GmKOpeifHHFyyac8r
I0KEJKoZKmPKtowFKRdN6YNHCwaXMR7oUBszTDZDQ0pGv2haw9vk8+tR9wwLe5xvQeoQPs2XXTLO
Hn5a9HUILV0iKPoF+ulVbsOZQBWel41kngQDc1sLOH5yytydksrmJDXjRZMMq4AQVG/0zXVg5Vsm
be0nn2KH3NyloYpDMgSPrRky1NNRX8DXrqibZ6ArZpX1Ynq2RfctqMsFg+KmM0ImOKHLHAq3usWb
sBaAQC7DyFtXBJXtIcOIgLPab06mykOjd+eQK/XSNIrHDvvHJjerXaUqxDAjeUzt7ok/+4uBxtyN
FIsDPX4JJwafj1m5Sus4dDO1B7KC7sPIEe/Ja4lXqhbuG00/qzTnJRni6xx2d22HXb0STrcqO/vB
ZMcQxZx5aDoYlhBEqaeMKBeDSH4upuJxnESxrDPzEKE1BRjbYhz7NMZhsxZ1e0dPkHtdbZwZrcGO
WhIUVlmV29f0TiCVHWyWF2kycyvbuChVal3bPJQd6hMp9S9JemGMxpVs6mYR6xmPFqjOG2X0hRcD
AYQ/rqtGTxjVlkRrVbMuGfbXeG2jo9OuwyPQlA2LWupfB7pA4nog26LxQjHV8zBXzqVmtkhX7Mkd
Sqg7BBeNl1czirdhraVETgtrgGTXM8MbmRi/qFU5LhK6Q6+ypoaexYKZ0wP0SFY2wyvF8NLtUK6x
AHSuFjl4rHSt9grN+DwVyX7qjJtY0a1FgdZypZTjpW211Sosx09JLDZIYJt9mvPvTP1UzorK3zVd
7ixHJWwWskkwg+UN3XJznGSmNaFXK/4etC9dJmYULmxUsUg+Sd7pnPpTXbe3jd923hTxf/PO32aV
f51HBvtl2vYe6nNk6U6QeEnISafoqM6tYDZXdTyAexitV0gLaX8BcBtBVi57BTlWl47pDmHTozIh
ycRrdNTKc4eHjHuIjKl/mfP8gR5AIydvQJwqLdNzFKfxojThNehlD5Ose+Ggh5xCUXCWk1q8dAJY
2bHJQ/J35Is9EcvmxxwtdR6YO62yjkUrYEgVDtOO2ZCxqyhsfJPJgCAU+F97m+GoJP9tEsve2L12
5R91ghP3OGKSDdFMSEnapPIm7NcbMKrHGeeLiwZmZUwAm4xdPe8TmMKxrabFMFnKGpS2hdqr5qUZ
O7vE0sqVNTYJzJOerIbpeDYpabuLNdNZOggqlaTfKcOcrbpMEa6AIALqJUViVdU2nZmRr6IB7tIK
RpwY0jDYS1LGg7C9o0lSkfyyBwcyj70mqa+V2I4OfRs20PGN6elZe8m0NvSilnqYBsc6VAoYstnu
khz7S1/PfxTwZdlUdwBsEqqBSsW2T21lSl2X3HxmII5a9X0GomrNy1dF77/pjTd0xtHcdVKdmKBb
VCbC4X+nIZN/T/7j2GBwz4zNzAnjA0RLvKva8tFMI6SvMhIHXW3R7DCXqImsHwECf4Ta/h/DY48B
Zv+9u9g8/ev2pLf4QY8df+xnY2HSCQimMCHFZFqzSoH6s7Ew/pK0DaZFlyCkc4zK+NlY2AC1UE4M
JTq+Etqxav0Jx1p/8QANCT9l/rsd+ROa64i2vn4vILfAfB3cho7kfDz1pEX/GRbeKdNdazm3djZs
+rbii8myCp7c/ppb40WSyzN+ntntQbTWMwlrbWAl0dETfVCvf6d1f/mLUIVowtZ0rMonNsURTdGP
AeNmMDwCDE/YbMLLOhlSD5tGhz/ft11Aw9I14upQRWiP+3q8HgoO/bLufnTOb+jb1x/Oafvw/f7A
3NM/OLZjnpqyq3kWMh9MY4vUGYGyxCszoAH+6Kp/fQyqKgTLINkxVSCrt92QSXVljOI4QjxDpux/
bT4yIB+7j7d3VReWCeVqmbw8XMrbBf6efo6jDMlysoi0OwR4lnnuaNe12nuvPoN39ptfb9tRyc2u
pku2EO009uCdweWmneurxL/9/TrvvC0QGRovrsTuaf2SPYae00T0E1vbAP1hZZwr07iXHZ4DM9Av
uzGb3S7Y11b7VJvFChPh6CYtmK4/fxSl+GNU9d+3GBDNNPmYaZyBEXiKzmlH6+AQhCbTt+0QZSvD
j3B/5LpAwCGf6Z0aN5qx8jjoctwaRAwMcirWuj6KrRGl+s5GIr2J0yK+lH7+CStbQcKr3ayavAcb
HFPdQ9sTLFuhqqhMjWxdRkB/fS4jpKhlukAXaC1I7Yv2xWDK5dAzPSVEyIYM1E7uO9To6TztQ6wG
q7KIrgNmRCSLXBpmhZI3V7eJYdyD2RpuNjfFRWxO93ZkaQul9ndCVw4ShxHc33RAv8PHX2yNokSu
qKW7EamtVzhkmPplKNboz1ZpWN/rfWVRUjpYuNCKu3i+DxC4qu5NyaTI9WAr5W1tluQx6ZQyJQxw
nDo+4lanRWpXGctEnS4xJw6Vh/AMxgUZ++DbAYRG9TBl7ASB3qPkgU8Bqi5UvJ8z1pAOBWufQus0
hLQPbjsXmrZU08LRF85sxtXCRoH1SRZg+aTP3QwZUtogPJSW1A8OjRLS/bKl4ENDjUfEiStjE1tG
ewXciAcyijXm6RVBeDbExQVy3X2R1Mjzc5EDTRrPk57VBxkIB8l6cqZ3Ufupiuv5ohu7aamGGpo+
tsyFXRjdDvnTtGsd62GUNPS5TKbPfR4/Q3kaXlqXGf2AmW7LLFo6zEjeVcferm+vQQPgrNThOnNq
axNWo32ZYvBxJ61ax3XxiDv7ZpiwT5gzgk/H51sAWLBWSdMDMSTRAbT1QZsmxs9PqVeP6VNuTM9V
Uy1jUTNf1yBJJIqm+67Hk1/asY/SMpHHKhKRD5UWotLkMJbWuMLX8I1yTfU6ROFLacBy1W37tRK9
cGu02W46DZsRb7irNPGXctAkVtT2riuTW5HnZ2BetGkD4t3Kr5dWZ12HdjV6ills41KdFkxxBSQO
hquJKS/LWYN1SNsy2ilMqllG6McoCatPTTf1h0pMeDj7qkbqPlsM3fO/BmqximJZez7Ny6JTKCs7
q9rmQgdAt4LMrX1UgU1W3QhAhKC3VgEjXbFGrfzysUOF5fVyxNwiupuYuy4jC/0V32qc40/RY3UF
qBG5vYldIVKwHIyWE2+s2L9Wdfu2UtTL48zLhRLp4bIYDWeVVEbGiUUgtJNhTOqQWyi0jMyB2cR9
89n2xW2OuXih2ukmkRkK554OKZfZYejHg58AwUeF9jjY1flYKPRCffCsi0646gxU7/Ry3hgijDGb
FPayz4xHkSiOlx+r+qkel6o+xi6KvlXfjheGIqpFrjoXyAmgPkW20WRSrOxkuCm18HN0nO1SMN4Z
DEWft2EZOStTH9fCGSvXjgTMicEUmKoq7xlymq9MHNbrGWXUpiHyf1k3mGubBAdHh/N4n5Wpsi1J
DV5EWNOTNJyPyoZFp20yYZMyjUvF1ToMYrjnlq2lXSXOTVk94Qv4FBvmvoAuLct0rU/qRaHi2qoc
FNOC/nWQ7WdHqQ8pLp0gEoLlnPteq9Ulnxe7jlXeUt1sed2+gNLuUEDiDOxujOhm7h677h7I90GB
YnaHonmZUd5PakwLpPjYrvQdynfVE73DjTKVb42odrMM0FpYK5E9OsnnNqwE6hxU9hVAjwmBpFkR
fQzO1VEYC1jcVaPs7eAB36xXGr259hXNdM1uNZZ4yDA4ONpzZ+XuMLRfUZwenPoejRsG0pc56910
BpzJ23wXaOWhDJltpFiTWxLz38MpdZFkrAo+KaksHJDFOVor2JcWCWmt6PNcmcvPGMPPUhtDRWIt
CQe4L4si5RPX0BVm+fUY8l8lV1K7GK2bvr4DYNilunJJYBsnZPtJw9U7hk9zXi5sxVnOvMWJ/hyJ
kOpnuKrTcQv1Ei+q3jwrynOMC1uIeiyf7pCY8MINqHGzc/r4ECWAoOCzLJcS0lBMOVv5yC6sYK7s
/XuM62dYanajXaXr3JzWmf9sVlTQaJPQz+L2bep1l2EhV8ydIuwvQH0PdVZ4aFlppRWNKUTNro6+
WuVTpz+b8fCQF80OMtn2TKu8a6ZHGxQi0OeXPkrvKz261gtmXHVu3IAz0cfrU/fZ744AWOw8KU25
RSLzFA0BMELukcqz0MaaT8HEgWNU8XUqitspuRm+WLCMq6HWD1rZL3yHONOsPyv7xwBANGtvOXrZ
HzDP9k6Mg2hysyG8I2T9TLbBCK6a7+vS3GbmI8QnzXMTX0bBFzPlO5j8MxwRn83MwZTtQ3xVF1Zi
XKIdvyuAzChvVmozCq83zlsAFDs07ppOrgMsUoYyquwyPVZVM16GgbPN8+q+zyJwO+Va9xdpkVZr
Qwetm5QayKca4wS6XMe1lBiruDOD9aS089JqVGdr4cBe2DFLCYvZNXUL7ZXpRr9UY1tZGhattoKr
ZmmmInZNP8cSFfP+YwmPPQVHywoe8tOEc2Iji4kGHeHSMksGNiQwQ60oLwY94ew3TEj+UnuAAcBL
DQP2AHZrejPa2k3kJ/UCyKXYjlO4mS0F3XFcJaCEweAlJdrrvErOC9lN+Jt6XEZFPTFC2+SOtqqk
ow4IZpsTi7Mg7ddZMx5Q2xeMnPDxgDvJbSuoF5ARb+KyWlaVFqyRumYbmRtfiRawvME3o3PsOsga
8Pm5RYuRZGzVcq2qebnrB7GqHGcd6CFVEprix6A30+Wcka6Sd2dYeVEQ488CvFQoxHz6+k6dgw3z
l7Y1MhS36qPrXJseq4TbRlwA58kaZmS88Ov5a08CMLpsuaySYhPjhlt9L57/qB3/f0xE9R9m7ygr
+u99u/eU/+s2LF6rU9/85M/WHb0ULSjMG7GkAtvY69Yd4spiUjXtFJnC/MvP1l38hVpUw9EA2U1j
cswz/Xfr7tC5O7R4/INNC4YY/k84we+Qzd/9hsX5QwF47DkkvSnx8CctXUu2ghnN3cRMHCW+SXLr
rJisboVdNFiYw/jMvjI/VS0fXtanFfEYHNU0uSWakCjHd4FBflExV9BtDfEQJOOj1uT4sKSZQrWb
1cqqnEtViSBE2PLchP7ncgBv3ykthWQ69OvEGrd4UHa+nzD4VA8XdCow9IF5PnO+uY1TnEfCKJfS
Dr6gVzrjK0VqmI6PVTqgRHH6+9FUjM2YapdEQIKjys6sNslRztqif/LMCFQ2KVE3IkWKV/jOCwDa
WAu9AXT5i96a6j5Kc/sAEKxq7Ha+uMLUIh/CZKSIrVKy1tu6Dw7VWES3RtGMziJmRiNWTLS0VAhJ
Y98Foa3j4VZ9IjzAvI/hUW6q2+kO0nc1T/69MP3PIIToI5RB4tWdS44FSZSDvjCyXILbhihIsiio
F6molUtMHRs2FZ9qtR/LBT5I4pudhO1qaGhL0EwyiI7sDA0bnQKVa+N7XxZWWuAlKaFG4i62dg3h
XvF1oJxVdii5+VLRrO2ff/3vg3Fv9JP/55Tpx4Dv//7lH56Kf3lP0esvHzQNQfvxx35+9vpfpnYE
FGz4bwvM7u/PHlYf5YZqWzreJgY+/+ezV9XjVoFc3YI0tyDQ0Vb++7NX5V/8944GfAShcdS5/wFg
x1/1BseRbETftw8DxA5E8eSjT+wkoN53wl1Idg1eGG+Kp5W5GYeKxKF52XyQdHYqPDhZ7jR8T8SI
17hLGIlfrCxZT+NLMVHJ9D9Oov+Ksh2hkb+3Mlu3JGp7ABzukgY6dRo3GWptPfuVTHcZ9TUE2Sbs
ScrRlCUGmGNsx+LVI38HnXp3OZ4egg4bN8F36f8rCWo10NtGqkh3JBMjz8MCkn6p6LYKtonO6P4I
C/v3xb1a7Yj9vVqtqUkYmhJW82EZK8OBTEmWOhrE31/UCRT2Yx1UIgYHAqcOx8PbdXQbPisDKKIY
tqHdWxLdi21Lh8hM0I1a5S9+f6ebyhmk6B2msIWgNyGC4Pd/xVvg79c/4vjvry+2IIVcGYZ0V8WY
BqgDtWRaz/FHIcfH1/z0hUH6Y8OY6JyypzNugp4JN6Ho2KVlchg6fwlNz/4ZehgWNlEx38/yIoyK
f3Jxxw+QVwZsWpxA05lD5lyg8SR1yEOcmYVzrw/FB6H2795BMH/ML5gjgf9P7qAV4CdA/YotujiD
lVuUNYChWt/8gwdlSYoIk+3MPv0G8KkrGL+tdPdoN3PoziSJ6dPT79fQjq/cL4/p1SInr76DSA9k
b053oY/M2wKYZIrX2F00Isg2oTOFD2WIzGFKc9MFCbu2RFke6lhtsfsW51bgyEvIYsp42SCBMHqN
DIh0KcpkETrAaEy820p7vg96Rd0QTTBfh6Xct4PVAbMm3VXASHlPYZCd1zHH+lqQEEaepdmtFZIN
Ptgp3//8Xl3ryZsPGtqSeG6mu7LIlMUYNHdQ50fEjRQhqis6meY67ig+NG16CcZ2bx3v+xhli6j7
aKzDe5/H8SWV7Kq2xVHx9h0i5HnOtJH91O9k7BZKhYZdBUCy7+jE0XPCugsFEC2TH32YJ0NAfmwA
r5eG1Hq9AZgo4y21470KuUSdS0VpG7hjqdCcVgrhe36ytCdS7+w7EJRd0SuSMBH1Gxms12Zlm8vf
v4LHN+z0DbQsWAgTVwOSzuNR8Go/SujnJVtlupsIanLz8JFS8iPoX773mlvQHHjZjg3BKfIPDql2
MXNmdkj45rUtymvsVc8yt+K93lSuGk43kPvYy/XiNgqV5iCbF6F+NITgvVPt9V9xLB1eXWrmYBPW
K/ZEJCiYHMRLL781uSgZwWQXrpzv/8GdpYvBbQdLB1f3djmB+bedsCLu6iZqXQclkRuW+eLPF4FA
EoIIAewiR63n62uaAjJTEpVMkUlVdpL4nZCd4p8sgarN0KWAij95Q8qwKtqi0ZKdI/L9ULij7Wx/
v8L3LO7Tl9B2/l7i5MlMRYrNTWEJVSu+ZEPXrQimB/OYFHHnSBNFUhY85q3eAR3iBrQxFx/xm/O6
A6Jy9OoMV94XpxJ4Hib9Joyl76nzvaLqGzTjFqlk1q1epM/aPDEMxboazBx428xuRjv51OTp8+g4
qTcgOWHkiAi9eZrQRTMoeOlr0yWY3gFMG9u0qc5uPUI1/P7y3/08Xl/+yUN8e4cVxNe7id4PF8sq
tvhLqxKUkGi6rjS26ohAb5JR6gb9ZP6R5PTH1uQINLSWZnC+nh55xIpERI8E6U7m9eVIMkKXkg4Z
dX/6QqkaRilMrdQnAovTyUEApKggDU7jXYFHCYrcKbApXv7+nr5tA7iU72vQUNBq6BZBCyffhVXn
I018vJuKaTt34afOKG5hQu6MVlwRV0LR3H9wWe8uqYJ4GAZvgjwtudI6zVoZtvEuim6waEG6Iw3u
L1vC9KSluzZhEf/gGjW4Y/Q5ApTl5MNM2iZr+FZibAbSleXgibAGqvw6Dd/ppbU6fDRr9HjX3nyn
x7v6asWTF1VjnIuJ0D/eqca+gtJC7+Pqkf7B9/DLPv12ldMhJvnxgjvmI+3GetcRXcskcA0atMpy
4MBvv7+H765FbyVpW8GwTofrkCaAdqmZ411bXdX9cFFSi5EzBhSrXBP886e79fHKXq12cv9GMk5K
S0FR5Ochit3QTdXygyXkscb+5RlxVhv0bjaylZM3X1dIrsZiFe+SuH/JwmIpnOHR8KvnSSlfnD7Z
NZXq1eiEJ03MxAwlHym9331JLOQ5DvgbXsmTi6zmamipcY6Pz7xT2nY/aQiV2/yD2vlY5v9ynQ7N
qYFVko/u5HjFvljBoSnRTpvtR+IH547M3OZBib78+RsCGnkEE6B2rdM5Jn5dNkpvORHZGUWzbBz5
OYvSyLUyC/lvXB6MnIyW3y/53k5iq6qFqdR0bCQAbzcvWWZ6LCA3doauXpV2cMd4713WoWqEN9fT
dskPfrDk99G4p7cTtAR8k8kSum2ctG6kOQuMmT5ratGdVaDBSAzrVrHT/iws26cgZAjmAOYIkIJB
zgQllT3RFl22qZNkTcwRJXvBTD64M1dLA+HKaegJjzR8HGy6cVkN8lpTo2o91bBcAbXAkyKGfSVK
Igh7NVtNmtwOOPNBnPi9fvcUDP2Vzfs65fmLLItnTv1HqMxlO/tfiemkEMkUZ4HDdZ2Tjc2QeTLl
GgynZu4cGBsEv1+HpLPo86Xd6rcV2KbfkH1qNg/pMR1RcVYksp/hsYQxaosrvceyztWqiDUg4D6X
SU+6/DjfA1cn7jwi0cjNEhHGLOE2IHo4gPElNOFLaxfEO0Kuu06fEo9cJVcwMzlssiArKuu3aK6L
lVrr+6RUfDrJYdh0Xe7hiGSaCrQcEQYXiigDSLJynzem9DQtypG+kDLriIIgHL2GSSeO7/fv2Xuf
0Otnrr59z4qptx0VRn83Ov1SR6w+VYueNGBjnJa/X+nXEoed7/VSJ18rkHjh+w1LmaTS5SBkCoHK
86ySfDi+xCYjfrP+1mQi5WQhY8sJh+Dv+P3fcFzi9A3H0q1hwUDkSXb326ttzVQVc9UmOzJ5Lxwt
3wTUdP+7JU7q2MqETiuVKtnloOaL2M8QovQfScdOjDQ/apsjbyJMzCWchScdJA1tS8h5kuz8aTiQ
XoH+eYcAtwsQH0wT4djJukura6vP70odwSwCwKr/4ucT1XA/LLSuuS3MBkE/IWEDOoEwLhkGEUIu
k2WKZqMoMYaoRkUIRLKP1GrrJxbJClo1X42h3noloeglSX/Ej42DF0f63e/v4nvb3+vrO3lX5oHJ
K7Uckl1i9q5ZRsUOMdmqJEsvGjU8KEa07/Tygzf0vVPr9aInb0esEfnFTJlk15JDAgij7URDrmkT
fHCcvP8W/v3wTtArMk2tqh5YB1BiPemhW4cfHcC/Qgx8bBxY8GeCLHjjVCGa4t9AEOXEuyGGomFf
LcmpW01Gm3qxaFyNmGqvbvPHccjuoL6+5FkUbWoDEkslwogw8Poj7PX9u/v3X3Sy0+AYSjJkMkRf
Su0BCabqioEUdSGff//qHE/GX7/xv9c5+TTiAa1CMrNOLFHpBsO0qK2aTFEB7YZcx+6mK4Pc/EAM
m98v/O5jBUGh7oHdpCN/u7l0IjSUXKTJjuzVa9Ha24SO8n+3xMlnISHDhmwukp0+zd3ShnlcOHzT
v1/kvSPhmG/x8zpOXk8FAoKo1yzZgRVfYKYmLlC56JP0zo+K698v9V7pDRqE95NdDGro5IuzENrq
5APyxekYfEdlnWaNZ5HgqKhXo/Hw+8Xeva5Xi51cV9X5fYzFgL2S7LkRRIG0Hpk/mur4QQ/97ub1
aqHjVb8CmdQaw0RPciFl9lcNyWC3deLAG7KYRG/TrYuP8MSP1jupFYVe9lYZcWFRjtMOV6Rtd0si
RLEcim2KSd84//2d/PVNB9enr7BUECcT2+3bC5TgNLbWmNEOtvqb312KIfngWb3TwhyXgFm0QZzo
3k8eVlZZDVESFAt8Umdmg8LSd46jp1CswkHN/rpzLJIOsN2IKeIQTyzk+NWUfYBY//qCvv0zTh6l
Xxp6qDtc6dwcMUJkK7Ox6FIERcKhXNX/+Pt+u9zxSb96czTO1h83lulsBzEFlyihP5om994lHcPE
0FkgOv9Fgq0dfWhqwCWVfbjLpVN482CdtWYFckb83zH9ZP3nrwu9E/YNGGNyD042xngoqBLQYezK
ZC5IJsf1pOPN/sNFjvQo8CezRQCZ7VMTgm8MyBx8eCcLZcCwSj/9+a9/TRyeXgM5koRxD+ku8fZf
/3e/+uTAqqvMKqKWX22p6abUB9zF0Qc355etj5vz+q8/OTdUkq4kY2XANaZnIl6Wad+4sfO5LqJ/
Qsy94hxPNnS/C2VdRwDeVXXQl8wdQJj4+7v1SxlxvJRXK5xsDPEcTiTewSMkZ2N6Vp8V6Qe79y/f
x3GBVwTmSZ3i9HZRZSZsSOpsCu1qDhdxsdfN6+qjwaXyuE2+qVROVjp58DggwGAbXtnqiTA5XMRZ
4LZM61ngAv0HN+0VX3ryWP6HvPNYjhzJ1vSrzAugDVpsgdDUIqk2MKaCBhxaPP18yNt9KwjGMKyq
l7PMohU8XB13P+cXGQolsjXq1EsveFnnDyL6u3eGuStHDcyDehS4xt7qwiChIOuMFwrZYqP4Vfjb
sj0Tjj+ddItmFvHRV3gzdxV8itDZDxlgITfbiXyr5Sihr74esk9n3KKpxaGK4LmRVANDlt1TDXj/
+uOn9iNJK9D7f+Qj7EU0CWukx4IJGAI3xAD6zfWsjzs9fN3IqYV83MhiIRtYMaR9OKYHo31Rp7X6
7mzD6qctnxmoP/S35TI+bmexjJ2wCMgH05lNw9oyr3LtvcLLXjK2w3YMLtvw1epepXCXF5uvOzhP
weeGNS4JnIo6wJiPiy5thQWHmw4W17UDj3e1yYZNgCnE/ut2Ti2F43LtYrZyNHZzo6BqXbV40azM
yP0H358LFLKG7py95J0NU9dh/TMjADpkAX9byY9/8P2j0utinLCmc6Zpjv69vB3uUGT8+vOfEzts
FQt0JeIvoEA/3eIRxY5Gu+X3G8Zb51yMKIdZ+zZyNeUn4tjNrylef93iyZV9VFZdrDgf6x7FV5r0
QMHe7ax9uCq16xZGwNfNnJp3JL1IFlGL4qK7iJpRhNYklJA/VwrH9JLE+5vfn0sBoF3/U6BadCNC
VE+q/Tw+IOZUlVi2nTmMP0WZxffn/h0F5STuFbuLKYDhSIzJjRqjjPBT7c+U2T6N0tzKXzUvaxH6
laEa1aGg5hWvlK1zpgufZnrx8UXAT6JYTEHAx6emRzXD6x+LditjFnamE5/P4kVDiz2ScSXO5KiK
QeEcovabXnlYRIq1MV5N0TPs2f7M2vp0jfnY3syFPp6bPE5rREFoLxs5AV4ook3nwuMfz8kP8XHR
xiJuTZYySVVXxwfbvhXdg1XfIrQQ4TdenqnWnVkCS1SdMUUWYuPz4Dk32kbW7//BPvlrhdmLfeLo
iRaGJZ/P4TN62Hh9/flzU7HYJr5o0FiYp0KrHtEaTCvv4b9rYBFH4gn1HaVlEQfvIE2s+/KcAfG5
HizuxBPis1U8UAUuuxVHsIfty9c9OBlJjmZgsQ3HtNR1UjNsw30yddDLyfveDsaZVs4to8UetBNN
nXx6cvCldXsXObuvO3EmljiLLYfcDsTXeTv4r/38yrqo+tfkHEr3TB+WSUC8+AKlbJgK3nDOBVrM
X/fh80yjCARDHQQwcGxe7x/Dhh4VheN0pEXyuv7divemN958VFe+buVzJ7hNIWYrw97Q0chdLNgS
xygVbm90CJPpRm3Q1ynQxf66jc+z8bGN5ZIqJtG3DW1AOkFv5NqBJAqlFSIt98Zz6/fzFWUWwTMs
TnGbejHqYx/HDSgsVlEVGG0Lhi6wQmDgOCVsrV2AOk9yO8k2mkvqDjdKmJrnsrbmiWz8x+YXG9SK
U1T0ZROIeGCO2LNTq5TsPlnJvt1fZhGE0N5IkOCRoxXsNuz/miDe6mqmHlIEJVa4S7yAYe8ROY/v
qLGWsAJnbw+Uc3cgiZ+mEI/ToQ8vQsXIvHQ0HuUqNfeYtlyZWXs9cf/bpYX2u4U52k4UyEdDQ55V
3kmIi+H8YB+cCscuv0Dzt+om6BpmUK8gd6TcS+CjxbaykbKMumWuBshmg5suNUreXW6rlPLMPfxF
y60Uu/Wgt8zKlf0Ws9OnpK7TdQuEi1S/37mdmr9hEzmLo4k3CydHt0DXbB9YVu9ZiPK6Rijvcrm4
H9tyh/Kls6oS5xlQ4H2cZLDfYnUbUjggb1vFazFqD01Q4PjQO4mxcsq22iVi+J2RINjHfSk8pHWT
nVNAscul9s4uirvCrjt8LuXOk0cUxJXKTlbUA9CeiyXAOpH6K3H470WWCPy4nQLIQpd7SL9WKwwc
NuEoWe6AU71rNwhVOehRIk57r6SyvlVCKmdFjDRAigzhSijiSmjafVggGaONdBJNWicNYrcaAwjM
LUq4cld0bm9Tssv0FEHdwryprBTvCo2SEArpA0Rg+bpKpR+xBIAoGM3fVY1taeuoaykdQMLMrGYA
3unWFnXrKoPto+0UOTM7jsUUTKhCj+oPe+bs+NlMh/VHsR5qxF/zKY1dtYuREbCcCxxl5kJC1O67
CZK+I2X3mWGSJG8Sxw0jJH8h0VqbXJjmxu9AGKZDIS6Doa63ugagHH2tLZ7auVtrwva0Ek8j2Wqf
jVEt7iAzRC6M/+bQW1xxRDc94bRy16WA++E/qyjCUWyDMmh5g1pg9DMKmNhB/VT3YGJbRanX+SRl
aNrXyUsXowExpbdxxyoylSp6zepIOaAvEG2ssEtXum8VHj5bBrr42Y08GagbaMFFVqUo7ddpd901
EXLHQSrvMjt5rAVuKXHVcxAIJBnGLL/OWoU2GvO1iKr2Egl8YIZxAhooQgQNFSIDZ+kpgUgZNVvS
HuD0kkZdaymLU62prIqiQbXNuOgH9BMdp7XcuBxeSsGvrA341zPwOgKBXWt+iSdTnN6gFf0CDxae
bF+M+CU1DEdlP5XZ9FvMyF/0HZDMTmVsn0DMtoYSbrVWH7cmhW5ItOpD3sgvAFLQpXtC7O7NCMSV
hMkb/rbRNXKAyWVk62sd+CQWkKY7icTe8aLrr8KkHnF2is1VFPjBWnGwC6PKOmJLc5B5TVVCPYTF
yM9pwDs4+xK14mYo0b1YFUwqbEtrJT8a8V6fmnYdgTrXcQJ3yrFF9i28D/WLQrrJE2Wvm9Q4FXSs
UGoEy2VWt7mFAWOBOt+Y+GA2mlqlig12M0JdEM2C7pm3y84sOwQMwKKvsMVC3UpFratShyd1xpbo
WnhZ1b3gZ6gmyQbs0FA2R+bEldrmKYqz19BIrtuBXRxWVD37wdgP1fdYmQ5FKzypuYfkBo09m37a
g4HbaSTcwbcfokB+a23rVksxCJuBF8YMwRCVVHtV0aE8ATTDiK1yhQXyrrP963iqUdeCDGf31nMv
xfgKo4S6chSmPm2bZo9mLSLXIT2ccOf2Z4cxbH7uJBh3LrxkkrK4VKSwh71OQo0Y5y2v0pA5KyDF
eGWHOIIR9Mramtqn0hAviWN/x6jmGwmFfR7BFiBe9C45UdnTRfpWBzgmm0GUeJkm35StkSImUuy7
cbiUc5J/NZ6olqmtIy3HuDOkHW6myH6lk4zTkyRJroN9i1sk9c/eQuEBFD6wHrjLbI7dpGbbHHDZ
CmXz97YUuE5SB10BSEWwIIUvrkbhRScP+6j1X7VQCl3TbA/2IF56y75wahUUWGVvK9He59xwXKRT
EZUctZdBTrHOUDArLQLlSgTmi9+AP9KHaZOA1MwFjPwShLadyTep/4BT4JNjjhcBk1GlYu8od2o1
3goMwJ1Y2hRGeW371aXECQcup7TMA+q1lMNYfA3CjoOaoTGifMsav0GwCNLwVDdkr4qtRFYRU0YP
7UU3TwUV+g4TC/TRGhlNTnutolVsKqWnoJZpZ2W9xUVDusAoJfBGrm2rZLBhDOhrO8nv1DTKdqCQ
kBBNwbVoyPdjpeSGSmavOZ8N9D3rGAiepq7zKtOvKo1GAyert12J2Zo8cJiN+XU8dGjLa9FVnaC3
meqN7aUNqJJyaJRnqZxp9868DSR8J+oBPSq1TknAdai9tw2WUmURubi+Ziuk3+Bb4k63QpnSv5wA
O69CtXUQtoZYOdlYQZn4UcPix1Fp1um6AnHKcWMlqIVk1UWuXKomCPbe1gZXdSok97tivNEyxF6i
8psdlRsTRwMo/o201swwQRgE0nxdFeYulCCbWjCCUROwzR04ptIdgkAFVDVUm7EQ3XZo5H1Y1E/O
bD2tZ5P/pjXpJfLZA3It5e1gCaJgXv/Aw9TetGUCQzVPblIjG1dIVydo6CX5ZpDbl6H2BYsfZZpB
7tHhSEIQVQjd3KD6ZrmGVhlek+OTl7e2vO4xrkHtE60TMxq+R3L3OGnifUDl5qofwl+lGd0rmGQi
SALe3ElRhEBbYaeX44AhtSmtpz9GIpn9MmhD7tlMJEz5Kb4m9dpvJEt9quDRHCQNIcBQGYytMWJu
nI5oLKHtZblCLa7MNvveKaWMfQ6C+dGkFQc7xKq4DCv/srejH6IfrxK5vsPExN/GDl6FeX1ox/I3
Bzi+OJFyVxtjBIYnzy6MDGVzVaNPqlmAbAuGVTmm4pciieYBGr51g2swd8RODTc5fuTI+UHKVcrc
WilW9tgjaMaSRIvb6CU4unVHoEPEcSt69Uc42BIfn08aq4wOjRrjQTPFF5bS3wRV8iMWUbSWSwef
3VFcTSFWeUk/FqtIrtkekzKgYVyJM++Iz0/Tj1frRfpp0OK4Cbk+HPAT8lQioYyofJXcSuaZFNGJ
pxdlJwxDqHM4GnCjj08IEkRDpqJ0cCg05qqbY7xm58qqtaVzb6M/CZOPmRtdARRv6rKhgVZb5tRg
s8XIkdAWa/CW5PCjDvIRblBUb0TftFsuvtKF3+Q/s5Hbhjq9DhGGY0VjT6vOGH5TsG49S5XrnYAC
huJbfqlU3b3EPdlEU8YYy3xtG9gaWJmJ3q5qbkRsrWIneS3w7Eb0UrzaJasnCg6DPPxudWMfp+V3
3zDuzEC94FmKd63sO9suieQZUtlv8T/6kXS072OwiFIyB4bUN7+6+QjJOUvQj2rcaT5eEHzmpGnm
QycIiVnhfBCBMlhXnEzTfES1nFUDZ1YkUx5JOcWM+Tir5oNN44TT56MOs2ZuyvPxZ87nIOdhzLko
OB8x23nS5wNTzEdn/ucQnY9TMR+sLSdsMh+1jBXyVRy+aD8RbuYDuZuP5q8fuSfSih8ncrFo2t7P
kgkl1IP8Dcema6SxMIDdoxWUjx0Q2m8i+mWNL183emqhHi2eZWqxJ+erVq0RHdJ+2lTa6DpWt3U4
X79u5sQDXplLFvKMjFYNc5GVS8XY9xBVSBJEw9U04IMyoZxrYws1ZFc5Isj/pDmN9zmXVPx3Ftmb
SqlbtA4YyUxNrrKC2xtmKZ3qJsO1hJPt142dHEL06C3oAOpcpfu41yetCWodl7JDp1xaxu8Uj/Eq
OqciP2c4Pm3yo0YWSYE4AqQ3mXUE7U72mtZ+6cs30/7WBc99oTySqv26TyeSOtD1/+rTIlD6ql2j
VduB7k5wJVTwX3POjNrJNMdxE4uczl89mqlUnfbYB8+meOrKt6C/VLmjaEDG0WBGoxcxoAg7M5OL
OFY3X3f0D079q4FdbDrcdrCczJi9cDB2YeZ7tlO8pyq4q5qLpZNgXFnMt8+87u/NNNzbJrmXJJG3
vootdY0LGNREtGZ8Ya2c+VaLIjqsr/mm6zfm91Eyb7K6WTuTkx8KvIPLtmu5IJRPVe04bgNw3e3h
5brBJN1aPQ4YY8XDHwbBHSrh+FvMqXjzsq2QjNJ4xjU5P6zijTBJxjXyF8naN+y9r5sPQ+RoXm2k
Al9k582u8LpLMpR5gjq+Msdz4KNTix7KBjRFRFko5y+GLa7jQKO0Fh6yysGdKXoTzXQJbfhM7fsE
dpmL/F/tGIudbMVjBvucdhxfyjeqEWKZzmXcLu1sHQTjvehLk0d5RDKCtAgaS5e1368b239VNExY
paq9igp09MJWf0NP6BEtvW+9lr9XdlQgPZJe8c7KcTfhTi6HyU2LEpjXW1zDtcC/iksEWi1RwsvS
4m+1rGFT2iCHP9jBPqHPXy/FU5eT464uKjA2buUWfNjwYEjfm7kZ27Z2Qioes79dYpjHFJVk2ClQ
N/7U6I9Kfa3TFWSzwugQyVfIHibaUxyfKfKcXB7qLD6BTC/XoEVMjMzcBoytce+zpZdK2fVGieTe
ubrYqaAISeB/W1kExVLNUi209OiQhPlmMknnwf96CXUu+dWj1d99PT+nYuJxa4uAVaDwZleTShJ6
0teh9R50xZlRO9mCpuILwG0Ont7896OJkdTIBwo6cQFIiiuyRCzQYPt1J/4cfct4N+u7zkQoDQ+W
xSqLjRSjIeCShw7LHM/oOmPf98a74febvAm5dddN41oVJs0JNWa1FXfd1PnIy+GEKESD8taA2UVo
GDe5kd4OZcQDM1BWY1Fdp62GnYKc7QNd2YcWtmEBScnVIIxNPzrXIW85aeiVjd+TitSzM9PzB6X+
sWcfasuOuhi93gIpgysABYKVxFtlvI3lb833eouInnYZkAt3RbHSAC1iUAB3P7uz5HPet5/X/cff
sLjnCIPMfUde6YBrslZtpwRBqDNH8+er1McmFotErlk+sUUTCh4U/bXvprhfiJV65mD8Y4Hz1XAu
tnDDEYQFOYXI7F33n0WNjmv2apMSJL06rhP7Jq2vrWwX1OuxXnf15ut1+nkr0Msj5uhia081sqM1
znSHF+lJe/z62ydH8Ojbi42s543mGwgMHOz8Ptd39UPfXlPf+bqRkyvhr0aWBxebLCmHikbUZFXv
e9Ldu/+ugcVGbu0q1H1MuQ8mdhKQzVeZc2YO5jH+tAKOurBYzJIVZ2Y684X7htoOel7pIU4fzqAN
z0z0kpaZGY1llfNkwOoedmfVz09+3uG4oxDKbWUZ7io1SZPBD/m89Z37cv5Pfv3R5xcxJxJJa8UR
n1d/ZzWXg/XXc3ziScg2OPr+YgryqcxGaUzig5w/qaPniDvTwE3mnRd42j5BdVpNODN+3ejnU3Vu
8y+i7KLNFDZVLgCBHpTH0brOkWvGYkN6VKKHr9s5PTV/tbMIMKOct1QQaAf55pV/ZmJObr+jTizi
h9IrMO6plR5wRTTvuCj+d799DjFHJ3VemSU1RX67+NG56pmBORmfjn77Ij5RrYWN2PLx3F/VuIOu
03UgdmdFu04N0TFreNGMI6xCKBlD5LTX96axPesUdip+HHM4F3d3jKNa6g52hEG2ucnbC1m8DLmF
EtHj35+M43YWCzbqccuOcnAOs9clWuZacCYQnlqpxw0sVqoE5VXYzUzpRlXgm5as/7vfv1irvaWP
4dDx+f3tP5HOwI3CwaZAs5GaWAxNnFoUYEgLH8bB84tNdw4KNz/zlkcE4cnR4FFA8Fk+JVDURo3R
n2Avja4MIj1Vf3UbVXm2xtZFl/rrcTq1L44bWyxYRO5zE9YGhFxtFVRU2Pai9BBOVsszE3Iy7B5T
fxczUiYSr/sQ0qVdXGem7GbZwTjE12rReUiyv9vtmcvCqQV23N4inDS+MMfKggfsVHv7SRH/IBge
f37xWKdq0qhjBJM5evK798TEA0w/Mzcn0jkfOaRzF48iIuBLdRjzmMlRvY02xOsJrRa13vU6Qjle
fwbbfyq0HNEOlyjoRu0kUCdwG3GGxSHPHYPvLZbQw9PXK+7kvByxGxcRLJDLrKEenByK8jbSL7L2
XEHi5JI+amBxfxCVLI9DTgOW9TM2N2ff4SeocUzLUQOLAFBTWsvMiIFq6x/jU3nfX8tX1UP9raTO
+E3oZ95gZ6bFWQTKkCJ8Uyowzdu1Wf7qqIWn7b7oozPv5Pkzn6LOEWdyEQjUgrdJF8IEtZFFEUA0
IrKE5pkV/XnuoddpBtl8HZQ9Jd+PC5oKpWSYLaEznrUdroNzSNL5R37sxEzf+19e5NLRxUAbH2DR
TFp8UaNdKt35L0N32WxV8+brRfx5tGiImgj07llGWVksASPybXLhJMOBNqwxdAwiHnB/O4B9bGOx
+3VKkrpl0UYs8E2x8Hk7p8ZwqhfHTMTFnMtqVubRSAv7LEjW8XAnmnMx7NSMqwqOo0hBU/BaQvhV
w0eANqWJp+rZuv37k6DJcL0RmsKzavnt1hwdo5ixmEpYboIgQEhhdKs4W3/dzOd4olNk+auZxcFl
torfYIOFQodi7bk5RmsEqAfD02zb+7qlU4N13NLiyEKPCyeaiQ4V+Ix6GIv8g8//hV21FpFXVscu
kno+71dvoXFNTeXr759aTkfYWGuxu3U9LjowoHxfXIIr/GaK7obs65lWPl+PwK1SG3HQ2EAtcRlD
koD8tRoQQ3LsiUR0a1ZA1tBtRNDk6+6cmo3jhtSPwQrf9dDGEiM6qOlK+aHFu68/f2q0jj+/CCGW
1baqmsz98INLbnmttdYBJX7dyLk+zH8/ukFkndC6fB4sieBR9Vf4HPyTFo6gyovd4fDgwYeGKmRR
I1RQ/x7/yao9xkIvNoUtJNmwClaVuCmAtqpndveJETpGFSw3RZGofTMa/H6UNwErnjm8T0zyh68v
tgSSsW2kzudELUExwla0w3bq3BScauSo3jw7ABxPMm4SDuRrGgFN2xrXYtx3w98/i1Ck0nTc0mZu
7rL2EPdapGG5yigNt4Yxubl65vJ5ahqOG1gso1HX8K6bp2F6GMQa9NXX++DzJYp31NHvXywiKTSq
gdOCfSCttOTq/l46J9d9sgNH1fhFtIimBgFXhUkYMwtU4WWfPH7dhdMN/G/9fSnpVgVpnPfW3IXY
ez7LYDk1QDb5G3QTqbcr9rzGjgJF2Q/CiQHMHZL3+FkYrrQHuvZ1B068AKmRHZWWFpOQdho9kCkt
mR6OaSBx8WLbXEvSU3VWB/J0W0dln0V0BbvXTgkqNIf0Z+y8yfFPCeOy2Si4cGMrxljwTOfm3764
eaKu8FcJaDH9vh50XHn78FD5myp5nK5k+ITF3vp3ee7/ZzuU/7E2mJP5/29HhMfwPQ//z654/+yJ
MP+P//FEMP8Fideh2EeksljC//Ew1f/FPx3dlCmqk6MkQP7bCEWV/2USOhELUiHOUvTktvFvRwTF
+RcFPaBmYFC4lOGG8ncsET7GaPCnBs6jGi4tBhRdDXeEj/ur0/1oUMvO2QsVJJVxgzAxXlPnVuHH
Xfy5lUVSIi9aLIfM3tn37XvVvcjZe+MILkk/j8b+9n+W9bHf6ILY+KmdJcIJoFZk1jXtRDUK5z0+
9cijs4lF2Gpu00frwBkgeA088Pyug5qQvlaO+OGrWKr1wnL1nnuIVKjDmUfs6f7jXoML+Kwrvohi
amjK6lAXzj5QX40YlAnyr0GFYnJzjnF5rqX570fxEh0tvW0N5rMa1Be7V+/B0iJOWFcgnEVY/K3o
8u/xNi1d1fEPRRdqccKrZYzVJcDOvZOA7G3SX0Nav8hdfpsU/bvo0zOk3wVb69P8Lm8UKX5nFRgh
Z9+mrvTcXtsQVh7UB8TJylfpoIGN/lvZtM8dXCxcbH+0egiZOORyU83xDBsX3/jMCXpyzv4axSX/
0OmG2o7h7+3laZ9VOmXraeVooKBw1vp6g5zc7UyXA16V/MCSMCs6lodk5c4eV8cczDPiC/AXziyK
jxeCP2Om8XENcydWhW4uQko09J3ep0zSaOq/Qkd4RSH9+LofJ5rQEWokbs7OzzyyP65yJ/AnrIuF
s5fk1Ova17Y/s9JODNSHBhbHphIkVdoFNAD2XY9/Df6FnRlnxslehCssbywEJ018qFDY53qzvDoB
Mwv0upLtvSnUFh9H2Ae1NVXrsjEPo15tazFuatFeOlN9r+H1uDJ1afRElpBnNdN9kcsqRk3dpRXG
Hoy7bySW3a61dqk5rfHdW/Wq9qLogb/SgypwfaziEhdci3jSqv7GHjKQwiTuBX68XjlKw1pQQnX7
SQtW1pQ/2xo0NLkzp+skbwSEgSzFEViY8A4N0b+nuNqtQWtlri9ajGXpKYA3uejdQDL75yQJzAcG
DR8Djr6d2sExiJJmbw7x5Pk9qH8fHUI3Di37Ho/6yXAtsCqeVEDWSUtYRKHevuoxZp1wg8Z1Xg/N
z9BnrLSiT1/8qom3KUqGXh6kq7EJdRdskLwWelHiyGz4b0KR4ZHJYFbKLgRcPGE7TW1nW/V6cYmP
goOvY8GRh6WjakmGF/qN7/ZZ3120yRBd6zWyh6luNSt5UlM3qpT54BDgEkOjbdwkUrt9rEU3TaGt
sr4yd12cTmsjBAwqK+ND2dUCStTQ7tqu7teG8Hdlo20xH7Jort3GWQZHozB+mWNcek5T/R7Qz9gJ
JR8vG/TM8CSFcILTMTSjPNE3BUm3a3T2QXhTanP5zk6Gn/ijtLV9KTml1yfFM5vytdPsTYFUJRiE
CBKfLxXfpUz5qUrVhPWHAloxyZ66UCvcFPZZaiVbzVcSGMN+sUbAI7kUw8xMMqzryqwgy8DmxEWv
ajYi7dO1SDUYIMF4kVkmtgV+oHtiNG6q+eqqp7jI6DlejU0K9iZxUA/VwWytU0PoLtyLYTaxzC/8
XqTf7WnmGqZlAQsjcr6ZFgblZVPnXmI0Yt/bVXCdSnxdIvxS9ike7JGLSaD1r8MQbTRJFW7PieQC
rOITqQrpJvW3SSQ96SLbNXlof7el/rsSYaoAcQZ6YQIiPE7CN+E0ww69yTsjKFpwavE3aaoxjG0r
/6Et9NtClZAmjqDSKm3fQoWQv8lRMeyVRvudDVO5GSR4oXIqyV44QvDKI0XFpdpPN0YdfodfiSmp
LePN2yHhnfs1wr2tZlzU4CbhpxbbsME8reuq7TBAaoxbLhxxXTeuKTmSq0+OuVGCFtqWXDarMlC+
tdixrjoFo9LIskcP6VOmro4cNH+bXaGaqYsGgrZNchx1hC1dxkPyzWlwRMwn882aOYNamo5b+EqP
QdsFXlb7b2NhrEM4qWuHx6Enm/H3oa0lN2ud4IbJyvaWHiLtXNXZvUhMfZ3mhIli1P1DV0+1Kydp
tE1gtGOZLBs7AwKmV2owcfDQBTtSethbXLYTMQDZHVMfMy9SIiSNLeVpzMNdEEm/6RT4jwx35Vb/
rYSTum61/rEr5dugcAKvk8NsxYP12S+FuTLjgi2UOsEtdF99ncyOoY29SRkGLxpmkITR9ytz7Peo
31Ig8C0vj8IHUypMzxpAJEZd77jQQZ6qHsVxW67XqjPiphcG5U7rpS0Wzekq1axwPZWwGHEFcNSe
nSGnxvWkZN2hjQ0QpIGO57cdQbOyjZdB0n7Abnw0Je2+M/veI7gSPFv1JdWmn+2gOyuMOG03aAtw
VJ3A4C+2NVeV8nRDXjB3s9pgRcY+cs+WdhnGhbmP1c6/UGeLzXYYIKAV2uSCcosuUb2FuxJX4W2v
WVemGd5BOD2kZlxt2kDpGS+fOMk5g1l0mnoTWsma3dpw5m1IuKWl4l2Raocx0HclmtqE341fDXC/
G61eaVqQrNKo9GIUgKIQqt3U64fBtzqw2s23vmrGdZbrOl0xDpMMjq5SosumK8tVb5mXWRo+2RDH
1/LEy1lCwpZbUhXs8DtFNLqlV5EaeJj9DiulMp57I7zGDRsvIzP/7mDD4CWqgpW248M0noJsPTXp
tI+MFpRnHY6uja/pumyd2z5yXoy6eoylrlnloUZiT6493xnxjsVX5lCnCRS1pn6mGFlgR6v7nIXy
tApsP3ejocoepkmead0d8txjHV5Hetp5RoNspINuOYdO+2jITQqHS5fWjSo/BHF319jarqhj1YX1
+0Md1Y0kqRlY9fJmSqdnLZrYqqpzX/gO4Dyt41TpWROlAuME0/q+KKpV3DnvdhLtoix7nzrEgqzc
ctaF0rxUVrfxAyPxipIQZFbFtrSM66QM1qJI7mw9+CUBKwP2k25TBy4wTqZo6kheDrfJ86fmGvX1
0puS3vlmSXXH2WDWOyWOqck0YsTmJPjtpO0Az1Vg32wZV1UcvPATbnSjTVaFXzL5QtiuOsIGi5Lk
3ZmSN00eXH/IDmStuE3UZeoaRneLjPmhQEWzLoaXukoGT4NYm3D4GZG0FRxxXXQRoXIe+nOggj6m
cY8Vb1JvA3l3sK+SxA7uhOEZ8pMW4+qUSs6FqaFM4ju3cjqWwODXfYLeZCMfYg3n5SH8qcmbNh/v
7ExZ9TYh3JY9JehXeNtdhYZ/ELZ9LTX+NtcDlxfKbmDYW2jZdtVfmgiSFE+TH/Zu3hioRzRpsTMj
7WBNyS6o8BBOlVe7BfqvVtqtNPrfHHvV+1QxJdGhSFD+bpDGNvyw26ZEmAalpMBS1kOuepnFzSyP
kbiGWpXb5XoUMuZ+A8kpv5fvVBze/Ty/mIZwB1w6XCNo3GLnjk0N5Mh6r4w3ZV3Mfp2rIH6X7HEn
/BfJv/a1/AIxfO4KxibLfS42/YM2tr9EyZIpWOLcYbAmQuZ/FeNI3E3ieVB2tnaP5dehKPQJVYBB
WslZiQm7Ym38wbrCR+43STXgqdNBSaefEWww4oh83+FA2hQjbGlFCQ7daJjbMHR+xnbae2oR7kdd
3cYhBgbYiHgOTtFvWaW8xo5S4ZJMHTbrsInAFGvq5Wk32TiFhVO1R1DsLi2SR2mCw9W2/b2QO9jW
sKckWZUui5Y7WGbqu7wPNFiMo+o1uv+g9ajTKkV8X0epgxl4p8EDHq97yGi7MWTAHI3IzstvF6ic
a2ah1Fv+eciQ4XOjHB3/phaVN/oNB6gIg20fV0+lHfteI4l3XEanTRFouEF30+hJ1fijN5q3FJ6H
p4oCQqj6vZ40POZFD2t+/txAaOagLX5WCOVBMw5yd+gGxwuHaC8Xpo8XKwalfowaQxn65UYmd7Au
lfY+SXvTU5RoM7R66xkK9mRaNtzEuoSBW4WKJ0zX3lgPgZWvdSgInNHZFSlmeLi9etHoTnWhDPod
nmtXcDoMGPkCQ6NCgzuvmZOHO/33tIGbakjytuU+ipXHrVNq9TqY7MfStvDncm4zU/wIQgVzHt2q
3TyQZdyl1dpT1fKqmqxXvdU5W4NRrCY9uMq6QV1pkqV5TcAVorWCt4EN45b20DH6qOdZ6XVfBTAC
g1dZVW8iQ95UyJOw2K2frV48W3X0PFlN5RalcSP1E1IBAAj1/qD6l5X6INk31gB8WcfQ1onTrTUE
1/lIUcz0lZtJKrAwchyxCe0KY2lHetCU7pqzB39X2y7wZw8jz06Gn2qC+HwMw+ERh0t8vFXR4UEb
5/dSI7hk13ay69N4j6/ho5QL4npv38iiu4AbLmFqB18EmE+zywxo32kWmFur/r/sndly3MjZtG/F
N4AJAIX18G8AvXFfRFI8QYiihH3fcfXfU7LHQ7VoMcb/qR0xYYdHQjWqUFtmvplkZuiqdjMnFQv1
EHZ7xZ5fU6N6no32sz4R+Dtn9mEsK2VjyfVZNdNY89IuCBMt9vUioyK+UOFO+qY6pAsuEAhoL3mk
S1B7/2Asy7E0ezNIQ5w8rJ58qSqz8DlReFTjsP04F1kyFZ45qJ0fx2UWTCklLWk+HZRueWwS3qmu
Fj9eiJVXqoiT05IwIFH04GBXdGy1Yt+MeC4shnFGoW7tZYNzdMx62znsqOUA5qPnTnMYa2eXlib2
EtgO+FGNeX5YfzabdbiZxmIOGif/SLCsv3NDB2UAavgXMnQCAqThsJYWIciHGE+V1Keuk+KpLKg+
hWDdXn1L1v0m9yijOtQXcdDeJNtk6wTigJ3Bv8DH/0HTBp3+n6Hpz9/Kf2zeC+uVf+1PYNr8g3g4
AoEYJV0YMnvtT2ha/OHI2D8Zue3AaoOw/AlN63/ohMohMAQ/IrhDPu6vsF6hm9ANmk0Ap2WT5fc3
0nrBn38iL0CSZPWDLnQcopnZrnsCZtZT6OBXwskjWznzRxm74rzkhofZgLGpFeepwokIYwd92Yx1
x9Y9xuejYBlPzOrCru1mS8xpyrrZ2Z6d49FThWN8hoGQsjMb7rQKkR/eMkYmCEJ2SyFiti+qmPo/
JGBQiz5g8RfW2mijLTbIRwVJM2rT/dpomwEgcgO2v7A1jA6eUdTlLx0rqKlXMIWWwzG0OetSrQFu
zi9ZV/FFK7H6mLJ847YYnLhpeZNSb3bg3lB4ozV/t5v6qVJm8A9SaiAFRsoSi+9DlLvbdJjOdKok
jmERfsNu986MtJdK1LdlpQ8BfinVRjRlQ3R5Z28nTDi2U2znO0Bgh42K24lh6beTZZSeVXCpqwqO
m87Ccm99CdvKS/XkPHKrYBi4d2Xyrlbk50ItdoVY2RSdhvyP6lmJlSvHMb9FDViYY2TPldpShljU
n5peN0nj6K8tGYUTV00CKuE8WuN6Z03688RdVi/7YFDbmXRyauNVLFY8K7UvOrPSMcxwHjOD+s/S
ihq/aVt+neAyYk1YTUT604zJi9J050MHNhAme07p15rbvq51hUDBYcuOCyymnJC8TrItDmIxz4tw
zjZqDzWfrCYRngXe7HWkkUJkd8VOuBh7df1CTIq7brK88hpXuzUXwtndzD4q7jBuxSjKXT8nITk7
RA9Vk+qziIabpTZv1NqagtyK8drSV32jZJyrxkYD2QKxekjWXA0WBfeGAecfyy4KH6ONTxRZrBtc
Fh5snCL0rK190xwerNS5mAfc1pGwf3XK+nwqyS+i+H/YGgMInFNJqgQIjjHMxn1RgPZwxS02atj3
u1gpbtK0MYK+iil4ytX7AsBx4/ajFohI3UWmcyXq7DzSxbrrpircxEroYlY1PrQYhgV9BJpVilU5
2hPJEc1Y3mronzdatN4ubfqcWPGVisrLH3vqceeaYv2xL+JAGZiRrQwLGarotbaXT3ESmVt9Tc1N
1WW37axs7WqZPOblF9iY/bJQ8Kty48LpDOusSKGy1p6/Okb9XXH752GO+CwHBbcyl2JWdiyE5Dfk
ciybIcmx2XDqm2Lq0m1t2Qo9v9xSwfY0hbgH40620zBOcsbki1k6x7xJ7xRhDtSe9Svnbp1biSb6
Myt5MbpJbKcV05iwxoigUDpzs4jl+2g0JZjB/MQS48eD/inrgGtipd1pGGNRYn4XTcqlkcwPfN/X
RRXpO62x1C231GnjJg3mErp1X64MUjWNE/jOdKauZGPrkxP6Va1yeKeq12n0+2jNDiEWRUUUnhmO
Xu+q0rpruvYhXsUnlrh5G7OMESmAT1PSipdaJVYTpVr6sJjhdesu7qYRVeb3mH2J0Bk2ymx9B+qH
AsEQLGuWS1c6hGGDgDlpU1NjjH0YkTiAKtJRbJXeYpp0GSsjXJrqEiBW6arrNasPpbu+KoO1r/An
q/Apy6RhWSmty1RpYqZLO7MxW27rpWzBLNOzJcPyLIf2xAMo26ZxwmVXGqNNMeZKFXYt0jqiZwB1
AtBtZ2NLS7W4FZm/Yo7FnWwChOkRWtt4sLVhd4O1YLntpT1bJo3aSmnZluPdFkoTt1nauQ0/nN0a
6fEmzd4SafvWSwO4scs9HUc4ZVIeR2kR18jkIjzjNG3ZU9FIWbCNnZyrtCHhS/V1X7ebtbGeulQl
t6x4dhUK6weM6JzYHjdhx6fYrUUekBP5UErfupYDViOd7AB67Y3A3C41dd2vpd8dBhp9oEoPPBz7
w00ibfGWKg1MYyGMU7WJ105GXL+kj54jHfXAT4+h9Ngr9WUfSte9Hvu9Hhs+7tTfF+nLt8TTZYZR
3yod++i0+0h6+BV2uF8KYW9c7P1c6fNnmaATygRgGSfxzSzdACNsAc3JaPyIsIcjZ9Bkl/ygHY3Y
xyDE8mGZkoBs9el8dVqQABWoxhnYRhWggs0qHVkIAwITkS4tqvRrYR5caNLBhXN4EsSYujiYu8SY
vAw6bi/rD98XjZxid2EtaTCFKaU7jCZ9YizpGLNK7xjDiUEHsZNRpa9MKh1mCuk1Y6ZTvNWl/0wT
rfZVbbvdXRNXLZCplh3A6G/s2tj10rnGkh42mL8dE+lq00t/myleb/ROSbzQKL9b0gOnXK506YnT
rc1Ng0mOUUZfW+maQypiSUobTjq59NSZpLtOk9Qv/dBcrBNwXSEdeCzpxcP8FVvR9l8XbaWwXGBz
4rru81qIGlcSqj2rJoo9PbU46Rf6Zasjh41DwKGlHO7EODwmYfOoDJi9KXM+s6qyNnokKj/ghLgb
e+ZLs4xEuxXPwJ6Gvw4OCibdQEff+QaeAYoxgA+u89faFPWuVNTGq0pF2a2L+NS3y+ci7h9z/Ney
fFQY6BgTH2wZM6fFaZDzire6nXu0TNzKzIxvj4dwAq+BwnPsf/G8q5wLh41ZGjbKajYtZ0mCli5W
jDrqqtwr0vGvVcFT9NBkxwgLPGR7Pg/0pY2vRda52rvtRqzzvpOocGEmTy1qJt+ZLEIk4k7bzliB
4Jusmb6yzI+jOy1BM5tfYxGG4NDdGRl81r1V6vtax6m/Kbv8bJz06TDYinrriLTBxENDtplNw0ad
OA85oa76qdHsFzUsKC4K00DE85Wxtqs/LfnDWM7pztWUONDSpfaSTJ839gxzgGYT766IA9yk6t9c
IyfvKV8blu0MQ2eM4QLuKuA0Vh7E6gqO2+mOD/Mb6DrGdOpsOnvbiWuOabERzIt5nNqwOgM3aOSt
kRu2leFbp9hOEOfquZI6D3obir2TaZdxPt/EI+Z+cxa+MGF7f1QzzhSL+60YmxfHWsHWQWWB2cL7
tRovMGSPjnnXKV5WR/k+FCavE48U7of8Mxx1Fe+/MGnPNbT+gQ2X4Tl6cgf18pn+Tr3Gqi/XaACo
qmL1fNLY4O1UgCnWmUqGUtF6Sm6c6YMZtOOMaWZfwFO01lXfL9851eFj7/YP3Zroh4bQcX/ojfag
VagDzTSEIjMiX1WnbWaO8S5PTeGNszPAV7dDkLYkEiuZxRlyraMtkqpmk1uGC8+oxFujFN+Jib6x
q5euJOF7AuLuqjz16lDcpI0TbdbWjAmnb8PjMkFhqobg0DNbKayQdRs3kNV1dRii+OBGt2rqdlhg
2DEnPucT1cNejz1VQOhnHyR4enGJ32pa5mxqsRDGWQKSsXJckAN9n6fiwUmWVX5T2iae8hvuy+hD
cAXKEnE1awPft76I4Mf163/3UFl9/5/vod6Xf1x8GX7VR8m/9dc1FCJfx/WCTDruj2+uocYfbKLC
4COxkHeq3BD/dQ11/zAtTbfRR5HtA33/ryuo84ehgTm4CPttbqiaqv+dK6jOH3+rn0PRovP/CdTg
1Lzhvqif4hhFQ35o5tZ7mCgF40xQJ420TZV1z9XBHKOxxfRUCT2B+a9XjxHoXKi/Cr1XuiDL4m3M
9RaSs1XP4iHHN9TKoz2nEfx0HWuLQnna2oMT4ROq6zuli0zPHsPlch2tFvJkwgU1bZs9toZiu4Ae
lV35JYyh2eaE1WWI2xdLLws/FHbZcbwau5epbMLdFJbGfVMI4aetUQZhlgSwEKlvak75hZmRGtjA
xfesppy3S8xmDQ0H9bC5stPe3qt2XX7ioj17qj4M+95Yv0+ZicPYWqbYPrKNOeHg7HJOOnNhaJDT
hcNkb5/dWJhBhk2gl/Q5rGjRaH7bt6lnNuJ7HkGUqjObQZOMXyK0LTkHjZ3dMsntoVCOhtmeDR0b
cqeNHdmS4b2WZ9pFli/VoV3DyBf2agCHRs/5HKub1VVq4qKgu9w03bdtpmyNCn9epw7jC+q4uq1j
rpqfr91hsePbMBIvdgv2NEb9hZsr7bW2NueUk2FjexE34xY7hyvWtGfMSyZOsODFRTayJMHS2ovZ
eWOBV08ytt1DowuwWXNqtn3T5QcgtvqaOM7wC5T0yPNDXP704rKxjWCdYoNVKnyG5YH8y5zQpb5X
VJe2kR7zfnzknOs3ZsvKM2S69dkJq/ZOLZBsFTAL/d0Ip3+GFPxR0agU7NrI2RdKheNgjEFc7Nkd
5oI7/IJtWHBzImKDUDYvTlmkN7qVGmgTzOK+tJWzzqjVTW9WWyWbduswZlwzu23KYXiMxuSqnjk2
xoaheMuCM3LQNstxdGBdVTNE+TG42rXB3vSapiLsglUrE7/nC+2aqD5UejdvdC3Ld6vqIsNOiwnQ
Y3HyZ60yFivQIr09xKELaAJutE2WnqsV0E68SaoheupFbm0Fn9ZdauhRUBLxJxFYeDUj5phW5eMu
G3AQWzWxLRwsj/IKMLY0W+3SxNkHx2OOiMNcFI8RQaf5oF+Mw2Q9d0qRHoDbh2ajN6Q1TKrGnBXr
B0KhU+0W6wNOA4TRkRlr68S7/6xEKvGoGyr8Pve1m3jKWp9p0N25AymlHN6smu+JG6WY7i8p74+l
yKaDqFgiDEZQ4vtzU3HauV2jFc0+UnK/7tr7abqJ6ogEDH0zJeZVpJ3lhurHNf7QGpPetpisiq/P
+GpzPS40cJ5hgVb/0Lngl0VSsEaawkXfCJrICv7zL+tFnKVJWNX7zqqKvW3jNSqyKeJsX9y1QwKg
ZvaYfhZYLVlGtMc667BOhdjzoX+U9vbLeMifYlH95kBGEKFyoq9uAQIqtWjrvdOrs5+XqCX0Lvze
NNq5mYvd/3Z0RHsECPAZ/+cdnfrHb//4f+WvW7r8a39t6WQQCzJsnJ8lz+DKxM+7zo9BkuLlPzd0
dM0gvLAjgjVKxdz233u65vwhbz6aqummLUsb/9aerklx4Nt5hNcsdXMA1QZlBYDfJ+VmaTrjhNgh
t2gyPPd746tdbuuye8R07nV2i/MVxQhJndzPy3utxLj6TV+9M49B1n/6AQDmIN1MZFnSQPWHKU7O
FOwBiOiyzDhYo/o0G2wrwllnGZsc2IP2tZmxUG512JFw3ZPz/TnPyHwc2XaH1bK3DsaUG3a2Ec2S
y5V6Xu6ElT/PotnNEUSzu5DqEmKpsy8x/AKdRQ2zjLdWLT7PqbkemyLB0Rv54GxiqT2lvem1Tv51
NeflAaWQ4dc9Fs2FsVAbFI9H1FupL2IxB+M8LAEilPXKHJL+U2bkFzPEgrfUU3ved0tPUHcy1HeZ
Kx6Znddj7YqNmQCxRbiY9HZobzLhXAthXGZJ8QJAXXuTu2wrNE+NUjsbBCy7vDdfUjEooMCShZwQ
BdXxsSfTaZO12DQj92s2EKrIHwjSaNsiYVcrOA2UzRmEV7NNcBZ9GKymukM/P7/0ekGyOmRkVPZb
FlD1vs5Me2cMXf46xLFzI6/5O24Na9DqXLFXbjObqLFe9LV5LHLjURvVz4gwDulaNKiyIi9J4K/a
EOWXOV/o4frI5qj7XdI9ucWMik24ARnJRwNsHQXGQEipUlZ7bQF4mNU26CJ8lcpqci5ivY3vzDmJ
tnANhV9EeEDbZfJ91sfrToIFA5V4EGczPtCYwl+qGNHHZXTL+mZ7QtUe4BQvXbU57+sIm+eCKHhJ
5BlDNAeaXQ43OSxfDNuXStqP4BDcB8FVhaQE23kosHLm97rwhQ5olBmntTfDJC4hLjNjk+8RWnfH
QrifYkk7stPEeyS58LVwks2kIqPol8eu7Sds3MPzRBKYlqQyc0lqLnMIXuRcWpLujFbxbEsCNJNU
aLqWZiBgRxHHPPAerjev3WUmCVRTUqkAoT14PfQq2D+HL4DVItB+kK+25GEnycjmUgkqOVp0sp9F
WTxHzvxaGZgQ5EbWbYZ1vSnTevILyfWGTo4wrRr7fT3FEZ87nLCjgQhDEkfUCXoatHFkxIfBkq81
wChT1HSLczjquh90cyaZ5yGh+Nyx19dQstLktVU+wj+YaijrAeq61ysMaztRb1XJay+xeoVPt5Qw
RZe1k6JLKC/FCmCVhRq6yY0KSd6s7j0mkr7RiatyQUAj4uixh1ank15HUks416lbDeLdgoCvQuRi
cXbZFA5vIRl6ydUjXfwciy7h8guPTwqE7qtQ+6vk+CNWNIRo9udw6C5sqQNoWRwRhiH7rlRT9Urk
AmWnXLfIB2JkBGbldkGOsKDIAcIQGhRSccAUfwmlBsGpLWgVqUtwpUKhQqqgI1kYpHYhRsQAKs7Z
FVmDodIzi1Q6OFLz0En1Q/ZDCGEgichx8PWXHyoJM2VeqlSBIqBAclkHy5K1yKK42ddSZ6FJxUWC
9GKRGowMfG/TSV1GXbavS4FSo5SajS5SucFLHUepv+hLh65DKjyqZnqOuuWrExnEaaV24umuvW7n
ufvCiITe1PcPQmpGknBWgAr6Fpd3HldKbQnVBkdbqk2wH8CbVCpQqKWZDs3aHGapTuGgeWlLvUov
lStzEd8aUstiLs5dK9UtK1daOC1jP40s8tB3ynki1TB53n8e5uU2UtHJoEK+r8LiJkFAo0oljSo1
NYo5c1xTS/DaW6S0Lcd58ZnvTnnO46TzsC4/TxJjJ9DqZFK0k6DesfPF2pkagp5BSnvMNJ12aVI2
ng2U9tmIktIvs9niDlogtlDWNpGsaOl1iZTB9I3imcX6WCkiCHXzfg2Rv3NVaQPTASsnTh6cSczn
rUFMjju1AWYW7aZWbfLA1czhKRI6LieuRguSvbgSUBn4OO8VDXRwygyb6ky84WdVOMGk59KJfDg3
tUgDwBXHwq0hZdODZdTTto7EvV3k+VWporOqlDjammVuerOoZxIo8O3Upsa9ygYc4VMMuP2utWdQ
NNjUNdOv8sYlMkHdxtVwFSnNYVmcW7vpb+KiC4oF+frgPuEKzYQ1v5nttEMaNTFx5z0OsXHATQ4z
/lK9C2dH2+SLDYO88nWN0wS9wx13Y6uN/E7QGxrqdI+0cfEWrj5btVSKnRs3hK/09R2nHeOMJ3b+
QDqLJ+YZ9VbUrEc1Mg7ZGPm9HYmgTtKLLByel274ykd4Jtiw8qpduO1qImAWjDi7J09GOEd7Siv0
7Zw36D8SfFbwvSaYwTrMtnreSwhfGOWxXleYUBPzRm21gSm4zwUOaMTG1NrR17QRUWYLhM6fdzwq
2a+d2Vr9vtbExVSlqNu/1EW6ny1jBxrCQrI6N3NkBEobJxdpHi4+oSufpqFYjqsRk69Y5YyfKL+t
vXi0rBHRZa5md1TqKge3xvp9wJlAmLBWQ1V9Qs5dBW3l3iymHntNZ4/BYnKE6K1qPc8a8ZpwhTw6
ghVnacRZTHjcV3Nd7xI93hV1nO4yqF1iKzRjw9y7FjE+oMZ6D9AxwL5rBipidummGb+GZync1Kxj
y483JbyriaZ3Hrdab1zHbTvc0efTnkAbZTvp2nmFsB08AuXfKnQgZLV+tFJXRXfVDHdqNEHwUXGB
ztZk++izFuoT6o3fnu3MojtWNhJXURk7ay3F+VgYL4WhIv7q6/Muj1+qqC9vVa26NwfzSoy2zEua
OWvoyXi+VuvjnFgGiPlse52mQ9+zWJB00Z3PLTfptiYrqYgz1rH2xTAWFHYA40ncfbE02ydpBjjJ
/hb1uRM4nThqofG0VjaNNrjzqBZKw1Xk/XZ2nD7Q5o7IhnziI5qOSX5ehnfIAACa+rvZhnewmW1N
E5Ayc+WIpzS8ddTpODdfojq/rZFNQdR1KNmwEmOtdL6Ebht7ZkQoy1BUW3tq2R9TZ9GB5yNEtlyF
g2nCihvBlrUFcAKp0KlmT1COxk5tsBbLvCtsFeSuKbbQQV4UoRO0loOtNPyS8ipMS/TKiw3M0FCh
EtrmmSk4aehKY+7CCYmTiX17oA3Y4EMwWBvDhUoq+gTyfIluxZBY+wm+j5EE/Dezbd+qnjNThjFa
5SdVKcQGnwBymUK2jH7NLtoI1IwA+nqbKGq8N1X7LI/dp7lVqwckkphQrRwTNaHgeGQlr2gN0Z3O
ybmbTNeLEJuYghINiQkiD2dXLWsAjbM1xsWGF2Hnn5JLOsza5qAbHFVCzkwod309VoEPmsHxzb64
g024ikg+03bkLK1gfYm1dckt8VmVkBs2E8icQDkQ5xcjZ5LbuhjMTb04r4Pu7ofIqvw6GUoYkTHG
f2R1WSXqNBjjgZyUntKPwVTPXJbgQFuXC7tEwECXDp4e5/veZoUZGYCynbuzerY1T+0KbUdoVPXS
qt2rDAz3SGrXN5oAIncLLdkVZX7bcH84WIUiNjNhGHuIdnEo9F7zrDXtfL4ua5NFJatW1ajbXHDg
LYV2r6zOzk5txyviQniExBD20lojVRX9U2ezClphijrSbTUKKmSKMBkdtYz1iYjAyeG/N2NCMaeJ
0IKNtgfrGbtiG+m9gzK07s/GalK2lDy1kCHWl85l3S7GArmQznFZWeIHtcGQfs4gga05vqyRwm2w
rAU0sELXU4v0a0gpFB7g+XXPqY0rSjfsmnimnJoEEQw/yk0o+iCEHPY7g9frEx2CHmUG2uF1Cqqy
H5F6R4jAp69uOlyiZuKKBoLlNVRnBhnrT6INw6Yn4W0IEa4jxD8OmXNej3HDAcggQsjSvpvUR4Vx
/5xl9q5Hss4i0aRBk6teMZd0nEjvi2q8UbXJDjTI6w0WYKaf1nAv80QuR8jdQkGiDmNUU+mwYD3U
6K4/WVJ/WPWEmqGcMXHSdef8e65RKcE2HxgG9Ue5jvJcCtujJBDlcNCKr9LpCLQ59KqVCK2YHDoZ
sTQsznVVV3ctJQ/AvuKLzgePq/FTaNIbOWdRtOytW92Y4/LQZ+XirUnCsUjAGjslQiVz0ayNpg5S
qM+1DnAc4OoZi41tRNG/MtjblfgKLnl3Tcg3BfuHFWruInSvu8PgQHeGk5X4RBtBcWnSAS/+FgPu
b6KRcV9sjZyuYRnPayVvPsVNtg27tg2yvsYcQZTJZjasAUHMdNMBTHtIpRc/sqtD342zZw32LTM1
UAtNMPkMyCOluujr7F5rp8e8VcAMouLFnQ3pRjzthcZVvKlWronZ9DqHZom6NSddyYz5+077nXLj
eYu90bnFGr1dKYnwZupQziqOpby72vr/w6r+iVWBNv5nrOr8Sxn94656D6zi7/0JVtl/AEdpEFD/
ZJQAZP6UQVK57xLDbNjyv3QLuPEvGaRhabgtChNLfBOfp3/jVbr2B+gSF9e/QK6/IYNETnkCV1l4
YQGaGSYPBAP7GVw150xPAXlIy6JS7CgOb3rjHTTqFC+1zJ+ffoKXqgaivqyeh2NY5Re1a59b7ach
JKPbiPWb3zf184sAe8HxUfyuW3B2KnyexOXelKY3U0zqtDoRQxQ5FP3c2vHr7xuQuNlfwN6vDZz0
VDkjC8ttGrD60LdrGB7725Qr1yX3IKCl3zf2c8f92thJx1ECx/WlZViWZNqHw3zLMnYr0GMk7Qct
/eIZIjsOSNaQiSP04Kmxpx2HVlbbYiD0hzuhWA5NjgTHUY9Jdu0a6WFqhW+k1jFCAPr7l3yvR9+2
LIf0zZBZUV/g/WSiOWA350bnWz2lwaHXWfre+Vu16f/sUBKU+A9cq8a7/txW1iAAtVt1wHfq6Dby
rraxP+jJ977At02cfCA5W3jLcWfAYbl/IZHmEM359vc9doIu//oaJ9+FC1phNymv0TdmSthkfdGM
MDIcx1YCR4dJkaKe2ucPHbQyMsGXlA/eUnvv03z7miej1pZDtOgt88Bu7k3l8zqg0ky7eddG5cOq
90dROa/1bF3VhUu9TUudIJKHu56kGU+Icg8FG3kZYMfve0YyYaezE0EjmnJJl2FU+fP4RmFIhBSF
Z8f6oG2tqzT4/ePfHds3jz956XF1xtlOCRWcnKAft5n49Pvna5LE+t3vl+/3Zi4QgtJk6srAzlFm
bqD8DiXc7SgHdMmJh7GrwUfIdxmXBgXa+oAqqhBBCf+q1+NXCsP3XTq7Z4ptBk5pcBxb6jaoS/OD
VfbdKfumH+TH8eZnhlHFFcqim7uJMjaMC3LjWfq3gX/s48TwP+gVOWq/6xX5c940p5SJgcqW5lp9
AVW+DrOaOmB9M9vfEz0/hJ11lnUSnZ4u3V0eCYrTww9+w/sjzzEJI3PWodN9JU+tEVjcZuTRdNvN
rsk/WgbfawG1iYVVD61Q/P7zS1Z4hoZCttByDFd0bMY+GLT3ZuzbBiT1+6YXESbpSyUbsO3vagxu
UQWJ9albv/1+tKQF0S+jZf4g2bjBSknLz+00pZ6pJaLz4xCvj6O9nkVJd63g2F1V4Wd9RPyskJfg
q4m5Vc3sulhlLL2WYCJKcdgG9f4nU6H4YQ2TW7unrjkv7Xv2iM5Pevs6ivCXSWPlW2PUgYYE2jOG
9poj/r01g/aUpfEVLbFBkCEx8UvPFSmxCB/DQPPajJtd1GvpVVLY54PdkIPJZdgbXfuxrMY9+XLw
E+Z0XqbEM4bqfJkuCSrBEolXUt/mffJ5UKkcGsPsg2/rvdn0tsNOBqZCZbQm0zgc01eQsI1BrNiw
J0w0HP6W0cw/t423DcnV580XMAxaO+DDxNlFfG5cG/SCUuMP7cfefx3XIMMUI2/EGz+3Eg5UiVFB
yOJQjt8S98GwMJ8gc2tCoxPNH2yF784alFh/NnayEnENHEdCZdkJB9xG6mq7LIr3+w/6vSaY+ELH
XITwduPkzGBQ7y+/Ft5H0cHDux0Sqd+38F6PWaprW0IFh+J//dxjU8lOlue00HI5pjwc04v8Qc0N
P5lxbshD54Pz+Ptv9O/2fpwF33wHVaSiFEfWf8xuKPEIqw++ZznAp8s1ryJQkzgUBZx6uCvLYs0m
tMtRNbb9S2oRWw5T8F902Zs2TuZMI9QaWQzHVRO3g0sUHqVO3sB/009vGjkZl9p1snjVWckyEI9w
eRzTj5z6f1ysfu0r4WgG0h7xi/XgYluLBY3D1cjcuNyIcn2vd8GwHra+tzoPqv7BAendoUfX82d7
J/NlivK4Izd3OF5sP1hcPnryybLvYCYR5gvn3r4s9vjU+dHw9Psx/6iFkzE3kqVTBFLjYxekBTDg
B13z/mf7V9ecjLYe1aPbFtNwhK46zFG5s+2n2XE/2IU/eIlTH66+avVShAxAlz1SspFSd/X/1Uuy
qPLtIt/zRNelUPzoRv7ymt7+/un6r7u7joEfGAbCJ1v/5YSdJviIdWXP75/rbRaPz2sabbOk+mbo
DsRGn9xHmX5IjPqpH5MliKdl3+b6gzU8Vk7/3BjQAmstqHYrVmrDLddHf73vnOSDfUH79cz48++U
4/BmjaOWpRwzh71u2mGgEO9W87se7UIM3B7Ew4cRN+/M45+bO9n0ZrXKNBY9DlfzcEmKz5nZrZR/
O3dlgzjDWm6Ett5bRfdUttSLDWK+0hL3gw/4121EV/H/opCWtUSz7ZMZaNWDkXRwFMcC1x2TbmWv
cf01s9GxaN+0Zfr8+2/h10+Z9gwLihB4x1ZPtYK5GuYRUdrDkUNa+ZB/8DbvPt20VfRThuBjO7nK
jWKoI3eswT5gLSjVycq/f5sjApwoA00WkVv66e93m3ASXVbRgp37PaXr9fjBbPl1SfmphdPJTr0h
pY2kzB/bRPGT8YxYNccsPpjwHzVyMuHz2a1hiXmNsC5wKzgro8oz/4uhpuQanZ0LNPRr/GKm9pG1
0kZrHRCHth8cseTS+vMuKPvpr8ef7EpxF2WC4mZGgnLm4is1F/rZsCYbVC5UEP39r/ZtWyezpGgH
k+pV2tIowTGzYEk/WOHlj/3lZbA/ZHJQ0g6Y9vPKY3bN0FdkUR3DMryMY+ofjX1RImOh9PP3r/Lu
yL9p6WSNw0yj1nHIY8tV0V65IdJ7e5sv0Qej81Ez8t+/WUpNNYt0ZPkDqr49daub4srVxw/aeG/t
op7i35128gUkpWpllWyjrnGAWw0SIcvoTG8KdmP7qBtwnL/vu49G6eQz+KvvMqzAjFFQbMpw5YW5
pfbwg5cTH/Wgc9KDzdjV1tBywwtjcR3103MppXroUFH7z7CWlKZomy4uBkqRILTCaDi0eX9jWe43
e5m+pZ1IDlUNgV42r0uk3oTUrFp191lZ88dJo/57asunGpHQ/5F2Xrtxa02UfiICzOGW7KButaIV
bN8Qsmwz58ynn48ezHGL4jRxzn9lwAK6uFPt2lW11mr1dpfR58mrZbh3S+UxQdGXdqq7QDEE20tS
msGQTi8UXTgGTRRvzXEMVqZ2IZfMcdZp1kYkSpY+KZ0gs5gl1IbJ6PaVU9f3p+JaoPYnNr/llcM8
Tdyns3ZmSf44sXme9FU9Jviljdx2ONe9P+6LYNetlTCWxgQFKG1ruqlTXVBnh0Aa/58lscsdBOzi
YgvRHcqlZuXownWTH9U1r7hwA34wOTsTmkav5zgNjpSJfN0KK/fG8s9P3f5gomjym90bkjuEKfyc
zRH1XqTTwy1Crf/6TUCuTPprYrY8ldyi/GdEbITfo74p3JVztXCGP/y88nH1U7l3JdWNyWe4LyKI
WYF6KowLjbcyUwvJ7o/jmDnaBE5QOjLY0EJbJpteBRFqSBW9AfG1YeY/h7bYJw1sVGxyWW3vmxHt
qHjoJsqfqIAb0QVxBZKlFstyBRqycAA+TMFsW8KTBccb/GvHrFPVrVxbAFajfV3IMPXVtt6CzJXJ
IVz2nQvX9Qejs42pRpbs6jCpHoNuk+fjpo83YbhxRKgpLhtaGh3hGby1kOtBwTvros/D3Bg9K+AB
ru3C197Pt+S01cIHOrUS4Cx4aJK6oBJUqGjAl8zmkebHAJFhv6GletinmnjKzV0IXeXl8Sx6kXMz
85mL28p0K8xIAjd2Ul4JaU3vdPQujhB21nSc8Ve2jjq9H9aWbeGOJVLncQC6wZqo2D8elyJKE4gL
COKMKHhrGzBE8Hb5tBfG426s3ZOiubvL4120yC0gA89AHXyeCixjcQBOz7kZ/nDRcf3thYegUqAt
21+2tOTMkLgmuwl2w6TO/nFsaQtPSh4K9bHone7neH/515c2/Pmvz/wY5Da+S9K5PnbqTrjalHAS
V5Qf7G4tO7DoaWBDorKGsBOojVlYMjaozqfpNA4pe00jD/cBK6K1o0W2sEEywbsQUOow/OElseR0
U+qe7liyigZU1n+JivpG0/trr2u/ZooVrhzHGeHWlEAG93T2dbM4Bo0PyOcjrgw3/NWFP0NcDeHm
ixh0d20p63dyYG5E6xeEBjTbsX8TNnI37Wir0HdR9J62+l1f+c/59G26WDwgyXSAg+DZEmkIHs0G
QlWVLuOVY7e4DYGOiTCF6YiIzA93GynhaFr10WeO/EwodiSSvpvNeNWaeeNIYf98eb8s7kbelCQ/
Ad/wOP64G0fBj/KoJPmgJXd1s0PP+vLvTx88C3sUqK/++f3ZOhA8GnkxVQza4hDj6ultst7+gwmQ
ycCrwB2Cdfs4BJCUxZCIPVd3SG/ja57vQ+H1somlHA1xx18bM2+o+Dk3pzll3DyAowBgD31DFyUp
jgJwQXMNPOFo1j0NY3m1lVB67TuNXAbQpDSqxhX5hKU1M/hp3ki0wShz72i6ohB2UwanGWzrXRlW
lmxpD579/CdAmCpBoWmRN1MNlAVVOTpYovQ8oSdaN3sc/61m0XRSz83N/GHYZKagu5gbjvIhX/ED
K1NlzNyhEBseNwzPGc0TwBsPuyBS/rfVMGahnR97cpEl5LJ+bL9c3nVLZ+d8ZqbBnb1mVVOEMHv6
ZT8aE8dlETSa7iG4HVYuv7VZmp2gWEzHUjFZAhhfHz0p26RtsTKWP55r7gjOBzM7QeCeAqQaPZ4I
Q6w7iWeCvqjEl9JKbgdo5DtI0neG5+2FyLvxymrcSVD5b90kvoVYNd5kJu2V01GCpK63VVRpXU5a
jq4J7cuQKmZq+whcCYLovHgcNek6aNSjFpuvSQ/2aOSXbQAHp4iWri6nwzIbK7iaqvo7lNDXQ1Pu
6048WUn4MvbGfUc78aZrYEYOQ2BedZj513UkdrC+WC4srWkmXV1e6qWsLFUoXjcagObPVXsBkGYD
oxNnWs5++L4Kw09Lqs9101vfGwTbsIJDrwo0udJJCe0vkn1mdu0Oa6WFxa1w9h2zA6OXAnQ0GZHX
9+/uyt229tOzg9KixBJGGkOslSnN3ZUPl+dw0W+dffrsuOg1bfcIF0/VT9q/zb2nPLhWepVI/kkz
u81lY4tn0zQsEUZGXaQi+vFsyoSifkqX+NHbVlZvR8UrAKjLJqYT8enEkJZDIsfiZpsH+lD5lkNQ
kLROmpPo3WVBsCszYe9VT5ftLA6FXhFJk1SDfTZzwAh2UpEWpnWpS7jtw2s3iMDcIG7xv9mZbS1t
rHT0VrADIAkeCrtdU49bGoiJbJQCG6eIeu3s1SAbvlS4Am+w7jsgpfdkrfNw5ff/PJnO/LGpwFqp
jvz+mKS28HuI3laukjUDs5Wgd12Ky5o3lyC/t8qdouzNtWr04rvubJL+OKKzQQilKJmDho0hlvZl
Yu4HFcAOqFSBDve88g7glw/VWP4qrJV9tvQ0Obc8O/9pLjbBEMPYFKcw+I12PemvKfIuGR7F9ufl
vbZ0diYuCtKOvIY+FZj8vJDytsKWod/Eu2QTSHYtr9yai6t1ZmMW2oI3RSGgw4bS3WeOKG4oM/5v
o5htaFr7BZjCsSBuqwilERj6UI1ZU2pdaOWTlbPJMme5C1j5/GBMOJjNGNL6L+ygOhXgWG/ek8kL
1LUA4lXSv0KPFjkC+it2NEqFU8WTpEISgXnSjchRzfALAKbQbioXXsJB3kMamKy4XXXBJ55/6uyE
ZAJ9CYrEjERJcZJa+J37f6fX9H9fjjScwNwKCxqpnJlnJ+juo15mNkT3VRCSG6VUV2KhT5uTLANl
QvwtHXSQB88OQqQ2OWB3/Ajk2W14kqUXUBL/PocyszJN5dlBh3ovBDBOwKUP37vmcYid4KmEY0DP
tpd36ac1mQxxCcJ5Qmc2+f+PhkINrHDtuTUaTc0vtooh1D/+Jwt/+vjOhhI2aiTVOakG/bsFhdK4
ctFOB/XDRTsNAIJmCmBUDVn3jwPQcoVUV2jWxxypYtdS9nEGPZXn71PLe1Cs3ql61fkPIzozOfMd
SNy4g87Fe7T8YO8q4VYNV6TP1wY1WxVBcyWBRyjtzcJRLkO7FB9VYdPdKS8avBGXR7O4of+ORp85
kAaoVBZaRn0EgRvJ1xybx9+XLXzytR+XaN7U2vZhrEQVo9EQ9LEDJbh2YbkcMmltp61Mmz4LUgxR
LaTIxcHEHRK0ldbbxdC5yERFCJpAYYKElCs4edMhjFjs1PA9GAptE/nlSy7BZdmop0LzvlVCeypk
6T2o3ede7++QbrkH90e1u60fAaLe+mo50koaH+qkRi9K3Jhq8za60KnlXvVaxogDNBkEYt4xC9tX
sRfglIYsOBb6KwH2XKnw38uG8luvd48oVH31/e6HZqW3Jp2LPN7A4knur6LLVnL4aws981xDPsiD
CLDwGEH4MF53u0xx9HrFPS76k7PdNHNcA9pmWpaxm/SDdlOtVUg+vRKmnaRB7yHBqUML82wI4uih
NhnT9i9Zb365Q0tl6tAq9mG9+Q9b9szQbBhBIglmLmOoSr1dXBtOIb9Uxsqb5/O7cTac6eCcuUbD
bxLFjNT6WIaPofC2QfaN3BP47kaxpQeQeuZaGL9oEiZ8uAQNml70T80owNdFvWVgQphYFBUjhJRb
4RtkMIewK8tNRghhw6QMpLjYFSoIgajLHDgUVqLlpX3CMk79GBxLYBQfh+7i3eA8jPGhqo9gCnv/
6fIKLm2VcwOzYKPza93vYBqH9ULYRM0JgIOtqs1+6KDQ7leMLXm4s1mdN+DoeeHjRSTS6aG/L+Pi
nlTBTde6zYqvXlu+edcdOmgBDMEYagVS4EP5XaMu7VQR3epmmz6MmAUycD8MyiH0NbCErHHer3zF
0tqdj3bmZuVSlJGV4iOSagf5bGut3K+fcUeci3MDs2MOwQlo2naazjzaVvmv0kQIRxH3MFGgcnfN
dMM83T5qEfSFb5e3zdpKTmM/O5JKKWRTpMTB7/KHsRceTe2nTlJ/ZQrXzMxOvuznQIvCaYRlt5OF
igp/dci0YuWULbn884mc/n42Gjg/pATKa1YKqorCpOJ3AtCFmpT6H+4Whc4qCUwJMdjcMcdjLycJ
zFbHDk5twL9wKlT1TSWot97I6C6v0dI1f25stkaNQWsipGLErIP1FjTxuzrAYABGzQTy3b02WuqI
UbDirBen8myEsxWDIzmoJUgAjmmrbBrAi77V32Xmm+Km28vDW9wbpKW44KaulnlKJ3DltIhzERct
vUEPrUGMBn7/so3FI3xmY3aE49BH1KDDRv3DOyEr8r/9+uz8VnpqipY/ElJq2nR7whEW/JcDdDaA
2R6A+6VE5IENl/xRHZLvkkK9VfRhZSRrazFb9dTNYVdFRvQoVJYtZze59LTKoccZnD9glLORzM4o
9H2mXHpdzU2bf1Fc8XqcuEkE9SRE6BmkSbwTtHqnF8rK0Ja97Jnh2csp7y2lobOwPo53zXR2Ys1A
dDBpSijE4Dvqsuo28yyI32T/oey8b16orCXlPmWVJkcPRSJwF3oiPhXDqqGRkl7J+QRkQqF0iKZb
OocCD6Wqx7Qd7jI9o9+Fev7lDbq8rP/YnVfJ4pL6Q9mV2K39O7eDjEWXo2wbxsnjZUOLXuPvAI1Z
FJKC4gwCgQFqUr7P3f6X1SOn6lYIHBgrJ2L5SBPRkW22ZGOe+tAHz9eavsErki9Po8eYt/DlwSyF
VNSD/7Ewe/fiMkrThA4E6EVMyVnbJ7T9NKfGsl6qwdpcNrY8c3+NzZ7AoReUeu23PIG77hAk0PqS
/YZO2cPTy+L3y8aW98M/xtRZNOrz/POkEWOoTh8UWBZ97coa/sNl/DcipQno42WsBpkxDBkhr2Tu
BYRVgBy+WXW8cqyXhnJuZeZOaBsMKlOKakQhpI0BjVmoTzmRla2wdHDPrUxb5SywyPoks6yBsaAn
qb1nb/7PRN/5Q2I73/79ypwbmu25kPhlkIME75j3vyAJcka9uct6bWU8S7vt3Mxst0WWhYJywHha
S/rhGfp+wAziA98ReJJXVmjpGP21Jf+hVD2bu78r5IcjSgDyfeUa74hD7MIICqna6KT/ZNAEtAHy
iwfXbONJQd2ZOgrax7Ty3kU/PTaTDS3q6egIrjQBRPXlRVvaHVDcW/BxqJRy5n0p3UBD0Ti9vYqQ
3kS/24uqiRfvHVkddwL0c2L/aw1lsTSr5zZnGyWbdHJ0PyMPiJ6nKyooqMG9BIkOrbNlQ0P5WhS6
5G/BaSpQUML3zyg/HgEUpgYRynBesFJRTjrlo4M8xv3lmVwc1aQWYIJMEY05JXdGjKYgBkyYk0Tb
yPdsCH+vzOCuEcRTFJorG2UpsKboItPXxj80RH4cUmGir2QlWAu9Cvnlsd/lIsoylRo5iFN4dh5C
CoqQ5Mp2WXJZ52anSTg7ELDZN5afsHRIgB9S9SUcB1iS1uAFy1P5d3CzDdJ6Q5ukOZ4EaZYvvak9
ecmrmwe/YanfpoO70jH+uVRHaENHokH8roowqs48ShhKelQkFZFjLBmotYEukKHJQ4WqbOQNMT4P
dGVrKB7Sv18vb5rF+fxrep6NyEat9tFvro9N+orUdaK/KGvV2sUTTq2WJlZdnmQSPy6ZKVt9NYoE
rQZYUgjiQ+jsZZTIYbIyR8ju4l1Tv14e1Z8AZh4oIwf4j81ZyJ/16G5pVsACSmhpxzjMUcquOg84
kmZ6u2LanLUceXZmqHZfQRw3RNfZYO6TMP4dZd5rktb3Ha3uDu0jKKsGx4gV8BLtmLTyZqhKZ7Qg
Q021V70JfjZIXG/yll5vrd9GYaOAkzWoHIfFJLqkInoeWtnPoHe9a0uuQ9urVCArqbzy7IQP/PPz
4HzUM+cdGmNfDA2LGZhKSUMaEgsN5Kolz87QKF/k0dx1WrqR3ORa9uWnMRHMbVrALACT5lbqYDd0
FTDLRrwlKZ06sQ6jPn7KNoLoIfVQs84Y4+WVWvSMZws1cyORVCaGMvDJcS3/dI30qYTp4LKJpfua
fn96fqcuaqLdj/tPSQ2t9jwdT5Wn2wb2ti6tD0LZkS1SHi+bWjpN56Zm2y7QTMMLfKoXQ3yN4OXV
EPpXhvBy2cjSlJ0bma2yOEhyXA1kgsfQ2rp9sRnyw2ULi6nDcxOzVUHT2yRK58hWfTaRrg+OL1ep
07MzGl/dy9NWod1G2qIBcVVBMH2IKnlveXqwv/wla2OduXvfRLrRgGnwmJr5nsb7TSd+uWxhbXfM
XL0lj2LVySxZhnCWYIZ3zfhg1O99kf68bGhxKLKhk0snCvjURp3AudlbNYbUathAiOOl0cpkLQ5F
IYoyuCEnNqmPGx2pL603cyxERfcl0BFfVlFXfyut5unyUNYMTUM9u4RladDKFOm/406NbhvVNvX9
KO0u21h0ZrxM/5DJwVL3CQvU+T5kKCx9aIRoD4WyndfjTuv7Y1DW9N9mQbXtpp73Mcue3Nx86PTU
QO7N3etk9uws991tCVF6lqo3vtDcjOLwLEpwEWt9fOrrRjx2crLW+rZ8cs6+enLRZ1NTV57vh9Bz
HKtSuYGX/dZMEH0ehiv01zZJLB80OX+j63YLl20sqQiO1tbKNlh0QmefMNsGg6cPVplS5Y4wU6m/
quwremErTlVa3M5nVmZ7oDYtaHxDvKrS3Ctxv1P7b0JT0dWpoKqrbeKss3PoKV3chhy6x1BtnSoV
QTT2zuWN8rlle0IlSCZlfXp0yCnPxpsE1VAVEW0JXQR9Xz46gqZuq9T9EZnN1uwS5vmptZoDeaOv
feZuR4hfBHTPLn/Gwpn48BWz+WgUrv3oT9treqfrT6S40dG8LVZy5wtr+8HKzPejq6BFqU9HCXqp
lXrvPWVrTClLwegHE9NAz3Zwa/R5aU14oCH+EmviTailxEvD3uv3QVL9FjPtaogqx/BXni8LG+qD
3ZmrH2HK0boYu2po164TKVeXF2jx91EqoiKsW8anpkGjLCvLN2iToXKZjoe4W9kAi0vz9/fnTYNh
K3tegv7gkRShDQUu8Mtu2Fwew0IorUGx+f/G8CdNe7Y2tCylUH4zRyTWFOPKGg+tjKztg5wRsa1E
k9J0881i6A/GZq4sUeJSsyIGlOkQ74vtKUC3mJjw3mr1e1fokOiI63ijSnYYm/ck22DQM27KoNsh
JbtXmuIpG/WviR589b21llllejFf+rjZoZeLONLSFifHjPuO7/ZvqTl8RX3x3QjMh7xsXzxBiexE
jVBz6MavDYnyps7vzPYuyqTrMAzujdo4NhrK1IZky+ipl8EVCs7OJByQhcLOLIN7AeB6lmtfy8aH
2F8/WbUYT5qjaFggXbmyuCsb9I/HPVvcoDdcOl+Y76TP8R2bSHy+vHuWjzakEnClgEv71CyZsy6l
D8zvWKIfMj737r6RkVGQnPBav66DlRzm8oH4a20WWfVqn1ZVwHgUxEA3XbDV1xD6qwOaPZz1qrNo
MGVAh9FOHrobhOO+WN7Oevq5MnOL203R0HQSyXVo89BqUoIFVgXKLI5bDx4A4VUMR9/xHiP5t1ib
TiuPhCfqfZq7WzOR17rIluovSJ+RqrfAgULiMH3f2d5oEexMlMkpF9atjsqwA436CeLUDKrsbp/K
0rOauAB6jdsQVULkP9YagqTF1URdEukoJNiowXz8gkqKmyoTaVLPtTG1U5T2DpyQH8loOFns38aW
8DPkfs+87FAFwJ0V+LzH2hgOrW48F15/qwMIvLwqynTIPzmBv980bxdEgkQrioQdVrhIFuB0IqlD
m9C4EfU0t2V6+jpjr+XpfduAq+kDwW7q+iFjtjJmTUNqyYE0QEVOUIAl3v2G5Dwy7flBt8odKvG3
7aggluXLp9QaECyxxGcxczOU/PRjb2jOODx4o/hOix8I4KxeyQotTrgpahKpPJpf5sAD3/S7LpCY
8DF0n9vUGJzS8m8zPbW2l6fxT4r10zSeWZod1FJussBrgR/1r95D/CV5iPqb4bm975+6t2HbmraJ
VPXYwuF9RynisvG1Uc62FXvdLb14IghCqVeth02UiJuxzX9fNrPoW01K8hPw16Lh8uPuVftEToYO
JF3UO9ld8+N/+/VZyBSpbVOq06+nSboVUUTWQ3clOpp+4vMa/R3ALDryE6NC3h4TuXB9Fdy5j4gd
XB7E4nV/NkWzXRAgVlWZIRbot3qAjoYDUwtbV9VQk29/+qF+Arb0eNnm2rLMVj9CBm3wp1Htfq1t
rJXhzMu2RVoqWSixscaxPNaTR/JU43ZgCKiS7IUwR2yhJ6FweUDTMlxYpk81XC+EG1tmQEgk2MZ1
ZaNQFiSntlopQi66YxXGPBriTEu15qBsQyorelswVCrNbTcIR8OMQcxnv9NG+yLq45UXyt+UibjR
FfxDJ6m3YILKrVElX6oO7W/VK68vD/0zTpx32PknzTeQISd1NYAAFkTaEQe9ereGSDhEWjNuyqHw
7Uj6Egw0lDZ1eJCnTxMC+ZuZSFfIeHxJxfh3q0bodrj/IQ45/67ZJnMH2hNB9U7UEOqAAqtnt0Jw
CAR3xQv8f9aEZKYOpBs5v5mTSXE+ilh0OBmlxGlKI8yZbWU4ZVVn2xS2so0MYRgJ8nGX6QpaNBHZ
V8MhhFFgvKx2Au+FvhdWCE8W38eq9PezZt4JHJBnFtP4K/+prbVT1j+TPXwSsIg6BfpOTXQqk689
/XMQ1SNuGIZ3mVKvOPqlzIimoRBNHKOYyieqBzNStFybSABz1NT1Tr5FKD4n+HZvLaWSN1LUyHtP
ymmdFuAjE0skOApfeBcq+FMu79Ql13D2JXPXkA51alb6yCsqcPdZ2sIF4FvHTEFdSItfRjO41pq1
gv6Spzu3OQ/ggl5BCmYApDEtv6QXETJI9dvlgS0agQFR1mRTm6BxH2+5cPCawPWYYiPMbbjed3Ik
rCQgpsMyd3Ak43hDGxLMsPNKZsPU9X3OZkrplXViqQlPJaskTcsVm3JiI8iUOYghQIu8Rke9FCuc
25Y/Dk9NY6PJa2wjVD00V116pYsryaSlrXFuYvaszFNBtJCuYZkyiUqOsKUm/K4Fnp2IDepKX5j4
FYtrg5rW9CyyVyqj1910mtAaH9jsNOS7InMNYLZohbyBaVIgFj81/Cg5HPgq+jjH0H8cWu1G8Z9K
/V+zeXMB6GdGZhfACAZJ7hqMtO95c6+feBmUXy7v8KX79dzEzJcrURkM0hQwmKjyjY28rYnD0Ze0
QTJfGea/pnL+OKJ5r0+N2FcnN+Dla6os3VH8L1lUMHM01sHxIyG1MjuxSihJgjLRXwuphNRPKW1d
nZSEXAzCPk9p99WLb80EVtL6q96TTmIc7CQ3/j4OY7KvpFZ6uTy/S2Hm+ffM7go1DVBFmh4dsa/a
tSJ+s6p+Z6T1NguSf888NM3u2eBnMS3E8IFlpdBpSnW/99vse1DIV1CUnIpB3FepQtsTKov7SL6v
LTnfXx7p4kk3dfRr/mDa5u/ZQjfboJuMe7G11xCHRz8UQpH+myEKW9KsThVK/kp0uOg8SYiohNmI
58x7XUbRcP0AvQT61ERU44PuvZpC0Ca2vndl/5TXCGk2SLbKJeLBl4e7lK/XaFr7x/bscApmExqp
iG2qI6WjTWbqNnxssevKwnejRSoxy8cfVq48WF56Pfpu8ph3Yu+gw/dbMbVsxfEtJm/Ov2h2lqni
dJLpES7Fen1NV8UkRUnVvB+AHJXPGQQOSR/emHxLn0kPl6djcSXQlJlEuoG3mLNzp+qIUGQS17G0
YSW6my6+N4tTUt0Mw0vtrzitxa12Zmx2qOhXQfGyJN5Q/QjZsUhFpUO9q5PY9lwhtilv9SOEFpdH
SNvP0lV9ZnZ2vFyESaE4lMtjVSvJSRClL1pT5fYA9aztIc2JDrIR7FEuFe1IKLYaIrn7WnSHrZqV
FfKiOiFKjxy2FyJin8Pn6Zhxeypd67tVI7XsJbWwq4MovM/q9mtUiCddK0EIea2+MZRWtH1VzzhV
3jYJ4GioDRldgwlf06r5JvUHJK/NN03QfySBhAxrCl2bEY33Xto8Vn1YOGIe8N8D6kyJKdDbrH4L
S//NckOBfgWxQlBv/BK60n3Ua5VdJuUbKp0dVDx+TugtyXbmqj/cHHlsUlTfqkZ+JFVebgQR7FxX
PXeu/kN1U2h+kFwjCk+dRBSfjMAd9ghSQzxIYq8eh99e4r/6VqjZkpCmtiZWpLjkHChZuI3z5FuY
9TtvCPVNVchIZCjVozKgFFmVhYtuXdnagIMBoMBquOlqPTqannHXeMWDHBgoHPcxorFj+FbG8eh0
kTsFvC09P26KIm3wQhXPaVWlBSOR3uTpaDoDejV5LoeO0E4Zr7w2r+uQWnJhUvH0EGTyWzfdtGhC
mH00OFAdlrsIyQgB6YihN9Qn2osDKMKMV2nSmWjGyNwGrXbyUKC9k7Rs7yvq/aAinKf7RW0XSVFT
zRN3aFidYnHsTzKMzQLMzSIMzlkNysZThZtyYu7UC1HbIalq+xB6mgi6plX7WlfJoS1DGDD1t6E1
05vaahylfet7f6+X1be4l2uKS7WdST4SiXFybET4CE2ICdWJobCfuApJ3FRwCIRbGFlTOpTo2gnT
kBZwcCrq8FihXvAkTjxdhG7mISyahifVeGVVdXMrAT6SHV/kLmkmcpdoonnpJ8KXfqJ+8RrJVhHA
duCoPlDBbHNextW3QHiMs2bfG8X3fKKPQZ3joVL9bYxPKuOvfaWeQrA4uhYF+0iQfKjQingTQOZC
wIBKujro15VZeLaWUWbKK+M7zFmcpglCX09g+iDyXiKAm9mE4Iyg7myTwlHydosEPKqpwYup/rAC
4VRN0E95woDCdJKACS0ncGiVWc85aFEX1GhPMFCBIpXE/FWcYKXuSB7T9NEYEe5d/kA4Dkiw5ZFj
ml159LXyd1yXd9IgH2KgPYEp7MTGRZisqF+rOP5iKl261b0IpWHvuhmsX57vRXYjAmXNFWmj8sp1
1MhQaODKb7RCuB2LzAGhp2/pJZMcqebM/8m2pkprZ4pLGN3Hx1GxfmjGAwyCdCS2tlfKG13zrpJs
/OVPzVDu1BaVjmF5LeX+N4kpSxAur1MbgTh4K6eWqjgRRBvNYdTAqu4K0dVTMmYSdwaa5M2YXqlI
WtrDVNfXKfBLU6U/JWMbUPqPuu4rSjb63qzafJM18QCvtsaKUdJBNGqbmvITmuobGKUfYezbhZSA
eBlvFKpCKtWhMGmfAvQyjaC8TtssOLRN9nVwA/FY9jSa61ohn8ZR3onU7jaDku1SJbxNLa21AzEq
jnXf+baQy+PWaIpnecrDsErPKMamjiREd7DUxzcir0H4pfqrAEIxxUMFLB9q6nvoCHPss9J2oxKd
D62vwfIR/HmGsXfLJth2gfdk6IJsN5Ino9Gp5KdYs540X35ozB7Caj+LbWssxG0b1cl+qJQ9hHlH
bH71tPoNsQcYk4r83UglauOpdS9ksFDLZLJsQynqTWkUcHgrGRiT4jlTQzSfdf4m96hRyyWtFdoz
YvDfvbT7MfQCPMwhF3nXPmixom6U3txLZdFxiHOkZ2OEbRUZxVeoS0FYmo9JI710iVQ6YulrCJUn
EQ/I4ReEDw1S9+J9Dk3KNf1b0UaJ4196lgdXnL6fZml+zfHyV5Ka5IizeT7ypoaxzQ39uhcKf9uK
ues0HjTGYhZXXEVuYpvJIyiRqEMIWxQ9f5uhF3VbIsxpZ7EwzblF4blKHuizT3euGeq2kVfXgZod
UTdvN0GgUVwQ9WaXuYKBAPTIqaNo7egGtUUXMOAG3tfQCXQN7mNXOoijUW+GIhQ4NJK1ydQs2Fpe
GZCCKkTb7DWSHllibhLDDPdpVaubNrUOQ9bex3qkv4yW+bNWwq+ugm5wrdavmexPjQsF6YlybDeW
39IjCpWhXftmf7QGzltNdOnkXX+glvSeoFbUWONWEI3brimkJ6/qh+2QFAkvp9iAxcStr5QS/V+h
UZ7DsImdrO+ibRJ1b5lq1vZg+ukG3vBTnbVPZaAdI7V8kTq5YKuF1Z2fROkuH/zXsKv9Xasrnh1b
LuoJ9FI6o5AcTV/TkUKxMqcbZIE2jCDfBHKab01voDsSNZm9YiWl09NWvqUFC5B7eGxkP3U4TDFu
jqStmioPnuIavIDQh0oy6YUg2rTDhvThWFjPY8nNR+f2DkCLvE+s+AcSoqxcIV0XsngvdspvZLL6
DQv+Va4SE+nWGi3VxgzsopsiH9nTtq7kvcvKEO7ivriDn+teL6pgSy68t+NcfU21KnHiRjui/P6k
jsK3dpSuVF5jY1DfWumQsXfynS+S9FOj+FBJZnqXuMlmFIYro0FDNZRfiTsyIgKRNLQuvuVKdKe1
/c86GmkDUsoHcLLkilPfos3Cf8lc79U1aLKIRTSXOjn47gnDtjfjZu+bZrXJkuS5QhR9a7ZqsoNc
v0VHuI5t0nq3StVcBxFWRUDbh6bRrxP0iDZwclHmNYTEEevoYBZSsg2EaET8trtSDeASeRxdjXr0
3I9lZ6v1pNleBb+TZJTsNIyqR3mIUcezlGM1xD87LTpJpXvrif6PEdCNM82zpDbahjJIvZG9TN3Q
FPs2SFJ9ikbhrVFV98ZVK3FTBtJr7A0/LXS5HfSZuXbVFkVfk5pmWT0bagglq3BlpslWT0zDrhGO
s82Ch0mcvRoKQHSCAmsj+el9rNXPMbmTPZx/T6kulvxMeFOkReBEmuXbQ6qVdlW1T2Y4HmWj2YBj
b5BpbjYwvxzrzNv3vafYqdcHTqyKW8TuN3KHtrDZpCe4Sm9T2X+nLkJBM3jLDdS7cpUGYiGpO1vQ
td+R0DwPnX9TjLKtIjMy7bqjVopbsRv2nZjRhFQ7lgc7nbrxk/4Ooog7Tk/BOnFWS9c3bSXUn0bT
d/d0jIVBsjPF4DrWU8WGhfJX2XXVJtcqOhfM9r6FFW+j1P21nLGKetAjtd0DqRkEmO/FKn/pm+Sl
H6vaoSXikGTmdUoMiSCi78hmqDm6nr3X3XCSC821qVuOTiTp3Etd9AU+e/P/kPdly5EiW7a/Unbe
yQs4uEPbPf0AxKgIKTSmpBdMqVQCzuQ44AxffxeqKURGKzqrn9quVdkxq5ODC/Bh+9pr8EVPkLKZ
l+UKWyTdicEN/SI07G2t2y+6W6JcLPNdNijuhwRXyKplZeA2ofQTZLFrLNUDV0RIkM5QPsuMvYwq
dL3WsS8Ur/AxsSHIyQcnH3Go5uGwNMqrXKl8ITT10OdJ7rlOoSFE2NZ8rY+cYKxHgoRl+YrDYG+6
cNFlEvHAVtIyzyiSHSWFs85jY/DhS+N4eXSoYgXnPrCWO8I6H6a+hTftBgGYIDjc4+LCsbspr7p+
6poKxLU4GIGH2yRFARxuI3iiaoKtitJcqibetJNfVhoFtRSoVqwCFGmu/9BzwRDw3b0h7FJDZZ8c
ugxGSSRuEcJdhu2i572zxyVP87qB1QtJFA6nMOdB1tmHokGRIpr2AdexTVnYD0llxZ7N8yRIqvw7
aeHb08T69zjtNymtRh/BshdpD2MJRdjoabXmrIe8fa60nAamPSQBHAJ5YPaomFvWK1AAaOlVHEdZ
R7FhURfELbc5wPfN2jY2+IaR7KOAUF5vOYU3eEkRLT3iWhF3xY9Yd5Cqylvwl3Hn8bIWx3HGtFtp
W+MiS5hCZ7x+RgZdGjgtW8kB/XLwre8NPdV9OzO3tLNwAGrhAZw8GBvCC0PLo2crSgVI9gPzBmpc
10a5Ixrm/kCGHa4i59y6TkFYADgdSPyQGgyy7UdAFW47cNOqcNuWprXKNW3Rdvt2aFeq7DefX7FP
we3HI5GPI8Vjkfedg5EKYCnJsjDPddQmKeEcbD8eYIYN60bsIrkIKEUm+RIo57pX6Sque3QV7aUd
JwtTc+7y3FznZ6MfTwLGR+DBDC6qnbR1yYRZiOUQbUyOiubp87d36juh2fEXBDODf4AHFGadThCM
wI7iDKj6IclOKr30zalk/Xy0U8Dx8aucXvURzC4AS3Bz6vkgbgzaKzhgeLqQnlacQbVOgS7H48z6
PFDV4u47pVZnGsKOUhSgQurjJtSdzKvMdliX1gjybxz93hD+P6/9f0Rv5eH3WVG/x2m/lmKA9Xvc
zP7zP/fJqyzr8kfzf6c/9tdv+/iH/vOuzPHv/Ld8+BP4i/8YOHhpXj78x6Jokma4bt/kcPNWt1nz
Z8L39Dv/u7/429v733I3iLd//+vle54UQVI3MnltEE3+/kub7//+l/F7zDnmzX8dc375kv8WwCDz
9J/7M+acfoHwwoBjKCzYdHTG/o45t7+4UOWhI4IQdFCrsFf8GXOuf0HCoT0ln0KbBVHdXynnhvsF
ITo6OmwIQHEtWLj+68938OEz/f3Zfiva/FAmRVP/+18zlI7BFx78QliUW/ir0CCeq/bqbixYnVXp
NtGVu8hlIxZaThI/blILmQKR4Ucm/6p31aWlimzFCxfnjF2Oi9Y24UuVQq5kOePCkUx4rtsiAXiE
wYtKp7wtbqrdoIluAbWPvmkqqRDJM97Xbn7hVNXWRU5vRpxbt7DjM8sNvoIf9q7358JrAm8JMtIT
9H1CusywNTPaKqR4v18igZvESexBfZSBl6mhJU7ydJ2ArLuIIgXXOmQ3rmwj4nDiIpP/SBTuTT7s
7CS7sGFYeeCA51YJz/glbMIA2IWxZgQprPv0B1bqqyQhxhpwcQ/BvFut3R5FjYXS1WNhZdx0ZUL8
yOj1Szdqu2BsE2eZI0UDQha3R+ncl2rVdc6WmTK9sUKyZrHtemFrlIuwYWKl7AiXbsg3va5x3Zu0
IzbQxDgtPQrMYYnkrmFZ5YWz4iEuzSiH2LZAluwF+uGo31Jck9qh1G5A95eHXGsj3PhwKcydoQky
OvIHuy2u+sxQvpXB/1WU5C4KOQCCuqb4vQUMyUYGIZkz9C4cS3JcsxLmegXtywoKCLTU8yHvPFOh
hk1akHe6arSXsaLxRY3aZZdREa0i3ag80AHsZ2T+oDxVqGYdoAIoqXvch7s8QbFAkiADYr6FOxpq
nxIagrgeL2I7H7wOVxwfFA7wHUV7L9MIcQ1xiM4lysu0obnXajbBJUqhf+9k3/upWzUYWr4yhsEC
TCKzZRUCD6V2sadj8T3q9JWRx6XvaFa4FGlEAjaEJihnSnpGAn+H0oxqJEbTexElUUBVTuG/Cfot
Mvy+5Xq90Wz30eDkdWAjyp4iTcG8xo8BwGFS8/oxHRA/Dq8IvfMjZ1LEjh7mwBNK6MBlQLpttnec
8aaQ2ho4WYBW0XQnWUTEWal0XNFYe2Fw8yhlKTwxmi0q4n7XOMN3omdLPbLvuLKQg22RAyzc0Qo3
xXd9gGY5ErdCmls7gXumUUKHJ7XCi9Ff8W2OuKo+qRHnqPwi37sFMIZKa9H8E09uGaO86mEvR5Hl
E9sA0RNto0PW7hmwrzaqGtdiu++W3CmXddiVi1Q5ZKHXGhKIh3qPZBL41SVEL15gaQgIOon7Q9YK
47odOJq/DZe+Y+n5MtRLIOQWfYmTCJMfBmaB6eByittl6csiiS5gS41bloYkVr3pq33BHQJcFnpe
GLYd8ii6jYf+2ozr+AUPvXZtMlyxKfGtHsg+T8JDGOXcN9wGovHCRHhanozB4EBSC25MehCRLL7L
xEVQEUQTK6OnIFiLnvkwQO+B4ZbiIsTGsQU2Oh5Uk9mLLArdJbJlXK+rYv3R1nkSjEDq151lvL0f
If8/n6UaQ+cPrF0kQn56nOIo/e0ubl+K4wP1wx/+80x1v0z5QyZ0bC4aRg62/+6tbqZT2/liQ4gA
d2bIb+F0/veZaphfkCU+RRtSA+E5ON7/PlSNL6BN4QwGPxPkEpgB/Mqh+rG0hJsr2EWTTQ5F4oAO
p9JZd6+SrNU6OH9tRraaelluui+xd2bNGRbe/IybxmHIikA5YJj4Z9Zhc5ohLtoU4xQyXjIe4jZm
xpcx8u49kML38VBJ3N9xsz36Jn/UEMc1A2rk2eEKbeb7u0WHjpo6OB0fq1lm547oMi3fVEzAAKjo
ZYCE2FXUgX9qpmLcJ4rqnkjJoa70t7xD5nhmwIxdswsvqsguHdInSsc9b7rUC6voIu5QcVdT644m
IPGYVr63jRovD7hlzsm66ktoqbhl+iZu9QHjlbs2UyBFbYLTIIz6cRPxor80Rq27YRKNgCjPik2o
jc2y4eN9Yqp4XWWG4Qt3YJtKb6xlEZZ3qSXMteUmMLN0cmuJIgaYvwEzZMRymwvapYHhCuCSaDWp
CBdgo4ZHgwqr7yBx4W+2ou9N2QvAH9Wwblz6LelwTCHDw4a1MZMrpqthQUhNV3o9bEjZO+hSICCt
N7S9o/HYy3Oy5EZJPFc6u1LiPLRitdGUtRIxu81wiHqWDHdWI8S6C/GuCy2+7zQ99TSb7ztEaWIv
R7OkL1iCM1ZVXsqK60JHNHyvJzdNbzV+lnUvdSS+ET0G5VEwbdmi2QUBXbuMRwGVXqaWA/RycKLI
r6SEiE2CZw8UJxl2DXTb3IPmx9k4bQ9CfbPvxmrcVHFM/LZNzG0Jg1mcelmsX9WoQbF3MusiNqto
Sc1eXNmJZS7HaEAbKSTXveAbA0x1kN6e0kiGy8ppKo9l9LV3gE7DhQDIvxtfMKu8zBVEvmVnruMi
x/ux4q8mWvbewCtkp3fhVcRZuXBEdRtZ5UvBYW+bhuj6oh0xeZAVyI0aunRlZBOFj6LfpmUvbZwa
u1iIRxrnAaDpJhhDcaGT+JC5or9INEddtBQIFqxWEyDV+gZfJPL0uAIIKfkiRTMFqedvowJQ6rQo
fXvqBEURXgOLeTUc8wBe7MHu6VXVqgLFn7s3jTJZdZo9Bf4M1SOxytw382pViN4CaDeuqxT44lDG
jh+xDDCFHdoXrjNGEDuzH2HGb1hrLBgV5rJTyZbzrlpoHWceuHz6oqrpk6tDXk+luyuHBJ0VmMSC
m5R9lWl8yYTcdyS8Fl1xmzeC+TU01d5I+I+RGIgH1FmxqhzqwO4VtlKFsniQm6a2cOI6D4ZQrrpQ
JcuRF3TPBqwkGUtQJ93oR68y0ErDgS3gmEcD2I6gSqXWPbMhDQn1aptE3LpWbpoEWIdxQCpdh/xG
GKuWiEfcIa+EAYs/nNcrfRCYcHyI/aEYbnU4I/vgcFGfFy91FtTE6i4NQRjQtPqStuiTm2NdTWxd
tcxNkb/ZWTHucqDjy6YU8FLg8IxpmM43o2aUS61BgZwP6WPjlMZjC5dN30qQjBfKg+VCMUZ4/YzE
C4W2rq18RGJkPnQiMZKjdB1dAESBaXrLAsZghh5F8HMy3eJOkyp+VFN/VQCs+lqiEQcALi3QhTGG
qIYTqgVVl2kgrXUoq+ahKIqnhNRbrU3X1Qi4REGle8AOEmKXQq/Z57BAh7OORRaN67xqYZRsSYOW
pIceXxfANr19AJb6I9amIrPluV9JSnyt61DkiYPmorVV9tmekOmPOOSuddHgKVs4K3RxubQVWM5I
hw8KG67uZp6xi64n6G9V6hZHWQmcsD6XUvcRvplOwI8HxHRCHsEd4ApEqcqnk4kOXgnkDZnC60GM
y1+vlP7X4Al/ljEGBVD3X0MK16h+ot8uZ6DChz/8Zw3kfIErLij4iOgDDnCMK9AvFkFoCHVdpsNb
HijQn7iC8YXCOR3/IIPSgEExjnY0spoY0ID+BQWFjVszIy7Yuyb5lRpoPgOoDWcemDjhL7JRhE0A
xvEM4ASSB1VEcmtX6GjeFkbp10Bxj97MiUrk1CCmSaAJg/LaxT3/4yAmyDrMiaD0GpDT17iIxsrK
HfLq7395GDwNhmCWYUN/NquzCOJv0SgWahsLdBQkmimXtXv3PxtjKrmOVkyGYw33l0ptB6RoDp3u
W/3BFOcsGj7CkEBFQJCFAoliVjgMcsIZPNi0BRLEW1tsR/RKcCb2NwOV15qKVjyOVyZyjc/UisYE
Qv+NIf884mwelIlMwrpmFVIO2ENUhhub9c59U2rLsZZrCSbOcuDJlWJ05zQj0iAGV+1UZT+xrFTB
5+94JmN8/2EoMlsQieBCfwoO5MeXrElcVFWoiW0YpQttbNd2FD06CfNzgF04NgePgxlihuqQ5iGu
tM25mLCf4TaQ8KF0QdikTRE4ac6mUl7ayJVQ+AkkLdcRTtE8G7/V2BhFrz+4oXUNBSgIQu6lHtLA
GlkAk6AlZ84DKtuNI9K7pop2eoioQHR6Edu16lQUDKa+bbR6F5XVAqwPRGsP0hutcjMMdBEn8vdd
9wPUe1z/WydmEW5QoHFPOfQECegfX6NZ8cpUdYdvmnHlVyFDb6ldN5RNZK+FW6lLoyw2wmoXDNnO
A0VuaJkGtiw3uK8Fdqiu6kFfSB59z1MnQK/Os8xul7v2PfYyDYWFsUzaao2YGgSoqgvhpE+pbexg
/nYIR/XNhHjSrIBRCiu/1AS4dnYebwAw7HkULWxtvAw5IgYrMNu9hpMVZsJVhgk30GYFKs/NMI5L
lZRndC7TQ88mOji1090S4ayI3Jh1Y0IU61yyEqpTmy/RHLp2U/fx8/k7tSR+GgJZ82hKwT8AhdnH
926E0BuDwFBtQU5FqdDWy65Hsm3EViKjP1wU6E1krMfSOjPuT/c9bBvUgqIDRmtg8FN99sG5Y7AK
PlLV1hodMCRQ5Tf6vi3YLkkY4D+qUDx2ezjsXaD/vm4hKADrrLqtnPhSGvo1G8iFZnarxjHB2NOL
4PPXcnI6UkSaQV6JoFNztqkhzGwwBbiCIDqhgVPkHqNZUOTggmaTD9zD56OdOHMo3gLi02CEALXB
bEPrjQhm7RIfoes1mGh9a1D8WYqe2Tenk2v+qXGkQSePD23DLuLjp0YZy7QObTXEK8dBbycBmvGg
iF6maOt8/jyn5i2mkw6zVLDRdXv2PJiyfdbD93U7htV1FZl73plnFHDWqacBUmNPpQAOoHlPFOlJ
yTBAdAQpvrwpaHFhORmCOuEXHGccGRKF/JoN8pstq23OxbNS7Nro2L0kCJJ285cGwO2QjwtVOEvL
1TTP0kew1sHaMuOA6WinmXa6CYdoCaWZj/bw8wRde2nH/X60Ms+Q4zMQfIS9M6QzDu2QQObiPlGh
fS1agvwrFX0lYWxfth06E5b9CK2cvbWVNvqhq0wQA9srM82QbSKtc4HdpyYvkilhA45aycI7mn3o
voa02sW2QWwFyHVySruIC7KYOKJIvj3THjw1eY9Hmz7UUZVB+xzqeqPFa3ajZ4K8Ny7JzoUn5Odz
6vQwf++FsxVZlwZcaVvMXju5d80YpKLDkJ9rdZ6auMcb7mzi5sJpE4lbDiCIal0opISkv6a/+b1e
QFida+HDQCPjzoYodU3acRFXWzRj9oaAylUaN7/+qtDJI5MCB/XYfGlkTTUWWRNNdJBir0jz3MfT
XbOp7j8f59QSnHbxSXEAzcu7PPLoy4/FAM1Bb2BDiYXvNtUhywvwj9IlgPozjzQdQ/O9y3bgvjyF
HU1EiI+TjFmta3DlYqhWvjZWHS0TN7kB6fCmjgc/Nyk6Kk72y4cAggVdBAhA3YkGuDU7fjMBfL41
arV1aul64PfAYNExryx0jIhbg7HZ/vIc/zjgND2PXqjgPZoTWoEzF76HXoIWn0OcXQWA45fX7MeB
Zmu2qfssR/xoB1nvsITikfhIGr1y0yw980Q/lxfTQEDAAV4j7cSerVo4B/LGIbna2sic9NrBQCvH
zC8KI19rklPwr5i+FBr7OlrhuYbtz3MGaWu4wOlThxz5x7NtcAiHhIbwS95Ce4iTgcGp88ngoKuX
N5l8YMgV+Hw5/Lx5fBxv9lIjUzldpHq4TEUN3HebO1AezlRNpx8JFStaCvAtmW8eIgX3DNUarCWY
u4eXhlxTTpCsOe5DFsUglMIHrO5+zdBy2rLwYNB+467GCDIuZuvAarmyi5LJLS9i5iHXBRxTzs4s
tvfP8XGJYxQQpLHegCWY5jSVjiZ/gqsajTqY46lRiCXwpmZlKlGDydfZG+kqIG9Wgcyjfq3QXF7o
GpzuOtYAZ7PHlRGqC61S6LPb448qy/dVoj0JmD15hQUL0BqXxIgNKA3qg9LKTRfF30Xan9mkpg/8
yROQWYE1tWdqx4L+TlfRJu7jCWsNUgtCjco8J7M8ORaaUijaDfAt6Gyy6fCHg7UFsBDLKr2WGNB5
d15KG7+Izpk4/Xzy4sMcDTW7X9a4Gjax6VSQ2S2s9rnWpSfVLznD/DHFjsaYJv7Rx4eiTatqiccp
IR501D4huIGdI7ede5DZDBswFXrQ6+RWDf3ers1nAl18Xhubz/eB08Ogwp6aaCjpZ8vFsSKWgLVb
bxlyJBtmLMCxvhjHc05Rp4YhIKlQXFLgPTAPruvDCtSBIuvgjCtuQLIMSJq+MtUdPn+a91N8PqvB
G9LdqdR28D8fP43RGriVGQyORHKovybJIJbEyZ5MC1TLROkPSSk3oh/uuMbTQCSusexrgXh5M3n7
/Cc5tb8e/yCzKV82yOAlEssLUbwXtQ7KgUXvPh/i3YHos4edzXXYLao+TAe1hasiSImZcJ0rqAL9
3B19GVuux5ockrr0EBedWrhW69eKQsvAso2NFMalo7WDT6X+wgBQ05qjCZhPAo8+BNc4hJBqYAgz
cTvfrOjKJeHGTJp7w0qDMmMrs2heCbShiSUQ+F7JjSYykMANEIxozB60aLDe+iiBBq21ik1fJdAw
wzyrY/KaJ5YdsIR5kQ3y/+gC8RAxrN8hVKhKECsIq4DOw60s7LPKzyGe5EovQGWlD70ml43p/jCN
2Mdd4mtnlN8pxGiVm77hfrcGirSoObnpWGV7eua8Qh7zxh3rpSt6HDlOtLP5ADlOrS4RYr4xctRi
cbwG0/KxFWBeu0TA/NBaxswNqED3U6BlMKCdB5nesAUkYS0g63jIbTuAdO5bG48BytU9mtQrYYk1
lE+HDPGsusb3ReNesR56EGT8nkuSPTW7YNaPXD2GQwgJcR+neTc4YVfr+uSPLs0FlMWQnlTt6+fz
69SuDXwLHW5w9+CZO9saEHoF4UcN/WqVX5DqifKHWoMSKfo1B4bft1MbMi68PThnwMjt48PIBDB2
08FPOXO6C5AF7yrCviuZ+58/zqktCOD1FPCCyhxO7x+HoSl2baeEGVGilICfBL1rRLOyHH6m7Dk3
zmwLsmORDqGNqJ4iH3Z5nKy7FKR/rTuDKfx8b0aRqE/Oq9M0AGno4+NUuUGGDKmE2yQf97ESa51K
gjZehMtNWa1ID+Xi5y/wXZI/32+wpaJCBlpiw/H145CmmYuszgmY3aMdBuBSDqvS1R5cSEbQeb9p
K3MZJVgYeekPafgAyu8AHS30vQhCgGIjjl7bkENVYa45p21gyH66iPkMVVLSjXuXszUHTcGRHYPy
1IKVe42+eRGNl73ukCANneukgLghUnKl57FfYkOAz/yydcaNwwmgkDrxYJheL+KwzX0w6sm96/JV
GMW5p9pGehGuyF4bJa6AB7yzScCM6sOi/crTYXXmZeFd/PSugLVPHaYpvH4224aulxBNlnJr9mA3
Nnn7FhrnXAl/5nii1kVjZiLbUwNXvtnKEY5m9IJhqkHC+VA72jMcQDovhnbQi6MWxSP0X10Pw3lK
tlqTbaAKuKor59aI0ivHLlKQD8Nl70ILHGV76ogh6Oz2hnT9haJmAriJHZoOH4Wn4DyG6A4QkpWB
afUqCIecA2dEHgMunV+tOnaCRMKqrkTTe+OE+q6IICFTlauCoidA4+U5S7n3KJSfXrGDQ9ay9Amf
mL1iXRE9on2H0kUZr2VYpQtlkEfAq2JTGUV/HcX0DalVb6JGLMwwaUplP8AKkzqXbseSWwO8vtxL
rBRnG7NNjwhQe7MyfszQcVsjUztbxCZkJJwAc+S0+MbiEl2S2IEU0wm3sikQRVX0tm+m/Q+oOpYd
Gw5GAkacHJNVr7rrEX2lz6fVe1n+00NjWukmWNMEgOXHNRizzqVCh9kyaEAc9BkIjPOo3pAMqi6E
y69wNKeBGikyXEgOAwmdPlJROB7N6LZNOuKbve7XpLpMLQvW4fGTypwLWLW+CZ1cljwO9BSXl8Jp
A8vu7tLI2rUwhvIKocB1pL0F3WXXTiSTMw92ctc8eq4ZZpLSGnalEs+F9uy+0MiVMqHRivk5APDk
oWbgSMOtDS9wfqhFQzZhwXG3xd3r0jWy1M96tihs7SuH/+znH+tE7w/r82iw2Qx1KJThyFPotg1i
jP0xFSlKsv7Qt9UiHKwf1uAcHKVD2Eu+lvbgT2JRcJEDSyP3n/8kJ58adEDg9iaC1udxVo6d6S2F
ZHMbVmUe2FGvLftSkoCG6LCCwH3mwc8NNzsoosyChkoDGRVp5msr1J6tksBQhkZBFo7Xnz/azMbk
j/KBTNcXBiK/rc8uSrUGIKCtYJnTRoLfuB2ItRA071o0vDptvEJWzR2u8alXxTV6yyAbfT7++4z5
aUX+Pf68FhNijOgYYXzepsYhTotrmHaQbcjsQDdzMGpb7UpzEm2pIFUEmRBepVm5yfquQKYJ+PRl
dZvVdI2MLvx44NSh8ZfBO0IPe/CS+PCNZ8kOd6r05fOf++SCOzo7ZgvONqmJk9IAP8FGN7DLA+rU
V65iX//JMGhrWjDNnvx7P+5Xjas4COtY16Tjl3lhv3WuhDQQnczPx5m+8k9fAWDrn+PMphyQZTvW
LET4lKV77YjwG2P9bSfc26YLvw95ve667tWo+3M42skbpw35Cgqj6bTXZ3UYLgqlwt7ZbCOXP1Tc
TIMikwso/SNPa8N4oeNuDcb3A42MrzBARHrsyEJQpJIzoMR7/frTG2AWbjkTLIWE9I9vOtNclrY6
CN7wEkl3XaIRHzYXKdh7wwKBvCCOEefFSKJL2bUiiN0CZLm+BS0f/Lisv6n69Nvnn+TkDJsIyAgW
Y0B+pl8/gkng7FtwKSJAmhQWGCXMv2G3sbfl0J1Zgie3m6OBZt++hSFX3yAGaysyeAmEzxpNsHyW
ZpmeuUJMr/CnV+yAAoN5jGy2ecWh4AEk8yKV21aPbgwQYUIKnmVo0QVl2neXjT/+wRs8Gm/2Brsm
0SgHcLrt5aMND5ySvNrduQbcybf3VxlF3dnb41oaaw6SU7eI8VpAlYOEpkgtNLMGQ8/+tbTZPzbr
o8Fmk5QYUSnBQ5fbwnae46G8bvJ88flLO0Fywal7NMYMnot05G33RlhtIaDZa6BI4AK+l1m/E9Bt
h2yZZH4Eo5ocNhEl47efj/752wT4/XHSQy+KLlONNV9DTQmHoDLykC55ldHyJpHpGYHqyRX215OC
B/dxsCFVMU/iQm6HQj7rZR/0rgVNpT6eeajT40yTHlcNitLz4zhO1NpVLhq5lbXxauYxKMum/jgO
7Zlxpi/z8/r6a5w5Jg2ba2kP8YCpWIVBLHhAU+LVkFbryvbi9r7nZxbYyQHB6UB2iY10W3c2VfJa
d3rholM3VtxP+YMZv9gSDkny3oRHDVxm/slO9dd4KDQ/vkhaCwMUjgzIcacflKSPpps8NmWxsiJ6
Bh84uQwoiIzgQDrT7XD20WgWGtkQAlZpKwS+1g0oA5AErDvDPBCp3/Y2uSO588RVtlZ2vutgbPP5
Ujh5NFIb8krYXk50qdliFxJ+NGUksH3FFluUGDhz4pXUQHXKwKWP6KvM02BgNv6/GFZDdnVhRtbD
5z/FVGPP59TxDzH7xPCAgU1Ehj3USG0fql4vKs91g84M4cy+qpsWtGMlsjDKsdtxXW1ceS58+dQK
PHqKef5AApL7aFCs9IiVL8iBholoulK2dUZQc2r3Oh5mdmEZaF0ywbAAE/61V9F6hKnJON6XfXpm
bpwbaLZzFYiLg88MDh3Yra5gEeZRAe+xPrkvHWP1+QQ4ORRsjx2AJS7q+9nXKYYJPKiweTG9uhx1
kFgrseib8HHk6d3/bKjZ5XwYGmVVYS+3odUhr7VcWIna4Dq2QOb95p8MxVBZgc0AisH01EfFVWPB
9EQ56HOxap1IUCDbDTeeG574n49zquSBOdpf48zW8Njnrlbh3y0LM89q8yVX92m1TinkXMOZq9zp
L/X3WLOlirID8OyA3RhapH1lpWviaKu6aYEoJmfm38n1dPRYs81RJUOCdGy08LJhCS3zwnTWEjqQ
z9/dyUFAlZrgIxDV59SWWqV9o+A8CaE3pBHRG4YEcrL8fJCTHwhFtm6AuAAMffaBBK7YcdVjf2vN
JzMhnmG9MUC/UIX4LTfXvz7YxBtgFGRI23y3oD+adWikN9jmUVqRuPZNaNd66GMqzV1KGDLl45nR
Zimiv1eLx8PNJgTr6xheOrjSWEmP/B/rAkaayAk20nVbV3C3awCtVilfx6n8bsB038slSGNufUmS
yfmq4K/E0S+zULtmGliKVOfKy+y4WaHPlXp2bdl7OG9+G1nswMqwvFdIUlxXZLQDVQ6IlUYx1UAG
5NmJIGhNjdVihEZoCTDgqekS/aLWSOzh5skXZdn9gxl6/OyzGRqN5iBsDr5SRK41hkyUDOJzdY7E
c2r2HI1izjbH1NYaC55z1TbWtl39LBBiY2R7ABRLy8rOfM5Ty+F4rNnuWLWGRqWTYCtJmqWdGl7u
VJtMnou7PUHWxT3s70k6h/icNG8Zj9A5d21We6Xb7XQLE6WmhX4TQYa5sSJQEOA88dXQytgTiYKx
FNPu4rq+hr/UMotS4OdkCJRdYd2y4Z1X/Q/27+MfcnYADkYuuS6wfxeVFpSqRurws+FeDrk4U3Ja
J+qf44FmB0WqqqbtsxrCPaP3K2wQbtueGeLUvn08xGwLStuuLhuInbYOQmp9Q/SBCZ2IIdIXjZwL
sz83iWZbQl86Fm1rPI7WtpGfJ9H3FDZ7DTkXWvFOmp7XjUcPNac5JxAaFpwSEEkKXD6EY6/tsNk1
Nr6RmS8K0EtIDL5+TDeN2+ytlkIZiSa2NJIrJqxd1ecBHFu3iaAVrAFKCOvHe9s14bYDfe/nu/Lp
9w9CimkzyBHmCGTYCh4NLq+QHENWsLIM5QZuhFDI6ovPBzqJtQJcIuAAmzBNmTcdM3BSGG8YuN+w
I3PMW9MosM2Cj+xOGsZuBSFH0BbwrIzOHdgnnxEBYCZYqIg/oLPtsKhzZGXIyTVMFl/hKHyBkESv
yuInmZeHM095kt3l/D3YPKAiRpCkFgqJ3Jq80ReO4ZRe0gqmfC1kmd8kmb7q03HXtLAabt1mHYZV
sYuSOjC1ZpnBUbHumoAjigs+b/Vtzvk3zZxcPuPW9RKRr/oYEg3L2tatukOW9dLEQW3grFuRFua0
PLRWTmesCRQebWaE32gDt6m2fWvgyIYJlt/qsfFc9PoAIqThQGYuQNxwYfsnjWXNx4ew1GGexn3e
698ky77bkhz0Ru5GUf/A6rwENWMtW7kbMmR/NHaA0LTSj+C16eTlIirN+9oxBVo+5YGZVA+UZLDk
A8DmJUYCfzWLv2mCt5eTyhP+m6VnMyfAD41s0fye1QgGsIbiibtj7xnp+E2vkbPCS7KowMrzipCu
kiGEKTUM8GRGeti/aHtbWQcrqhe0FTDXaqq12Y+vGRQTCVy2Ap5F2QrenPCVS+CKrFf1okj5rqwG
ABGt8xDl+TZxw5XD67VrdLDNIPIm4WL//0j7suZIcabrX0QEILHdArVRLtvtrW3fED3dPewgEIjl
138Hv/NMV8l8RXTPzVyMO8iSlJlK5XIOw+ydQe2AOckdRVHbS2NQDcY1kK4Vk+xQJ93hVmebTrVB
jjrFR8Bh7wB6KLZWG9/SJrvJMhhRapiJjzKY2PYVcG/yyAESHCNHNUtXa+xL3hrsHICKQOVYd2Zv
fhZgNVMYZ105j3KYmo9s8V+hhifYdf3+yLl/cm1nQqS7ByFjpqNvsQmIGVV3Kmk44CvVn2Ej2k1R
aK/9IFRPs8evTufsOpCtoXzV+eir4/hJA9rlNX9UlRPR9ENNcXVZHWIkxGHZDU2i+4kyYEaric9U
dhib6bFy+E9n1HZTo+8TqsSbWglPraL26K6lu0Rvj3WlAKIaNZsmA+YjACNCHY016mhoQDsRe+Dh
xm5dpYeSd4cxSvlKqLXgW5AwB1QdBoTRS/MpCJq4wkoHgQm0ywfwuJ8w1UuKU8RW/OfC5TVn5tU5
d4yzlR110g0Mo2wGYjrnFe1Dbq2gFEJW3vALQvRz5yWFWUqaNq34aNsBNQfGgjKvZNohnuha2kMi
nPonPD9zk/qlsqZEHwrB8DaM+9ivbXv0Ox6j7QpYO7uERG9Att86KeZP4lLHafY3vV0euEoeJt6/
omggAmpmT/Cb0R88vM63gFz+MGo3kVI4CEgqkFt1NvuqCTjdJPx+3ZAWg+czO5r16sxYgTg/ROXH
e1U1PaP9yeppO/VA+ElgAMrTdWGL9R37TJoUZSUNVQ3FwQwayo0/WDtsldQ80Akw6I74kpqY81fQ
9gAqge4UdsMt8Md9e0zvu9B8zrJwd/3XLCrZ2Y+RwrDImGIyWRQhH4vvDdA3ao31NOjVn0TJFM34
qN+ZBFArlzs8GTmy9CksM89xnSWpm1G+D+3GHco/SagAmg6vdKJhNFwepS5FkhOlmRDvAeTe6F/q
8k1JAp2ulOmWYwsLAwZYDTL2cineMKq6SDMMeuX5cIxi405BVRH0CsMrATa6TsVuAoux2xf9fiJC
d1UKKPhKfG/U4t2uhpdIFDO4Cz9RALl4ecw3VpnvKRDO3AmoD6IunzgIxdKuv0XLz4qnXA4Az369
pPI0p2NrcAyyKfjRiniddMdL0cnucAaA9NTrzNzTRubGGE67rnHzzffp0jqTLKl/wcyp7dC0HpjE
erJY/GC2+fa/iZCUGh0LkdaDNzkgCn2OqQqI5Xjl+JdXgXPXAcuHxk0pjM3tBmR4dsgCAPe+6EP6
oAvycH0Vi4l/oD8hhIDdYNpdugCKNAEs+gSjIXHyDXDmtzrohmte/pWKZguO+GPixBsjHzbEBJ1o
hphr5agWnQPaMRzQA5mAd5R+QDTUUUITDNkPQn8c7eiOt/mu68vX6wtduLYBWAWIKYzqAI1phn84
d79jFDGFCVgSgJxTVx+6va0km1IzHxTbWVH8JVc/rwhSqDEjIVzKohrQXQSB9oWdAfqI2t4CaOAn
2Df2Ux8BbyRdcXxLW+gA0AoJPYqM2ocXObtamqRLW6fGAGFKlW/xUN+kdjnD761NZiy1KKEvCP2J
8HtA0TIkgyZjB/4rEzpfYwIW+CjoEgBsnNp9ibTmgGj3i60o9/2YHGPQi6S2+QDKpmfeg0zm+mEu
/xDQGFFAA6BlQMaYiDBVboKpEpOZcfOOaO1er7OtXYKOcLQe8tzZwKg2nLL3qicPoh5fKkPxwXGy
MsX+MYsi+RmUOf/9HfITt8cAST4BMyCYyuYlswd01FXfgQG+GQQqLwBO2oNFCHlcAwxVpXgH1IDl
MrXahQkIensS9CaglVuR7GpKuG9HUzACThbvheiuMYBXiKdPrVWvVlygJ1WlD+oQ3cZl/ZShtdWj
dQakPa7sQycBx7kT3dmNgu53/m4A3yp0ml2XqUea2EhHTuhpKh38U0RavKluhymNMC7WfUEZInVF
kYEvAzCXkWoAemr4O2vIazxm9zjnElO9dr7LgdEvJn2PtpE7YDNRv69DNIi1ZNOL6UcfhuACJq+J
MT2ZeYsZ9il1WU5WFH3BiAmGPg1M1xMAqcmKHpZETQBlgBiysfexku/VCQtsVMC58ZWK6IJNXYiS
VB3sXqCBqHB3Ye1Kiscgf7S1cnNdjxccPIQgjtAc1JVmDJkLp8RjkwF2A+tJVfDkaFntKVHyB2Xk
CyHzjzjzDmhrHCqVIxQsLaCD1b5jRlsVZU2tUlf83lLUeSFq3tQzUYOiNXqkFk3QG8C+BKlRvEmA
SfpQ1gX4jRgSBqbQblJDeasGvXPhazwnBq5Tk3qxEQFoyVnpeZgvYdk+Maek4fLEf/UPgJGzHwSK
Oq3R5pAQiSBPZBx078rOZNatRsrWbTgBoRdGX66f6pLqqFQD2CAmFFTEbpe7MJo5Uu8drhqWosed
ps99Q74gV7OiPEtX9zwIPbPlOmhoVCU5CSZNgPmM7CbR9Z1u5HtDV+5aZbgn9XjfxsQ3OudVqcZD
oYQbM1wDPF+45YiKzjHsKvJsKpX0Kk5rABTWDsbWC+XRGAwQilT8CJS2I8ABQEe9Nvu97PQx8TH3
yGNYWh7KjgDi1jA2Yr3EfkhRmAHHyqkxQPYCAL8i7rYqsGnCht+VtnFbJjqekVkFhzWsnO+SFwIA
BADrgXAE0Akp8qNg7suHiuIGJKD+IvrWGsVTDb4fY0hWCFwX9xgjxiqGNhwsXYpjq7TVnKlAXlkB
OFjeAfE1B6uEDtxCawfIxJVrddEdaVQjGBIwTFjfpeJOTYhlmbjahW0+CjAnlM3wfN025jBLNshz
Dy5lAbIQabhq7DHpIKq3cLRr3I36A9Psp9CgbyEt3oBOkmJMql6xlqVDOxcsudoUhsqrGMVIpsdg
PbujnAIGznEFXevxXcp0XFwdkmGUtO8rniBjpsH/MTSmh6rpAy4SnZPkp1IW910d/ehJxl0BrJ5I
BcUP2nw2HHAaiSb+yiLFAy5dvaK1S14J+X6MAVgAMLdlnIGK6mE7NMjGYwhiR3MkXeq7sF5zSmTe
x88H/OtKk5ySKjoTOoQrIOqQlG66aZebavcAjL1NoSTbvGnu8z56UM3UQa58eJ5a9jiGygZt7GB3
y6Zy4wB9cDsNZQdeD8XeDlH/zdDS9BZ9fOmGttGJgIDDTaf+TjTMp1r6FKoAzTAz+1YD5KGvzogd
YDLVD0CSrE+FGL4CY2pY0af/zyn/WqhkmmilS40wHxlwdKbWE6P+xojt1XrVYRniVCkpkvNV81MP
VWSpM7BOgNBgPxT431EVnQA2/U7w5jp0U7fWSrBoxyhrgkHYQGwst3sAeAlhkor3ALoBv5tKc5uZ
QOG+bsiL9nQmQ1p+1Bgc/VHIPffMOOqjurcq7TZN25mebI3neW09ksPNRFaoSgwMfJLW38Er+aoN
Dl9Zz1KkgNY+vBEBEYzGesk/YByA5MDDQ1q3r/9Go11QJwII20P+yhuxrevmW1VMu+t7uLwu4FOB
5XkGTJlN9iw64SzKUwCaQqZqvOoCgGB5txIALVk9op9/RUjH5HRlDmjPHseE1yfmuqlbZMp+LAFu
+1/Wgif25VqyDLY3GPHcjsM2k6FuSajcXxcx/9ZPruXftYCC+VIEHUbD6ktUwYvpvSX0tq4P/fAC
Bh/Ax69Nun/YyDVh+qUwRLG0nOZ0Leabb+b3Dpjn0fcBIloMZ09u5qSAcku1/UjafjeKKAQvYbHt
cXt6QlWPLcgOOku8TSAxy9A24lZ24Q1qgym3UHxh9bjLimTfEoBiReXWmsEbpmjFRV0/eyAxXi7B
4UmvM6ATI/BP96CaP4EJ6pRM/e9nqcgvFUPn5qWYkDNM04EqKRh5fC9C9harZK1ovbYUyQOYcVmB
KgnWqRfFAYyrz5nFTjEQ6K9r2JoYKUkEnrywqgegldWswQSp+RCC6sLVQEJzXc6is5mhDcAzgHZX
eS5PHUel0jEGFDTg6W3AEZEIdohREomp4zWGHZioHF4XuehrzkRKyjCWqohJibJ/7Wh3UxEeeKT+
wZMZqDQUUwFgEEB+6FIRhgQTG8yEvjU83SiY/Gdhdh/iPXJ9JUuHdC5mXumZ12wjhuhIhUvT+3Q3
NkrrEnvcRnnydF3O4vtKV01Aspoosepykj+nnFcC0IpBx0O/H2jgRKBkiSK/TuJnJRkeW8sJIgQz
YVebKHerf13/AUv+DuMwQE/DRY7njrSfaQIS0YzivRM10dchi7fG4NyDUGITO/mmTKv9dXFLN7qu
Y3YVcIzzFM6872f7qvQj6VsQfgQgH78JO/5SdcNrFKkecJU310UtHuGZKClITDWUfVU2h2mK8Frg
r4PnD/SS+RrCx+IOYgoB5VMMMqJ4f7mkTAWsUDggiQP0ahBlfwXaO9EAjQ8CNIuuqOXi9uGUTEAt
IKUjv/oHNC4I0kEtDdH8wL17o/Jm0wjnrs3NlVfhki3r1NaIhSk5ZDolW7bNUEubZr4IjXo/9A7y
ftYfZNrORUhG1jsjLVIgWQQgNXpWQF6Jnt+nrkRLylCLFcVb8oYocWGmAhxNeNtL2sCKdmJ9gzzG
lIJYHZBMEQDszXvRWRtuJl8yUESTaPx+XQWXVIN8UEEgffEZMtJJ84q0FeCzxki9qZvQs7jmtVrQ
sHpj92tvwkVpDgDX0C8Ag5ZzJU5SKXBQsK0RLTgCpEigjDRQfaAHcEY8gjz65frqlgwMM8szJKZj
zYOOl4pf0rSmLcUEgGjA5ZqMHDiy+gAkOWPl8l86OwBLYHJkToXYMrgteiwMHkaw5NQw9lUdH5Ik
f7dCkHX306ujTKD0BUXR9cUtqT/UnsJNAQINhOGXiwO6txU2YJ8GZW10U9TVQxsqb9dFfCAuyOEf
CryAEjXxIEBC5FKGntcj6yOLA/AKfXpiwnRyxLpdbbUHYqT3U8afkpkhGNCNrlHaAZ+inW5N27Af
nuo0BjFCfjdVOaogCeCR+tR+a5zuzUqZrxmsdbsYY50TcC5g5Zgc2hSk2VY9c3nTgCTXACrwtKvA
7uw44iE2ATzpJGioyvQUZBhgfRgtq/UqkHOgSwwQzMDABz8QIPVdBxMLeRqlezMmHSgV6se4bHeA
wrvPx97Ph/wWXd++AhojNGNPXgwWJbs0bvJE3bSj8TqJMkDO691G4dwalIexq+8qCpyCVn03Yw1p
9vqGDclfRaR8sUH06Wki3Kljs8vQO5A7aB7J+j132B/0jCI9PiMkzW8z4JdcnkaDMoOS5zDWoSKA
6a+Ug442MTXLQJ1SxCuX04f+SGcPjHi8mym6CACcIEkDfmyOYRM09GUKWiTUlITfi0EX24nQY4p4
H0TxYXlojTY9AUoZwBZqBNZq3o/tm3BiIABZxmsNjJCusPdEx/MkA930DrPcT6YSPTQ2KNAxVvQd
/aQHtKjrr2iCu9VyBird2kHlykHDRuEAYcIMDR9TUeNWYey+bEzkGSfHq3v74HRQu6lJQQZdkzen
10GbpligLDa14qmfuZf72tSBCqjcE2ih28TqIaUdQlkw0uZD8Vyz6YW1VeixjgZJM2h3seockg6Z
DBC1+kLV9iDPduvJ+kYAXJEZaxgDCw5qhgM2LcMC6j7ev5cnijZqtS17BPR5nCMK0LZp+5eRrDx+
lxoQkKCeAyjg9SJnLElBZx8yXuifCIYBKWLQzuTosYSPR3UWDF7JLR34z7ICUUxGQXRNmiJecVVL
OesZpAiARYYGtEi5AEGirAe5ucMClGAQczRfmRHdNGCmn1L9nbPmCZRILnfGO9CNHYGXe8JXbiLN
3l73ZwsuEz+DztAyKPJjzO9yuxsCi0VzKG47vd/kZX47ltbKTTB/QrYac2Y3wgAfuBLkiXInKutB
HSwgI6chASd19U0p4SCt6hApzZqJLslC1gRNg3jW6h9YZ2ehqtULxQlb5N4wT78narFDFyayrfqp
d9ifLAtlfLxrdQtZfymEBIp4F1ZwaQHnjd+W4z0Aw3cRnZ5ooawoy9IhmWeipNen1SZdbjRIv7dd
8ncpyHOLh8ZKmuYDMv/XMSHymDsEMPwzY79a6BeQIgMHIPQ9YjG8A2NtpybFax7S5y6rDLcf0YrJ
uP0tqseHwXkrBWhhiu6JqiG8C6rFiv6i1N2WsW9EY36jRgctf5lU9QCmx02rgkSlLHeFpm81XryP
Y+Sa8fR8XY8vlezj12P8FkNf6IdBVUtWssxKrUzv8MQESAAId5h4rOvoYQqrGAyB8e9dOx/SAA04
BzfIn6GqI+3VlAFWsaU9C2IxBHFb7Ttw0EfGz1hvVrTs8uhnSYhlgKgIfl2gdAHX9dI+h77WOrQO
DIHCK8y4fqtsZ3d95y4d7j8SMLSMzBxA6VW5klQ6bas1ICQP0BG70QCVnXhhnaz0QywKATIzWl7Q
f2cZUtSEbEekAK0D47qjtjWTe1ajD4VMKzp8GUz/s5QzKfNmnlk/Zzqf9KIZAj35WpvRezaA4YBU
N1PVPEblSiT4WeNwMmfC5iWfCUMbsKBZhJMxrVt0onvAzI8wW6WtQYOsyZn/fiYnh74rTY2t4xgj
S94NegRA4XUVWNw3CyD5YDMBDaAlnU5GwDSOjvEheCUkQuTphWi/a2+stRlaaZT7nwM6EyQdEFAa
TDMHzlXAouPc8m86j+R90nbEeqXaPfk99P/P4qQjAmefo9qAbAjaPcipk9RPoo1j/7y+eVIs8VmK
dEA2S7JkigosStQHEnUnB/lng4Y+nM8W6QuvHymqPvwuVJ3fSi38TzSSWnNtAhxF0h2ENEBY8DEd
AgA3Hrujv0Y7I6ESfRYg3TxthGC2xNhkMOkgESFPtNl25e0EiDeWHrnzouu927a36XTo6lOvnABc
4V3f3kUHaP27RLnZvcT8M5r8oyEYafQ+YURE6MnddRHL6v9LhORjNbvN+qyBCCoOuhK5ZXrH9CNt
wXb3e8nWT/spdyrkqBekYxjD0qj7cn0VaxslGTFS7YptqziqfqO+YNTov31dstyU9KC4zvF19tpv
2ub3v46EFZ5vMyGIg47FSx8X921jTB30ON9ixG3leBc25uLj+uXHhT5mIIXAnutqVbqgO/w6IOS+
vj0LTvpChrT5MVe40tfYHvXZbJ5b2gKzZWt3a6jkC9coCJcQCcxAqpplSvsUdirGSEOIKdgNetC8
ckRt5b8KkfYrrlWGki0OAxzCfbUFZCYJ/+BSu1iIvF/9WGX9vBBwIZ7C6O8ONJyJCorMyPb/4GTO
tkxSXEcUPA8JJOVNuwnBZEnAifKG1/iKBixq2Zkc6a4Ze4tjPgValk++4hFrc30ZCz7qYsOkS4YB
/kyAvWAIOu1tiJ9D7itoChke/0DKTP+DViUDr1LZ3bM81XoKkNkBg1JeIQ7U8IzU17Xn63Lm71y+
NTTw7P0rR56MLO14KrsCmwUk4InsUbEIfQdF9dRzxKFaS0WuSZOsBrOCegoy2j4wi2NvmLsuQlZh
6vw+aryWbYDf7fVMXfE6S7HOxRolMyJoUe5R/sUa2aZKv8+4mOpRLW6s/FsiEldJ1grtiz4IWSkb
XPQg8ZNbnwvdTkNzgqZzukUYZ+U76jO6Yk7Le/lLiBRxlOj9nuwBq0JQClzW15G+giVe+4Hubzz8
dsPbdUVZcnjI5AIkAoxUYNuT/ERoDqlmzVdz9wXgF+3XyDhcF7BktvOrEUieGtCcZY9qW7zrBFJx
AfmqU98mK5H12uclJSjQpglDw+dn2g+vWcO/Wdqe818vbc+gAWbnw1UPANQd3QzDgJyv5MqWThy1
P+A/zdNG6LK4vD4j2xYEveoD8r+7ojtppq8xL6mABnxI2pV4dnE9Z7Ik7ZrYMCVFBVlc29a9F24Q
Of/BeZ9JmFd79ppyLFaUHWgwgsqj98qP6x+//vPReHv58RT5kf9z0iDrdcd6z9eKb0u3ABow4TzB
U4pVzD/g7NfX1BIqn2Z1qsnWNjsXzxvkcPudWZ2s+A8OA4k0dImhaonDl5TLzlpO2/lxMT4rYlsO
P6Z+bcRnyTzORcx/P1tPgQGnjKJPJ6jd7VpMubRX59+W9qpt0Ug6lHCHYkv1wROeNW6M6DVrN9cP
fXkNH/i88Lloyb1cg4M+u3pywj4oTI8St41WmickIJKPNwPBGOoMADwLkOHscgF27yzB9aVxlISU
HGWhHl2OeQAyOD/SIj916EtsZvskNw6AYnWjWN+oWrxF/zsQ0WtPc44NubXM/7ZwuVel6dHX0c8L
56do0/y8vqtLXsdGlyImKTH9BapGaVfVsMPsEj4OJmh3Qvq9eAacXmjc0elGH1aELd2c58IktyOy
yqxEBWGEgH97kyQvZuqJ8reK8/+cI7A5kAKf+QNkmMXOjNSOtCaWNJ147evEu75li4p49n0pRNSE
ko2phu8PxV1/stQv/+3z0omUFo9CbbDBn1W7Asi07n/7vHQGbKLgeErw+WjjRf4ffBt9+cC0dfDM
l1PbdZ4rWoEmlkD3blcSmx+jlnIoO3N5/u/b0g1vq0wYTYRvT6jo+lzdJFkGhpCN7hffe6CbDS7p
PcXwABE0/AwzbxXSZOHY5xkL1MvQ9gEGUelchGBD3aG8Ggyda2TuipEv2OHF16VjiTnFfDgv+gDj
LHddbYPVd4jc1MndXgGoZlP8BPMN+p7EyuUj1cc+rOVCsORW01RvbcKxrLrLn+z8lMxIyOn3Upwy
vTr1aXUTcsOzWuqhonrbd4c2XQl8gC0JJyOdLdLvaFwDUoyODijpBnSsocnGCc8Up7MKzxZgejF6
z6ibHwUnX3viICOLdgBX59mz5oQvjGrYoC79ofH0FX3QrW8ze9xwRl9tpUXoL7rMdRSSuJ1qPPeM
/LSiVENerXyph5olrjWyErTY9nMT2qZfFOQEYKtd7oxAESWFszGn5q9Ki3+gcf6uzcrcRUbgb+QA
v4wgwQh7cx872X1kJEEbiieb5vgiUQMOvM4RP0+lpHGryAOfQI+hwW+dYn/DQODfXctftKa8K/Xy
Pm4KkBCMR06Uex5jQDGvdn0FAAZhvoPNocBodvysTfYjEP3eqBFvJ91UPKQIT+BEAgS9+WMCRPdW
hM0WOQwURcLxsYydXRyyA0EGLwyt2tOb/C0b7T3NSLIvxvzG6W0sDhUXJBxAjpdrmeK1ZqIchzTv
wQSkPzOFUBSp0UdaCtszBma7tNNDP3EK2FsbJck2LY3bGqNcLqYXQ8TCgFBQmaIeMF6GUjwmpV0z
a5KdUTW2r+Q9mAnA32HV2ROwrR7J0GBQu6Iz0cammlt+IqW/TzTrGXMawFAZ6wdEjQdNaNoRAA1B
zTTMJGv3qaMfStG8AuHn1GrxE9cBmm2r6I6qD0WnFD6hyi7TDAG49h1PNiyMAULSJUFos26DCY/X
MgEta07r70UTghKhKW7jin4BCZNwzS7fzq9kUyTFS+QUhldbo7Ni4Qtx0oWSz/7lPAbLsD6QS8I5
AnOj2lqedgvYnqldew8vXLIXcoxLOWPIwT+r2CKYEL+AMgD4VVlTHMdM557RpPeoSlJ3SI3nOuJf
DZISqGoS5Lo6okxQHu2pKIEHUOlodxlH/eG3bwj8OCTVZvh1BO6St+liDKGPhSNgK4AhgLLtSaus
BHJLrvRMhpzJNjsUP6omFAEgke4qZ0jcoUKB9WTVX/vuS21NhYsW2pWgY1Eo6IJntlq0rsiZVZi2
U7BiBGMasd0QDqGqe7fiQZFtmXPMhhVxS5cRxvD+FSfdhm0GzDx7nHoQGpI7Pb5lRr7ilWc1+eST
zyRIPtniDIF9DQm1umurp4SmrvF+XRmWUjcACsE6VKQd5gG7S1WtDT1HT5vaB854H/IHJ37IFGdv
2dRLLLLNp35XWM8maTc1eIf4RLfX5S8uEd4Ofg1ZXlWuZSeO2ZcpKHgCXvhTeKdEp9VHy3xtf9rF
MxHStY6BKz2m4EEPypsxATIluGxjr6BeGPvlSoS0thppM8PRKICl2SL7dkrwRgGW0/76di3q3K+1
yF1/IUkVRReiB4iMp32xVsJeqdn7/wIRsG3/7zTkDBG3SvTOUJwGyd45z+CUG8+rY9BH7RS+LfVd
kmFMby2YX6oqQgd/iZUsaRzNLhmLvg8UpX4eGuVLZnXuJJ6K6RUXLCYUQS6X3DnG2hzm4nWAeAcd
qchMfUoxdKjERI3a4LWpok8DbeX1qxPekPHAR//6uX0wN3xSwjNR0oOl1aZIhHXdB/EN6V4HelM5
gJri+zrfpupdmL+z+AshQVZsp5Wn0qJOnkmWYuYEndq1ETEE7YCcQr7JH1TbL4i2ImZRM8/ESFam
06ygGgpnweCcassnxc/rO7i2DMm08sQUBslxVnruj0G4BzPOfxIg5+kb9AnFXYUFdLlf6jeqdXBW
xyVnhy1pAbqDbXhaJLZAqSdl542WTKI2JzBOvyFr5vzVI0BlQe5sTaCsE+7RKXTZYLsNca8vbsEH
XgiWLCzpQt7kDgTXO6e7pfqxiAOmui3gf9dyREvWfCFLurVy3Uox1wpZQKJyhRa6pXmX5/es+G47
iceMlXNbW9qsmGcxXdmNxkS5hlADLIU+CM5GN+Ya9+yMV27fxu227DEeY5ark+ILKnmx0PnvZ5LR
wVSUGA2B5Fflm/1k/bh+ZgtBJErE8EtznDZnwy4/b+aKatB6wD6q7hRvE8Utta3T765Lmbfnk0qe
SZHsNueREsYFGFHHb+xWX1G7pYzBxRokq43R/sryEmtAbtLothPbqd1+BA5MdxLgNCx2JA1a1WPk
riMHMfVu2X2h6Msa4fb/0zrlXluH9qIrRyGCbLKeUursNKatvOPnxXzaSjQVqjPnByaIpAObpr7J
e7sWATsk5AsZjlqA0qtWHa1y5dDmL12TJB0a0Us712JIirIfHI3m+Ek+WnonroMzbA3JY1EPz5Yl
naFVOXrLQiaCRjlGILnba+TRWjHiRVP6JeNTj3JOBQULAOANa0RnG1547VpxfGXP5NdBUpatCbgO
ESAL0Rqn8CY7WOKJ9Sv34NpKJE8LkKI4Nk2spEi8RlePprKd8nblebUmRHKxTh5jsD3HWqa71qVP
8Yp6rZy4LrnUXC+AFKbh81oMylGfGGC02Fw3x2VbQePgTCMDQMx5hWe+kzRaCTD8Do/Q0UUfPuiF
TJdOxc0Q9n5cjm4C2NwQox3XpS5l2mwb6cP/iZXCMJwMQIopxwUcov/zts8OmfbObyvuY4pZb3yg
18XlZgQ25+G65OUTA3YJeo5N0BdJJ9aa+sw+XImAPCqa65j+itotH9mv70tHpgEbeWqBrhUA6AXF
3cF+ym2Aafy4voqFxmmMN1m/xEjHpmvgt64j+ALMe8avg7pV2h2PvSZyQ9DE3GhB+ZDus22zGw+W
7VmJ10bbahu9Xv8Zy6b861dIpwju7iGNK2xmrPnkgR5q39iVK6qyGFacrXT+DWcKOnAQx7cEMhjQ
msGAzvf0MbyryE37e0AVH48uwNpQCyiMqJWgAeBSEojZW9OscXTIvBueCnx0JGUA6Hx9z5YU5EzK
R/73bD2ZbnJLabI5AtTJV7P1h9QztWpFDWc1ky+mcylSgBt2VNcUkkINT6X3J5fE+ccl19pWGLoA
QKcIwmIHtxGDJHi1a3dtmyQ7ZYbVGCmGWAOlZ6cwbrY00X3CBmDp+Qn9EYVPBaBqW666JbLjxHHb
rN4QiiLlqQ+NFSf5MRF5bTslqxbx//x8L55VB+ERSBCBPB12GHwKs2wDAIBpJhXxexJOXjKNJWDN
eb8Zpn5jKEV4BM3JsVbH6ACY4XKb8CT7uzGY8K05Go7SGrmQPgP2aKbdkCw8AJ/h3slGoEljHtlr
Q14cRZdUuyTJ3KoCmCy4WZ54h9E/K63cIlVeCKPGbjJE6YZ4ZLpmOwq3rEBz4sSV5plZxzeYSC48
pzLeOMtW7sE1dZPcEaC0s1jvcFqAwCm9aq1O9xGxfd5/ANNh9mEeT5CcAHhUOmdMC9yzW+N7bmyy
fF8KL2fIKmJ00CU3wO/3JhQ6dGdX/cE4BPzCL+FSkAeWi7gE1Ae83F3ir6FzLr7Szr8ueZ0x4bWW
AqMnKDDPrzJ2ZFHkcbVwefc61Tc18vMg291nwxrc35LzPhMsx2G8SUXf9xBsuSj1GHfNa9pgFNS/
7u6WUlnnu6dLziLLcxoPFcSUiRs+t4m7JUCz4C7ZDr5t7cdpJfW3KlDyHGYd/uPG0+HeYT43/Ng4
pJlX02+WeZv9HqbN/26Nf7VDjtHCHpNIbIJ2JM9F6hv37RoX3eJdf35QknGJzAjt2oTyq4CLBemp
T3S/M7fAkgdNY6u76dt4yn6K1o3eUedhpftkqt/VaZtFkwsi3uvnuRQvOsiZEPBYoIFNjhc7JD5R
MsLF4sJxmfotLW6+T/e8+0HXmJiXLeNMlBRdkKGzwjaGqCr3q40w94TfRgBaeQby6IrSLNrCmSjJ
v2Qz2gTKP3j24AbpcJOAnRAzzJWvqMKryVoWaD6xT+4MeVbrg/hKk4PQEnUXJC0SvPXLxo/DJ06n
bZ2tdJ0tCHE0wCgDXQ3jyo6ctphAcEIqHYFTZYhbbmlekp+6/PfGBD/U/0KK5By7zGlsjUH9I73z
M+3rhNL0dY1bMugLEZKHrGtLx52Gw7FFioZP5ARBQ6y6deJEaEgetsLh9+mgUb/guOCyEiDj7WrG
cA6YpCM7/xFy2sJSKqLm825u/chdnYNcKPpffF0K1zix+4TPr4ZWeHb06Kb08MbttXbxpeT3hRjJ
F1MTRCGhCjF2hhnwRhvohjZh4RWto/rNTEIGRpha5I+jMfxdTNljpaEAjqrQtp/ir43d3YfY7+vH
u6KmMtSZM2LIsOvwm1hde7llR55oaeR2rZGsKNKyJHMG7AUWBaHz388ib+KwtkARH/mTcAvSKnVj
vV1fykIUhO39JUByWAxDzUNRQkABMKUoom4as5XdWnBUFyIkR2X3kdZGJkQI+5A04HLpj21ebgpT
Q29M8XR9PUvCCCijwfbxAaQkaWXs0Irl+dgFuaBvWmf7Tf4VV91BofE+BsHJdWnz7sgWRpGBAPic
baHhVDLzuIoESWKrC3g07dJ8GDcxiYg/JbFnJsnuurClozoTJhcZuDa2ACUMu8AiL2oLJsqVa3Lt
+9LWWWZbWjAybF1tlC68PaA7FLoiBM58tlh5085VTnK/I9PHFHDnVeD0irpnXTT35xDFvFeVvNgk
Ou/dqc7fiAn29jgEzwJp0HIT74AOfmAJ/2Kl4TFVUYqNNbQnF5rj6WNXgFNuOOl2dzA0dse79tmI
svvc0m6yHlWf/8fZdzVHjmNd/pWJfud8NKDb+Hoe6NKnUr6kF4ZcgQYgSAKgwa/fkz2zu9U1vVMb
G9HRESpJmUoSBO4995iwVxb4LnxFchLg4REdyMoU3Eic77GD6EbktE89vP1MNNRbFwKu3FqWt4XK
t67vwwRmWTINrBXGfzL47Bt2b9r6hVBjUrshxSTgUOlWMGwmXZMEROyZ0+x0H9kJ7LUoMrvglSxh
rHtqHO9ubvrDPEDE6Vv91u7inTUJmFVM9fdQLjLV6EvSzppfsMc8+oO5HVrXZGKUcYpsldQhPYie
ddUf1qnGSTzOu2AaCm8mzzY00IkVIONX+e9wN8pdATd7eIqlgvpvYHXc1Dp+pQiPtNsxcxcHbdji
3DoEHKdVlQWwtBP3SJtYSquEWT3Mp1fAFyUoGCOTdyaOD5KTDOzDCFcUNQC1jmtpZ+4AUQoN7e8u
xqWJHcyZt4IINgRlCx8NxEbBEa6gY5s2ng+sWWfBOL42YZj6WMRBbxdKYt8WpC4sr3fTSqFL6iJ1
pl31PVr7g6ORXOvE/a6fGzft/DjtusVL2k58tpa9iarxS83DjYMIq5SIqxLfkW96Zg+t299GwGIS
Oi67cR2xiOLhu7Tb72qK9yayb1y9PlfTNCasQlyWFVSXXq00F5yrYhxZHtdqTDW1Lyt0UZkP7zAQ
XtTJqxmi9+Iugim3+2C51b4TdpVbwPAyv/JBeBAfNhHbyJszCpKWV8d7pJVdJsdOfArz0t5/jGe6
D+r4DVAlz7ouTGuyvo5VfUS4H7wQ69tYkT2jZbrAs3hWQcZGqxgm2PCT6ImO/DhNVuoM3raj8Pul
5rzO7Umu9TmYtQJVSKUlUg9TX3uf5fVTWHKyM03JCQvn3fZoAY+Uc0/0oVRONig7TGohcj+Sd46w
tnHd3fl8udc6yFoW7rnmh3HxbtGzFyudt+7g8U0AThKpBOLoeA/zgLmRMJCw6sMswxzpZRmodjO6
+TJTst5UtpPDRX1KaDMC/hiyAMYoDWx/vGl8B1iRwl1nb63k0DUwW9UCyncfOmTbylQl0ojx13h2
3lxryS1qJ64AblLj5o/mha9Iy2XDkjZdwDHpqrMZlNJFYzjUzXdlHWE0EB3QBoCRC0gmFvXLDCgy
BaUFaYFhZBedAgQ5nJba7RA9VrHMCOh4RZUiTu05MmhUHGe4GVSPKL7ycbFsmBYFHLcMhtkuty5U
TC8jE5+rGA48DgroEvA5W/6qrGBfNe2nBxwl1GI3lzC6aUi2kvIgKMd7HAc+Z7bVwOidQi0cbkW1
psgiOKyVGFL4pmZV452qQB2RfF00PYTz86LvQQw7uk71Bq+5JWHNeDMGwZlqtYuNm5Ay3oq+PKsR
CGQvg0KVZouNIwf/EUug20cN/UYMvMi02VIYCQvEcIXLUtSOmuFJBOZl1PRfA2sUcoAcP+spTPOu
02UxNZtWLjvmtzvb9FuEpmHPAOlchAVZEdmm+rt6FYfFKXnOqmmLSLc5Wav5wxuWuyCAWCVGy9mx
C9XmZJP1C6S/ooZQms49gmbaG9dle8ROAkIY/YMpnXx0rFx0zdEHNbLi3nGQazF78o52vkiH0dJ9
UrN1gdrW2QP1ohtltd/mzh1ShMx+G/sWPj4EgBLSYC7xDC/kkCSVvyBMLwbrsNxyCyf24mPXNBur
7LJycFPStWkp1AEm6lvlIFkQaWt1f+PTk2kapBPi+th17oMRod1PQtVhQuVrWd4NNJRn0pui8qwd
J+yuFXy3VjQZJIWVEUJ8Gpopq8psfZzB2GsDPBsVuFktNh3qw/bBT1ZuEgODPREGmR6/OF+rtO2/
S642vGK4DbcwJ9jC2AUv9uhbFLvb/G7HazrK9dTQd+MMyFPNAxtYOl0+tdJQakc+1inPl15noRBF
VyHP17N3HNTV1dBsYlaC7AHEHYLV5zgZDIWytv2Er9eNW643OvCSoXHyAUgmR05iKw3ORJPGZVS4
HbLnrg/T9Gqz733M0tK+naBRhUlh1o5PoCwkFp9y1Gs3A4V01Tdp05SZU74O0bQltDzWSB2MQFIt
kQlNhGUl2hnSSNwGPUfkVtwlk+uevSVIJcaIY/ApfOcRWd+HZpqctHHEHZOwF8FSrzSHymMTVnU+
0ikvEQWh/bfObbJZt5mLKMf1A+jls72gMGynzeKahw4shriL8ble4jhKEMaRxSAsj/WKqXOX48rk
q4pPSJ0/lPISmTCJYenYVdd6QqzI6Ih3ATBVyfoC4S4b2tkXoYPNGtvHyYkfkIW2RUQPjGFWtkN5
t79GN4rmtOK16I0DUi5tyNam1pSMszNj4dxpVCRr7+E0ac7leAy7d0d+gysRbI7OfO1TaiPlMUys
6G6Rr1F5QZD7qQbjaglObYBf8+/k6IG/G2155OW9hWUW68PsIb5RDcloA6KFehTp2Lz0UFNE2Yog
msh+naQsFsO/yKiKtXuPq0+vGjZ8jnIBi17t1ngcOvg/2RvShJkMqrSenxfram7z0ttdIYD7OsPO
jcZDpUBpnoZtID/N2iRlLRPckGSF4xmsaFO+2Ek0LImGdLp3p6QyEjowmB7Na8bmZsvoUIwQoTt1
j5i126Z5YQHZujYqhmnOXWTEIoAjSBep0sXhGY/jnbFkXpJ173YB0nv421o3m74b1zRYps0AF0kG
SSiIo2Nem+Z7bwe3rej2squ2vg5M6i2swExxw2YLtOPlte8UuMtVm8Atbof2Ba3tVKVVY27bRtwq
S3qJXaobMtupK8PtEM+7xrVOodd/wFfp7FX9purqzdquLT6hxl33b7ljvoU0ehlKK7GnGW0zk7cl
CxG9EDxOhA6JDsetM8+fMHnPF8a/Ss+GY3J34Pb0ya1pEwBVT101DFuH8EdseHgJnM9+WNIimoc3
RTjQBhbm1UweLIP3xhU+44+4wGwWPBapnqJZv4A2gnoTaYidWhNvjLq01rKo3OVE4+WWetZJy3bn
DdG5d60vC1D9zOwDN6wY1xhcfQdDz3ozl9BY2ZW96XWJ3aViSBhF3mTq2TXualPFGCUEe2ItbzPe
PZnt9n7yqbWhiF5FucXWLAhX4LftFJ/dxvq06gh3fHLuUITfNYFCZDh105WsqdDWNgiQe0sCZNFZ
do6p+Ju9OC8gxr/ZDkdILFJ1kM623tdDszu0AcOcFBKwbJ2Im6E5SzVKOxi+PQg7OoQE3OWpjR6o
8qbU4+NntZg2aZrwJS7jh9H97lnxAdEn8GQcc+RHoNO4hmzCYS7pichdCY68G4FnreE/qVcnDVFZ
sbjadRXdjVrALQ00lRjrfmlJEknCE2b7mwMKthzllyCX2e+f/Ta+eLM4gAKPEIUxr4x/uHr9KOru
xDhfmDRHPas7whjmMPW3uuPI/Zu2VtS7SVSHuWqXwoOLYKLj4W3om6PlwdVO1PI8lySZO3huK7hR
pHBx/ZLIU8q6Zt4Zxh57MkqIMRxIQm6xj+YozfcKEka4tYubvqJjgn4HdgYxapi5hggABopiMtaH
mC3gcnFbnS2N0AXFHKQQqqx06HxDSsaw8zYFjDlV0gt3Fy39dzyCkD+znMDJ0V05QlzdTUO6Ux0L
nJNXqyuve9QqeiTG3bMOe5MxEM34Q3tTXiPnmOWdnAh2mF4kVG41YZOto/cwOPP90Hp7WKwyODoy
nZZkbDJr0rdNrFOcit80oZ8OODWZC0kHiyFSMDBhQR2NWt91X+De9UARvD6GzW7s4z4dr5KBZooe
o4Ce5wFVi0vB63TxWIbQF5ja08naVnHSXfUHVSM+xFWRYMfNN9wRna9lsx+uqoVW5KLesKuWoWmq
bXdVNyyQOQjt7iOU7X3YPHSQQZhIfWshizCQR4yQScC3BqEe0E0MEFAsEFIgUtPJauk/Ujpd+qvW
woPowoX4glxVGCEb7yPIMuBb1yMoYcqUy6IsYG29may+RBONUkVarr1rRzmm1TCUKJRgbehB5Qig
F7Sw2GnwlF31IcFVKdLVQS4sFDeemMvUjQNe1PZAd7BtOijoAQ5grKM1wpCwuY4Ll+vg0MMEMbL6
Fc9ARIoyWgPsXDpIJP7M3ndfYkz6kmY5snnd4XLAAY7Abv464DMdHnGvDuC1GGCblnBIcxUCgTGq
TcuVdmkULN4pDvBXh12777qx2Sw83AQUT563xt4dir35rBG6UvhTW3hyMjlb/YKQCNVTDwgctIaX
SA6nHjh5Gg8UtT/gGa8O+9y2SN7Pcq9i6xEOddgCkZCaTW2ZwUcebb1p3uqF+dACQBAw0eE2piFS
jZd2by9VlIFdPyQlZihJq3iZjBozDErkXTSjgkNMip9NNSDIyqvSOSB6y1rqIzWlel786bsczHct
EMYR1OUKjrz7wIewS1tq16g/+j018Xs4y8cwYGftTpg9jfYdM9ie+m440MF9t63FTWJToU++Sq0G
Pr61HCaWdelcJmHuSzaDxVji0tdj9cY5eRE8Ql0VNCfT11jsSzOkYJtUKeuaJisJJMtqJO994L+h
/9jYg+mzORZWVimEz3EZb6aY5jUJBMK8MMGOAJdka9kBGzHrkVjym1/79aXiyip6iDdzWcavbTQf
0Viqa5B0m9gLjucWMSMp3D8xA8XOnsf+JDdRDOtIgxeN3bDeUNODUA2wLYmBvSD6xbmXJURhQa+d
FCNPF9Pi8jIOc5hVE0k5NofUqupLtNTPPW3vW3D1trIiNbRc7s0Y9wta1OnDqKYIgwpxyCiMUtuZ
bq5HUNL35s1X1QP35X1pKqjXAkb28FwHiVy2X7N6tioE3IwOwlXcliEltAvuZj0+Idnn+xQ77g2J
minjenDzMUATAJTqG/AAmQlAV0oF37p1vW6hqBnbUHUov8ySwic/KnACBTj8QGoNERO+a4Xhm4qE
IRRQIU9Cg4vIeMhuxdJePEiCQPD25wLGdhioWcszt3DALDB+KNZZ3XcL0KveHvvN7Kk3v0flG2qn
2jbKg+iPSpyjA/SIDr/pasR3k+orojXOq/I+tDTb62C6m+z5TVZBA2ZESzciRPHTqvqFLuWYUW8I
NoLHOzni/nlAdIG997eVZ6MI9LxtgBSpi20s+PEO7nHRi07DxvMA8NSsCDUJUafJvePieQNmUJSe
gYH4BI7PEIJCsBhip9pxGD6/d8Gof0l6XV0GMb/ZlT65aAKrdgZ/tX0KA+vBUVMSyubYS3coEPB6
G3oITAytszdaieyCPtXE+lDe8B2YzZqCRNalZuiRDuhSOPbGeHol4CN38Z+JVS6J9JcNiVhzbOY5
Tiss36MKxdGaO1aAgXpDF3LmJVqNarBu0Fu8+2i4xQNyPlXaBhPCaUwAFxic0Wid4flUIhwOBTwe
eIU80A8kdeMjyggddKU+yqaEEHKgS+H0/ZT6CHuDVIIitWCeXyjhyCk0OJ43C9gkd868rJtJInun
UnpIIhKUp7g1bxIt9qVCeiEyI4Hz+KvvFm0Dz2FH8TCH1yTdUVDJ9hoQ68WiskPMo4DjrlkQGh2h
MfjPyPRfDFj/hPD/BIPLda6m0gDht3haJBy1R/D/gX0jJBgid7DvYvje/nkOAnP6ebqKz/caMlEv
XX8xoviruW384+tfsfEf5izBSic3bMC8bJ8maKuZV0bQl85nAydWGIYdQz0eZSN5Qq3oFzyUvxzx
/PDRfhrxjEMYaV7j4kV1m7XuF2CQ/3x3fvUGP4143EC7ooYcdK+umsBRpMuKGEHrV5fwegv+DdYn
EB9eE52vMUA/XUKr8trWVNNeViFiJcmcRghFdmKyq1pjkpUsN2MX33QGD0xLx723lEfUyLCmH/xf
XNK/vJ3IlkesHxKJAucPKucPt7MEQ1QoF57jEWDoxQB10NiagsVFL7YUJBwOynjnqA3fmfrFdfir
KQrSEhBc6ICPB/fxP18GGURd78Iq+srhnd3kF5/sV6/+0zSUGiZqAsx2bwXk0WDaIdxfiXGuy+Hn
+/jjB/jpURt7MptxQMtqhJ1jmH4BzHaeGwLHnF+Nyf9qZf74Vj89dZ6OGoyafL1foJHv7Db15d2k
2vw/r/+/2p1+GAn+vDAtiZ11pFgMYqb5RM8sbAvOdZc26I36nm1gNnisYuv+P7/tH9kYP1/IH943
vg7Qf1yEngete4lRpN/LzdhNM2w1YXPeMnkaA8CRTn1HaAj5rqyclKNubSbHIN+zLUrK1sJRw3xu
5p7c1QzF5eS3drGa7h5GtFum9KO6bkcW6Y8j9ifTaIjJdZgKcIcYnOlxgHq71tbnqLFnVLN+5vp3
gjTztpfhC/OJLKRez7DjF2nX21/VIlGz++4Fj1SZdgYHEltRJjelfTaxvNUduZvKe1m57J9S2P/6
WP4H/RKXf14R+Y//xtcfAtm7CDVTP335jwfB8d9/X3/nf//MP/78JX7lXy+Zvam3P32Rd6pW663+
Gte7LwR2qj/eDG9+/cn/12/+7euPV3lY+6/ff3v75HWH1kqN9Yf67V/f2n3+/puFTGo82zBCx1r+
rx/f518/dH7j+P2s/ur+luB//9ff/XqT6vffHNv7+x/WLVDJXs3krt4w89c/v+P+HepgZDQgPgds
5auxSydGVf3+m+v+3ScBfFjg9wLa7x8sGcwC//iW/XdEpsIZMrjSBaDFjn/7X3/jn27E/7kxf4N/
3EXUnZK///bnzQYeGfCYRF4AwBkHJmz2z+SDPtaWFdqM7EA+TxoabuBMnP5wWf71lj++xZ93gH9/
i5/OpnHmptdhS7BUV5C/Tus8HLpfSurd8N9oAZGHCxzDH9WDdM7/I3f3h2dxcrlNMTklO1nN5kE3
w/f+ivTZIKmqsr6LbGtAiK517uaQHAC8n2jLDgZ5XBmRJccA0nyrenAXTO1uMTSaMKCFTxmzGKCS
uQ2SucYwL1J+k7pmOphguZs4R/+2ZN5kIyhdNLmWwVM4Wk1qxfM2Gljmx+LVitQlmL1CGesNA8QH
5BcMae/Zx5lh6IpfOVsNuUZt3ofCeo/1jDmrGh5qXvuJF0LnwqP1UDYAXGJCvTyc6m+A99s0hBVJ
DqQdQHUZImytJgBWtHxc6zVlejmhsShqbn+IgK7ZtGKBoJG07iO5VoW9QljlttWaSdGQo9+7n7D+
q7NpisZ05WEPBRZ+3usEVPI9MCJPXIECWrdPxLP29YBhfB15zwiyHbaeiWEkqCeEIFXwuwgHxHWU
tv3Kl7XMXMx+ckzJPxHucuX6hp9t331OFUE+q1ddZO1N+TAZnAuV6tK1mW+XmW8BC+lbY8cFn9f4
7EflDCXY4N43GphQHH9ZAbgBvCvpKzAtNFwIBc8IK89zqJGwq4avaImbPOq7rRlEteerPSTd4rtZ
Y2MiU9krBq4A+LDg7WyGJQePTJQ5Vv2wOmFq9RwwtiglGj0gq7rhSbyWa9qs5PtIGp3jIfd2ZWff
+0DH8h5dEuAA9Krg12DyV7JDrbnYgfTc4xAqA8wZMPGWLc6BEp0kHEKidudYC2IzePvUTizCUDqg
CTcUM1BPMRQVXOcWj4bMCh1ANdw1uWnmZdsq9FOlo/boRrZuM+1CYm0HpR+GXhwsM8Xor9uXpW+v
bOf5NLYV4FaLnNwRDr5+2M/JOEH2CM/5B1YGNy6D+2uMmWmObnhNXIfe1LXYLrifsl+LyUZDRCLM
iZwQzo1e3QJiCuQbPDv8TNWom2sCZ/sKM9rUbf0KRxV4HhWnbO/T6VjPYt4hfqYrMPV9mnh3W8G8
eGeTEXF/Y9g98iE4ajxyRzJ0RTTKXIu1PaCxlhnMEiDFXyjiNUj55NW9B0SP9KBX1zVAkWApNG9C
gB0MbpkCEAXyTk8LW1oM7TyYnZRziOkS0emqMVuii/GSuZV7t3eqRC0aR3Tv49CV56ZWBHNUGSEI
hAmsydVkMJU0Jw0HxnSGvnKzugzjRVjMpE1by4IJtpODthDdDaR7HRqvCFplIWS+h2HIqGAFBP1V
Ojs4qscxXrcaVhR5g8DmtNMemBJGcWczoFrJAkkYBibirkbq03NQwSpVjdCfcds5SsBjybSMMoNi
lqQxn+W2dBUGa553nhoNlGPxEAnukQ8WxgOwSeJs5ujqAdHA9XLQlYB7l8aaC4Nn2prvowNlwhCM
LeBn3KjLNTVtN8FGJAujmj/rzrcTWXfnxotPy6qwBZQQWkGZ/uHFKEJJVchRyg2mG/yJBe16isup
LLgZ8yjCdoTOoEXnLTZD2X/GIUzgJ/6itf99tOqycEo0JcyQz0gG4NCUjrttecRQr/frjja6xjW8
zjLHb2YuhyQe2sJ1eiu11gFT/tW/WSOM0ZpOvHhQXmS1BoIZ0hWeMJ74lA5opBEC0/noPtRujQdI
wtsnaBdedBa20esRt0GYLNs5FXLU+j44VKOWG0pnhGJP1i18PJ/GFfDUSHGr2EoTz7DbBRPpBVER
eS8wE2H91BQOV9jJJAhAl8Vso2BIWxWEAORbdmk1QSc5jwQhOAHwgEjat3FgBZlVOW8AM4HL1fqh
GivAesx+CAHtbTRD7OQ1FqqJo6Oe2FR4AQclYY6qzMQcg6rYNGnUB9vS+HsBWctYYl3AlGOD+fFJ
WfrMXGfGjEbdLIRufYmR/DS1SbV6j3ZlNoNHb1jHCwnRfUXUjruUJ8rYn1UUYijg58jp7hPiQ1Rr
x7qIhIuRG/hWZQQwX2Ez0EPDUotqXDKUlkm7DFebqXrLprnbrIH3NY+RLNqoDLMFxT5wxPVcRowk
ysdz7Ay0hgmfB06HD5Ad1BiunSc7MBtO5Cf4diSLR8yTF4g7E3sEmWil6rFaKMQ7UU83VHj3I5CX
eHRDjJSnO1CKNrhjT1bYRRjMziyNRhrnlQtukz8DuceGn9DYyucBmfWVT5A32goH8uhZZaEB7qyw
J6fVZMfAZCDkG1z2Leq6COqX9jk0k3v0qQRvJvKR4lY+QBYvUmDD1wE7eguvx4lI++EeBf8IwsiK
Qn0xfeLAAzapO7orqQ3CGwufGqDAmMUj5TFcMYIig8Q5JcEbixx7I6l3K0zjb1Tl62SJZwBo06WZ
ANBjDh7meo0wthVqPaCxJomeZe7S0j42QwS83/HWjQoQ7BlXrErRpj5JS+0IGzeV4XcRKMfSFgaM
sHJXTtFmKl2BGIP12CM8JY24PHrGuafQBCajUhuz8K01jED8wnGvyXtYey9+IE6isbetoQfkcRzq
2EDFox/8gebYX/ehsWHQxYHhcpot4fJUutXRbgBIlxFSXmFjyBLSzzsbPfhmxYqTcEoTXZzTBcsw
anZx23yUesi6XkU6gQTJTfoAv81xRAFlC3ZOcKt7O0OO5XXs1vEMNl5bu9yjyppWWebRgHkjwOFq
P66qKljtcERAzcGjX10nEwzTmTW6wdFQ5kjNw9T5aTD+u2EgXZgyrBOGsDwX2HYBtliXw/1G7wcx
wn7AOeLALEIHmVWNBXsxhICQay4S8nmABlyYGtGe2QsmMbabdC3oW7G5LJV8pI79HtV6M2n3uRrM
2e70xsysxZDmdfDiooIMq3HgL1OCk+gCFsTnTGTUvzgD38yL8wwHz90AGBFnMrhlcIJmzwNaLdRS
Zgv5P64A8rHtih0lqZ/jUTgINqPBFsNdzImCI0T8QP9BybF6+WTq/jTPZzjJfyowdMqBDAlF5QxD
h/nQWh5mPcNL7bDtMoUHARoIKpaUg3CUIA03lWx9MfV6EqGz5aTvMAtqLwhjJaAnY6v1a7vf+627
C60lsQktVISOlJZZH5ebsrUNxANxMVmoSmko7y2KnYJYHIIeVMzJuEyY4vnLjNkKQjPDmT8h/ApW
X1MJrg8eL6m/DJ4mJj9m5GI0NZDGGCUl7IZ8C65+HtvZ2LagvqhB9MzryU+QWVUg7Cgd/WDbW2GB
o5Vy1Nc3M8QFfrPxyw9wep5C5AwH8mBdiYXVOBbTiPREFb655ojInDMM1hISgXMYomQUJL7wBZwF
UZqHSYyPTVe+2rU6GuKcK2msTHR0SMN2aPfWYEASitkLV01GwAASJmQgZDhvKNFdzFdD2LKFsC5C
kZUKzC5NLXAUq4uQz0J2xwn+17IloPNwhoagsXeaYyI0rt6b1q6+RNhqVnpeZq/dItlApxjBgENE
hodybGP4uVW51vhTmyo0KYKN6ny+sufiWV0GueH1dQPxR5SGXpnYPYKZgPTgDnpeoUfIEutvvAXz
NHDBXYzke1DxDxezfw+RkFk/eWBjRtGNawJ75zVP3ADyh3B9S/HcjiLY9X5jw1GjNEfJ7Ry5H1sA
5AkL/dSMK4zpguDJJt2DsAxMqxH5iWcGpVPA9o4fVFk7e0uqrFhC3hKHKdH8i86YG7YtDoAmWLB5
MZoorXMdtxiYiDvXacOEOcHesOFQIyw6qUQRAPvH0dQgiPokphLOpeIUDQX2hxnEEw4v9TG8D21r
u/QiV378VfHxsW8bF3nz4NzOdeEOzb1XQ982gJqAAwRzVaaaMwdnFsS/63NnzRk3wSk24/tSme+1
a8ErJeiw10TFUC1xPgxg7HjUB7qPSLg2Cp84j3IghZktwW5sGYbe4zAOKcb2uSPNtkTZuUFv9Ngg
hBN/Sbck4LxDEraylJSicFDIJ5Nq2MaJpveOwGAJAyT8s8q7zmJ4YtZT58VPtBdgGS7lLfdacOnC
6iDbCWOaecXZwpcXvM6lo/UnZSy3J8JRMUPM55jqFQUzmEtumQzWWicAl0SmZgRmWHAgTxlDDzXY
NErCfpoS6eYm8C5LNKT1Gt6VfIDohaEKw8ywDr9KsVW82ftx/DSF1VGwvsIUD1BVrEE2AD+ysJf+
YAUKy6DWOzK9/cEcDSuCpmfA8EisR+N/hGC26dh6GrSXUyK+emLdYmw/ZAC7bv2pOVfemIfdS9O/
Bl13bKp9rF7LgZ6GSp+nqjyDPdBN/GoHDYJY5G8isAsGDJF01N8Ce6MEeCq8KmOZxcb7WEh8i7Jd
2s1Db6Mdd2Lx3gGwSEeoaevOoBvGcPCksBwUWvhuyoKAZ8786KBMX7rlkWj1rebl8xJSjOXsnUJ7
tWIGztf1m4z00wSczsAr0lqzECqMdGqfJzLkYNYxtEvn9ir2h22197RG9RksGV99ecI7oSj7RnoQ
bZxPceXZDSDbstNAWCrYiEQC0GsCB6NGHAdZN6K5CasnTO3v0PDb6N3joiz1H7GVj7MHL4PK4fBM
ic6r+ziBBGwoGTIa+9W2bvS95fK9NY2FCwZn31INKOGVHBmJTwOMgMHbd957Rs4RFUdRV1tnFYiX
RE3WIdIMQ6++sCUoqTy6wO6TpCSe6hRUdjBnpvhlYsv/JO3Mduy2mS38RAI0D7d7Vg92u+32dCPE
TqJ5nvX055MP/nhvtiDBdm4CpAPVJlksklWr1nopWzCUKBkDkg+GD0PVfpsGtu2kmC+BnL330847
SGXxAHwGOPkhsUzvEtkaey7Jp51S8C54pyvSX1nVPzdjyi2B23wmKbz2rVNhF2et5tXD8+2C3vND
j8Rjl3n3AaC/ExCHjjwr2AWi43wV7RT/WPrSzvNOdjiedK3zwdt2B+68FzSIT7bPoTWWFhAwDiiD
vRuaL43y1g+eK6jPdnmk/p133VMVWQ9OnR99P3grG8ohUx13CO1TkjF/fmGdxyDW95HcAq5+PxXN
hYvjly7PvgQ5DRCgZD5lnqPsVcl5T2k57nnGt++t5sHscnunNh0UkA0tlJ76aDifZB4zhQUIdByV
b+M0PYHk7XwF/Pz7Rq72cdS9Q3Ll4pc8w7X8lNe+sYd29Wza5hepL/uD0knPfmKfJVt9jAF0DJyG
7jDEj76efCmj7DDF+idz4uwrWvldPOX03PoHI8WXG5PKOIdGO+gfB9N60hFQhUKmzptDxOyYIMKc
bG/K1UGKYSCiN8Cr/yWBsg+4sdgc9TuSHYN/TIbojR+Xe3hWkwR8LCvW95zmdjRdJpzYi6weEFi6
Y7997UZS9r7yF6H8UjRlSxbH+jRB79pd0Gj/VqnpCeXZ73Fu/2323mVsIprF6D3tC/tzFjVvTHB6
FBtUk9uF8i5wOg43fzfWaECr1R6JYfk00aQaSpyehtl/mHzjY1bzv3hkQj3nC5KK5nHK1Q9JYZxy
qXgKTOkOsIk7llNytEoSYnXafZIMLbhX+6l+tC2ut9SL/QIQbhQCWlZzYDcoNs1MNSCrZFCGknGI
U3fIADHSJiDRu2L2ytvxX5TZyjyDitKsXDX1X2QteDcUxoPnyNmdY6efIq/9HKvGGy3tUlrvuU2k
Tv+pk0sLcID/BNGLvre7UT/2HlW/kEaVKoTesq+07IzVt0lTzI8dbgh2XXcAr9rPpVPHSKXT2x3q
XJhkODP2LURP3NxaN5nqpyTvZ1LO/CNzdA6D4dEwpX+QKysOcjfQnKOS9KIIfe8MNIHY2cFBKmVX
84SkqQSGNDDQ9i4yo/tyrE6FKZ+hDjg1Y/NPqDUz8bM0a/HqX7oKaFvslf9QVHgGQFIdzKD6lOdO
xnmvPRrcA38pG00tiyyxQ6edZVHB1Cli3lZs9JKppu9bdx2jepZB50ct+4plWk963+bVX5vRbs1U
QFdbib4h1xu5lKsPffSybmDuoLqpPM3jMCBQd0h6y6+kKErVLKu0DTnN/qmSkpv1pQa33Z2c6Jv3
vG5qKbF+bUpo5qLRu2z1AFMSyube356D1ONLXTGDG4ypr1tqhUEJ9eVEqrpCGbDUaBcI+zWuK9qx
l+81iI8VwDnhh/WRrU/iK5GKbDR8u+w9za1Drl2RM4Dx1tL3avElxHWj3LbYLFwE1q0u+gZCqRQr
eC1BanrrGx1S2oByHI3mCt4xNLLYw2HdwuKKXVkQSi5hV9T+AHrOTbp6548yuC/zrDcGQGPiYvl1
3dqravK8alfW5l9zXXihPpDTYaO5s8p4vVf1veTm8bs/MyI4oUNuvfFsjPTvUvoFo73e33n5Rul9
2QEtB0nruTvd1oXKvgP0CdSDRVl13OVvGrTG30l3JdmzDU9fXqCfdoQoJAX9IKWVrrlK5O15Vd4N
FV1NbeC/UVvtc+iX5/XZe42W+LFGPw0K8cjM9MAoE6aPLHasfmjIGOqHSHO1Ym9aF+fcbIkjLTv5
T4Pz36+cwuhjyYp7k5mMh3doh8KHolw2BjX/6Fcx8Gq1hI1k515OoeSHTxjvJy7vh6Nqn582WJa3
RiJsJjVBVECiGODqTflet2nKHLe0JRfcgTBgqDTSQikFu/ftZPEEVyYYcDRXVe6kyqXzxvT38ssE
xG59yha2KsB/ZE0Nyr3Kgmhe0tRgdzS3imWy6fRaHSrpKAcb8WfRDOkERdYtzUFF+XY8HSymCi12
upuUR0DsKaLrxybfOAEX1kVRHTq5qKqT1BBlURC112FFxwjc8zuEFPeqrLjr0zU7kOBgCkVleDTR
uFdtUXFYLfK2TDTOo0GfDhlM+oqdHGJ/a7qWRnJtRogGIfWgTqYOy14JwU3pOyOVf31FVIBKCtPF
ncEUebTlNprge+LxOybOeYByTT2Fxt70ptP6jC0M5caOEKbVIRrpx5jtpAfyMKq1cXYurMjN9wXP
6vMyoxlS0lyrst5VtdtGB0CyH9YHsWyEnC9KT0AGHSFYBpkTjnLNtcCuHoZ7qzyZ39cNLOwPRvHT
wDyLV8ERwIczqAXnc92zQeTokGt/mzWtrEm8sR5LlgzZBg+hKir5aeFAq9oArIvEhh9AN6bGY8FD
pKGBPTbrDUtLk3ZtSXBiABVNDzeP5kacZFH3b5K6aadvnGOv3UtXuPDKQDwMKBlE5J1a5Tna2ez5
Sj3o5ZNGjml9ZV6P4taAMAq4r8228zHQfZa7l+ZB1rfoPl7fOW8tCM6Va2lYRRExJa3DwxQ9ePGd
d2cG+i75a+QSuj6crfkSHM0uAW+30Nu7wyHbwim+PrQYCIxLOkHF0qDzuXXiylL8MLIYiJlT34kp
LURf6CvaH9aHsLgiV2ZmD7/eK9RSrTQkOPKsDfrTdF8Vz79hYT52ocGleV90qghNXHqCsCA5XyQS
AGo0HVJv60K0OA6IPWfZQPR9dSFy5bS8DErLUmSOPuwlRf2YyO0HW/62PpiFVVFlWVV1mfNXRTXs
droMH1BFjju5igbv4LPW7mPtu11dbG/DtV5HFvBiV4bEdakkO7LnrWiUj5m8y/v3fnJSrI/rw1m0
YsCXDOZCthzxrcTNqIko3Ovkiy9B6HrlpUSOLEw2tr0y7+vbk57RWLrGhdXSOCeFXZmluT/1PnZK
fScZj2P0Rpl4zNzDQ5I2h5DWwQz4WEszzvr4FqKBKtsQYelcZcCBCDc/n0xZ4sS57lpzF+8dVdKa
rgH5PJ4qaeO6vOCAN6aEo1lKrKA26Hxxw17+Z0jxPSS92cJ/aEbwc3No9bquMt2NegrkDgz21pPS
RRvet/BSY8F+TpwqIG9jry6CBkV5152Rtfu2dVM6/+6VLxL9pM4hkzYWamn2VGVW4ANt47yiAdJl
iuhDpuAg5b4h/QoH1QY9+KIF0JiKgdqwbooKWyNiWE4ORMYdHsb07iT7G2RyS1sJ3Oh/3xfOgiqa
iqhXh/ky6z11Pj10E5psrfVQWt7GUJaC0LUpIQiNKDQDKWQo+RuJCtRJUfczsfZWLm/LjBCCtBRk
hT31ID7pK8yi6lKrxouiqyeromG233oNzJ4rxoiZi9q2QO2ikCt4tu2UTjEFLZ6NCFZ69qNvpfI+
ApED3rL42tYb67VwdqtX5n486a8OvhjSUQ9AkO7aevXUV4eBxP968Fn0uPl9RjcH6OMfiNorCxkq
iaTlVd4d3WFENGNu4sw39s1C5oGKN4pLxoxxBnsi+ALYrb6g1EMT9btIPihg8d4Z7T8UaBQIQeCW
qdMNgsFFP+cGTc3UBCBtCyGVVnY76jObOyJUKmp6P0uvVUZ5ANvmrs/foiUT6QUd2jZkSYVDo/Rj
O9UqaDw7036gWr+nfeIStr1rNV/WLS2GO5iV/jMlbF6NIkPoVKHhSuohmO4N6S/9zn8KIkTsmo35
W9xVV6aEBYsNc0T+T9Ldopvc2IHU33a7+RDEJv9lfWBL559qmmCeHK7Wlsj2CoQVOhYnM2Cg2lG4
i7JTWz4r0kGDQcL6a93WvD9f7d8rW/Md4MrdHaWXECJEGFZpPyGDfkioRFS1+l2OJyqsORVJKQMv
d/wzq4KTJImc8l1G6P9lRA+ldLSMo0RaeQ+XvOJsxIzFtbOQ6jJt0BmUBW6HqGeeEYxtZbikfPO3
PSil9ljC3rE+pB+3oVcz+dOM2PYyeQX1azs3XPq/Q1jGdpUDwvNdW97LB9P6J2+3BIwXl+7KoPCM
DW3ECylGMS7/5HgvIxC7FMqqlzHYSPZtGRJ8ZFRUwJJqabiARuMTwETNONblfdS6Fh2rdbjhksvr
xZtAnaWRdDEtI8lOSOMcPZ61ejcUH5zkCPbMkN319dqyItz81EpLJU+PDBdw0p0SP9jFmzg72BBf
rNtZPLHQTvjfaATva6miJCWoRpc+YvVuLDcC03IQnAt35PllBQe/9e7UkcFp5MTbKYCZQm4D2GW6
8WNQ2Dpi0MEB8vdTPIFvzmbyrkHTaleX8o1BLk/mzx8hXDrMcXTKPsAVgwl6hLQ+N80nX30aleZo
oRq3PqNbxua/X4WsyhmkKa9Sg1rb0Q/+UZpkVzfdG7kujnrRbFQ/FmPx1fQKblIbpOlH0tBu2n6N
++SNZryFaahkJh3tPNhblM3zar0OIj8nUvCWOkqzKIHgy9Ud7w2t71AO3nflVrpl0Sd5PcIiL+s8
V4VBZZEB53zszKifs56D5tuIhYsrdPV9YRShNpppwrHttsdDV1++tTXVlHUnWLxm2BpanFzRZmUw
wQnsUCqszONA9mj+KMZLXV8AnZ3zaNxwtx89Uq/W5MqUEP6yYNThFOPsp5kj0I/NeBplFBdpaUgP
41QcDZpWlPHSA/OO9uGn9XEuOgTXUJQ9LST3NOGkzElW+aNPMAT/7u+T5j5SPq9bWHIGTWYIpsnj
kZrB7Uymjl8GjekbbqXsodFxfrmqR2O0ZVp8fH4iiBWJQKtDZaC1CRbAXZo9QTiS3IPhqrZUKBaH
cWVH8Gmpy4xIo9/LnaaJPpxd3RUbQW7RAvUO+LLIHNvmvFRXccfWIq1y5oqE3mhf5LGOdoE9bOyc
peXWrmwIgVRPu6LKIE9ygx5oywSflBa8gXl8w8zS7tFsKAV0hqOoold1gVyX5UBFQvWeAK4oyje9
dAuopH7Dta7MzDN6NWO9XIOQtefCB1STMbdLu6wPv2PCkk2HahZvGyEO1DFo06qj9hH4XrTjoX+E
Nvb9n9kQAoA3Zr42gcl0Jxqnm/RYAA5bt7C07MBvHPYHlchXgrJBJWv0+5EfKscWGJi9g8U13YiY
S0GZRlu8y3ZAzIrXKq8pVDs0aQW1wfiE35F5eBzJsHPgnADZ/8ZeuTYm7MZ0jMNeobPDtVAJVZ3q
yVenjZN5cc54Yiog9pg58eIT09ETTvTUuA49nqrzr2/Qltl9XF+Y+XeKsX9W+P1RUJUtMdVawh9J
RrAxaSQ5K9WlRda+dIPivYXo+cZ4Fm9y17aEvU/RrbRtu6LN4xB8p5weFfATHbL8oGvPRfYyyFt5
1qWAdm1w9pir7ekbjmn1Hgb7/BQ1O7C065O3+P35eW4adHKTHrr9ftBaCPuWiel68JHH9iHsy9Of
WRB2ZidFbT3qkenCWDlDRLnu5tD3rBtZ9IGrYQhHcKJrAa2BGGkgt7DmLth/JgBsnrWl/LgUlW2N
1iHV+FHJE05iK/RTM5GlOXVC85f2LW/jvTp+Xx/NhhExg1aodZGatMi45ggFSQLa31BLt+lgBg39
l3VbS1sU2B9QAUPRZi7/WwcolDGhy5V+CGP85BvDW9OzHnMYmtatLLoZ5TbHBvPHCSC4MYwWlUkf
q+EioLTbUmZdHMLVx4VA1sktWe6iM9yh0WCzRqQXmBXsERsn5ZYZYelpV9SsaGIMtlzAUZqCFKdB
odtNo73xmF/05p8DEmsERdMAIk0aww2fSZvl/u4vE2w4DGpb4qFL5w01dhPqIsMk1Slsm1omTzs2
ZA3SSjnqsX/q9H+jwEQFByB2129EgnmCXgXqK2uzk1zFspb2NbqaC57ZxqlM39PvaAPq6mhXRNR2
Y7EWHW5Oz5EQhCNCzM9Z1ghHWM8UFhNEWAGdO766sUrLw/lpQghsSh8acZy3vOqVeM919NnQmr01
vUz+ZzOVaKQwT368kXdZ9MGrYQkLBkuMPnXmvI+goNsp7alRNxZpa+KERSoSLzTlgc1U0bIMB19b
5L9jwZppOzRZc+BBunUDM/K02Gxlw2278FSiZoVAJv36vxFwyG9bINPmx6cQcDKr1Aradw23nBtD
ymZ4Pzbxed3G8m3gyogQeBJ5NKQK0DaFlfo0ZfmdmfXvkWYOL54dFMe0jEJ6auS38FfabiQb96VJ
M/H6j1hcrxnxye0KVLh4xXKmpAPnMOARfXboBqh/SQr/mYn5uLrat1Dya7Ex9kSJ5+pvGGfXv77o
0lcDEFYqQixV6iW+Hthzfx3tOZ4Bq+YWQGYxpl6ZEdbKGcIgl8aRTKxaPKQ0cVX+rgi8s6/9XVXh
22QcN8LD4sLY8yNU+fHsEW5WGfHdNqs59Ws3FAf685hrn39j6q5MCBGIrpPa8T2ybI31rwPfdDC+
yKjXrBtZPCOujAghBw7/Xu4s0l2ho+2tUaclZYKsm/R5r59zpTusm1t0B0qVKpgCXkIiBHOQUNZW
a44k07efpu5vr3/TqO37dSNLawNZkqnONWsZKqFbj9YpHjaq0ppuktGL/87IN8L0krNdfV8Tivyo
ItXwVHamKw2n1KQ7B/Z3mkAPaXiWzA0/W5qwa1uCn1V+3PPmZSyPCbwmd6P6G/uTMMpjlIev/aph
owNH3DZyb7qjGr6FsnvX55NL69T6iswxRLwbXFsRtmdlO40cGhMzBkb+pMaQXj5UEDisW1nyZYdq
rswTm24FMY/WNZbl5Z3JWI65+hiFR+hZspOVbb0SFtef1hMwOXNOTcRFNyqgiExi/c3hmKBYEB58
KvsxTTUHy/+4PqZlW7yvNU3jDSc+f6suMqbBGnkhhm7nvQ2fm+ahG7OD+ibpt16jC6vEbUoFgU3p
XSWC3e4bY6obidOAfWPGu6cAXhb90G7l8BYWSQPCCnkYOlm8SEUjRk2uMrVNt/sbpiuykLTJ31e9
seELCzHgxozgcVBuBeo0YcYwjt3cY5sqz+srs7AzNdmQAbA6Orlh8WguLChSC98x3Zp2XoW2Xr07
SbXxW1ZQnIL9zoJeTbtdk7JTo7iPsGJO46Vw3sAkddziIF2cKyCA/7Mx//3qBjCzN5XEa57XSfAt
hmDLqZV365O1ZWKezCsTkl+1XR95phsHdxYN0m0WbqBGFp33ahDz368sTK1iIAo4TxQN2RA0SNEz
PIenvDysj2R52X9OluC/sYz6YBRix0b6qP33O4W/jQvZ8kgsYGSsOdSwQshvR7nyfVM1Xb9Heq9X
95JmnFBUOBnF1/WxLK/KT0vCDWNsR3SrIt10o/GpgYHhN7LPPxoIqGrMFHjiQTxo9IIqvE3d7sN4
+I3M0/XHxVM44LnZVzVe+/j1dwKhAsoJqkNH5/EsbDpZoTFNHUvTHVRlj8JH53/u0PL59cm/NiLs
usGOnQj2OHJzL/aIPJK7/vmFg4Mg/nMMwo7zAqUdyobPo0ATfTTK9yZ1H9qMS888oML9G+H22pqw
+xrPKpukxhq0CUm8p1q2PpolbAfDgf9SBtmNxwp3OtPzJg1mE7Z3/gAlfVqcGr3ZoZ1l2ncGuZom
+KfpLutGl44q7qhUzn6QqYqvTD2MitTRFM5e+a4wY6Qx0CPoDlHqb7jC0lNzvg3/Z0k4rTq18ydj
GLm5JM0ltKa/aNP97NvSRwfBLE3/WBjSm9rvTlmUnlt9CzC2FNLoJ6EWPavkgTi/DZ2WaiSDp3LH
hL+8skAcDcoHvQz/XZ/NLSuCv4dqmylBPZiuk8D63qDrbhjnFv3WPzMj+H0beBYkFlxoq3pP+yJy
LyfbCo+/YYREJ63asolPCiHapIoTSCQ93XgCi4BwEYhpeAZh0/gzO0KAjlFNKsea4oekpTOzz75T
7mjJXzcybx3hco4Tz/zmoNmpcQgn2hgVWtF5BYMpoR24S+J3g/7Vbg50zpfxVlZl6ci5NiZ4OjmV
KoHxEV+r4scx/IKG6Xl9OIu79mo4QqSoLL9Q8pxI4XFnfupQNnFbawt3vTgMG+SDMxNuA+i83TJK
ZmpJleNlw27/92/8fpt+OINWiddK1IFuKmiyEwsANoT2Ay1+tXlXboS2eZrFNaeEzjP8x0tJbC4Z
mriGzNQiqe5Bz5WX8nsVZZedNzMHmZV3VrL+38Ivvq0PbWnW9BlxS+Wby794948R2NZQLDBcqz7K
6WGa3q5//7Vks81V/MqA4F3c/2IjTSfD1QLtCc53hKcQZOGm/h0eWTh6KL32geJy5PcHLg8BZEre
CfT0m9yDqX0syd/1Qf9x/Vct3ed0k4uEMve30vF26yvJoBgQm1BUktCPPRYZYi6O8jbscpjH9NLZ
CE2LK0u7ENRrqsE7WPBMq1NCvZFCTmLLfpsnDmx46CqhEAPUeDA+QgT1l2dOX9aHuLTn9J9GReSl
HdRNoGnUGWHpLna9Ol6ckld+50PbHM0EU3kHKf26zaWBzlzTOjdIHsZibdMZDCSqIGtxNWRe5Ki5
SIa/67TvafEyOTE8htph3eDiHQSMgK1QdDDJOwuB0m9jOac4BAoTbi94LlybpLAB87LZWu/lnrok
NF4QOl/kGix03u67/Hks2o25XtpEFPbVOV8jm6+Q64njJTDFkRJO5RRqZ0gG+w/rA11yWC4D9P7A
40FRTzhCu0zxtS4Crlt30PapKBJOT/CyeGH26+Vp7drQ/EOu3mymZqRmlZENLFrjgirMndye1oey
eLMyUO2QgXJbuKiw+WQfSplcnnHO2fQ4FuhO0r3eSwgaRY9NDx6z8Fi/ejo73UMQbclBzDMlhNnZ
tkNRlKcpdythgMgbOqhKsS/aQ6AeB7h1t3AeC1vvxoRwRSjiYOpodzfdVj7Kj8XwZCdvx2YPDeP6
TKoLXmGAJLKQG6cWQdrrdixNRb0HKlDOpbR7Hko7d+HLMc8KQkHwxxUXa0SS2EGVJ7Btep6gJd3X
w/CSQoZ3xmUvGRxxUeurZ9nuvrUzfRzMa/AmwihnzspMQw/b9kw2F860c8o0vjgzER176bI+ksWB
zKBLMoQAccTAYfd9l2U+r9LqvkFkcjr4zcZcLYQmg1L4fxaENRkMc8gqKAbpVTB3qITtBwnequ6S
Ki/OWB98BCTXhzQHddHPrg0Ka2NkEiLRtNG5jYPu9XiESkyDfxJx5HQfgE3fAMpszeAcoq72bVFL
Mcy6c95A+ytFPxjhwWPWB5cGavD1gS1bsuAUorJsKmLIhaLcIMSxgQrJ+1T5qKDL/mGShi9Wl/x6
1GPRfpqaF/VqUGXd2J3TsZFqGtAiA7bH0j8VXXPI83RjVK/DgkkXrMpFBRGa1wnkMjQiM5Ro+VCB
M7WwSHYp4m/n9ambF+HWJzCiwQsz8yswMiH26Fblhc5AhWpuIbkz/vDrgouXIdwUpsbXJ+Vg7cut
zNHrqMaPd3QLEYpZikJEek5l0+tGSz1vcly7fUa6GzS2vQUteb1tbq3M3ne15Oyooi4zrovObvLg
xHTO+vAJ7mjFez9ugHAXlpzR0KIJDItlFx05Lb2s0Dwq1nr0sfhaoOb29/pyL4CkTd0ybHPeKky+
2MmtKg06zZVnwG4SHdEKHdpHKbtAjdmGX4f+q2F+8JX7vjxH6qd1y6/3KIYpxDM+kxyQmAhn/uRG
4We5rfLYocgc7CDCM3+94HprRVirvm0zur6w4u7e/dnvn33xygtMX6uHuLdB/iQ+HHazWIKdHhLZ
OTbmr5cmb0chBJkO3vp68lkk41v4Ekobx8DWSsz+fjWSPO+ymhcFL41jbD0oxRmBxSz8uD5dC62T
8xgcCt+gveZ/31qRE6u30C3lAhqgITLA6QumPTzGM81vN9P5NRLU55o+5hdZh7vM90zJXf8NC7Ft
ZsyzuYfw/uapc/sT0K4MpqbjkWN54zMqd4hVw5m4buP1IU5B5MqGsFRjYFMBCwLTDWda42QmOB5n
quOynk6tNVXIHg/GzmnIeK4bXuj6Z/dyO+H+YNszhvd2dKAp2y4IZxTiTLNcw7fczcTL3UzBXMsJ
+8uAKSvrOd/bdHKOpHWlPYSPd5OWjxtP6qWZJjOI7I/CRfZVlSuTAslrJhIFBYzQsfJMxD6vD3ch
CBMWf1oQNnYdtVI8tlhIKNX30FbDmt0MX5Og2ueaeSoHOG7RiV43ujAsfIdmcIqENBOIwTJB0yA1
xtnoTH7dwoINl/zWU3zRCOw23DM5iR3x9j84Rdc2HrBVOai4x8Lag9b9+jgWnNQgsUDUJbeACKPw
VGsSI4SzA1cJEu5enTrGd1WElH2ZBA9FOCFn6iSI9/z69ruxKiwZD23byBKimA7Hb1vEBw9g7vrA
FrwCCJmC1pQBiOwV7YBPDimyVHZ4OX2QSjz7UiOl2R1K+4sawkKwBWFd2nQ4IUQbOowe0CkIUU3T
y4LeURbLQo34vSHv4DfW4f3cDcXeU1Ft+cTTrfI3/HDhWsADWKYpVjFkuFHmabiK2KnhJ4Ov+dxv
vV1XHeX2IJnv12dyeWQ/bYiFsqTR+nDwmcr8bGkXhFVSHxWfe+QIo0/akw4LdDNsrN7GsGZxseth
lYMZ0xhL7Mx4bLfNOSz6g1ZvwcKX9tfV5GnCHbQJddWPZCYPQt/H1Pk3532wPncLByrLQx2Qiw0b
WGyd0sMgCvIyxoJ2UhOY993wrkClbt3KQmLJvDEjHDVchIssqFmht2O4l5ITct3Fh0D9Eman/Nfj
+Y0pweF6knS65ePmNi3fDbf3jZLyorfhyjRnAVagfC0czbaTKqXekwoE0+ycS/WMClMRneisifeZ
eirRdXYOUfe8PoVLrnBtVZhBxyclZgVYzbJd+l46rH99yQ2uvy5MWlI7oe8MuEE0OB9a5RwrwV9W
nj6DzXxZt7SQr6Lx4Of06QK2LO2aoQ9iBqJEJ905nmRnLx+nCdWgL9HGvXdxzkjvwTBF1Ydq1u0m
TXUPzJcyX6LQulDhxjbkaCMOzIstvEHnayJcHpRsFdJQtyaCLkvSYD6eJFh3ktwfjiESHJ4OCXyJ
KIfjb9FZLRwbQLKAgHEUGjbZ4VuDgP4KVc8xaDiHPoczPnriwhKP0c40fn36rk2JbRxAHKUmGDkE
zfFR57wI1WnD7RYOd3gqZRPkL22n0E3dDsYxi1TNU+JbhJTRgJhHNL0JOlT60D8Z0vAUbdYbF9YL
ixbQNmRZZPg0bi2STi8Sp2NMRNWdhDK0j2zXxQsfzC2SnKVXxI2p2TuvTr46Q2LDn3h1RQjVp7sh
+9IhGpNfaLfuy3e58Zw6G3treTp/Dm4+tK4sdlEjJfaPd8tRU5674k2K9urH9f27NYHCzaivVS3x
ffyvRB+kQCyl+B5Up/qybmVh586EmQYtHeRjbfH2WsRhkqMEA2i3TGCq+aSmWyj+hQP82oIhhCHN
r9OhmceRKxdo3Cv5Eg3H9UEsTZWu0pwEEJgMvVhlqJsUBoiGQQCjr8x6Zz2i/Y7WAIqf64aWx/LT
kLAmctZEqpdiyIfC1Dmkn21zIxQsWjB4hyqyTewWrwmFHEWRo7Nt/FDfK2DoO/SOZKfbmLGFY4gU
C3gDHi1Qy4o9w1Zcd8gzMpBAfqNlxSVq9Qc5zo69kW2gjhfCKBpn1LpkneI2lZPbrVL5iNAEOZHH
gW0/efDxZbRwtOCsHxXERpyt43tpa17bm/9+tTUts0oq+ot58U7ZJ7ONH63E2sPaQQ62eAmpF39Z
d4mlmby2JxwTEvqMhVXP55IUHyobSHLRHmwFeXDvrz+xBOT1dmSNWdidYuIajmXuUy1CbuVFS8tj
Uv76DQgCR8OA0Zw0IGfgraGsmFQjdOYhVRyuQ7+foo3jaHHSriwI1201axNKbDhFyjyhYGQP6MRV
+2zLzRedAS8HW0u69BXtNHduhZNhdgb90Xae6x6Blu86QqDtTqc8tL4+i+cQ3XH/WRNcr3cKn/TC
fOQF++xTLl1qdMm+JMOHcqsWuTh/V5YEp0PaTavbFEvJ9I/hpQe5/Ep8P5AZ3hjTUji6GpJ4h5xI
MqalNccJhAOQkxm6t2SUfscbuOUDgIa7m+7SW38btbD0yA+SBURoDiDrftBtV9Hqg6G8X1+ipdOO
/nJuI/SxktsW5o2k26AOqUUibqo/kkY/plZ//g0TPPKQyEUk9xVpbF9Okle21H5CKo66eVfT37Vu
Ycmp52fk/yzMznEV4QZoPD1rANTLe39nVN0xi+8TBNaq3t5Y/SU3u7Ykxm4PpussYiwprHl6v3f0
97V1117Wx7NQDgateDUgYd/oel4EM6bMpcUr34+linRKMasmkg0bd55tHnCQh8IM7uSmuCCm8mJV
EerIYesGavtWy9L0TPcRyppepVymuLnzlPp9V+jGyYPq8Fzr8X1tBd/NsPV3oe/fZ179jI5QuOHH
S9eQ63EI3hXY1VAoPQujVMNnRCu/Gbp3p7NA8bxQhr7x/l7am7BLGIBIVLokRWixJYV1ZvY4M7pV
5+KrDllOPT2vr82iDTKbtFhxdr/KO/IAQtGu9C1eJkOFNFGMnnWPRmqKiNSfWVJvvbpUJb2Uciyp
yU495t1u6wG5uG2uhiJEmd7WGlNBD9st5a/xnT7u0Hf9GI/jG0mq91GVboxn6fkN/w685KwOcFgR
PeUH6LVbSDi7vT64sQdySfqhHNqhfpnW0YORKECbpuNgxA4aAqj2Ntn4sj6pi/Hu528QwVROO3i+
mvAbNLqxwt1GNF3096uvC/eEfk4wQDpguUNcf4rmEaTt+Kz448coQ115wFvWh7MYjyC8tAFv2+Yr
jv+wQ7mwKW2aAML0ApHSvtIRo2qaWX7QXTe1NHM0FHAzhueIrLiwlxtt8LrUIaMRIoB8NLX9b3xe
0xkG9J28yIXI2lZxaQElJbnQ7saKfO1p/ftL+5ZD7r/vCyHVs6jmyHPWVHHah7obT2yvkxLKv16K
trjd05IxozC5Bt9u2qqoW3T8yGYZ/UfJKHaydwhlbWMnLY4FwAYPVP55xV5e2ikS2jodf7ohXSr9
Ta5bKMZu7JSl6IBayH9GhPAT9WnVWC3okAB4dAZCHyYd2L93Vlm+zZqnDPb331ihK4NCOFJ6xaJh
lsPC5JDgORl3nxqzfl43snglvR7W7OZXd4U0tFvJGxgW5dy3IeNJo5Nsf+pL80KF4kPqh3vLq3Zp
s7FTl/LQvCsBq9GgOxd4BAd38iZHwpRFc3LvPpnUf8ba/tsu4/uqc6ZTGfVQ1PT62zb+isQJSYEG
xQZfV3ZePGYbe2Epalz/FGEv1ACQvagaTFcdv8aJFNBl16CN6SV3Xixt2FoMG1fDFsIGfMNhq8TY
Kj5rDRjSLSWqje+LhB8d6ou2b/L9oNvBMNz5G1nWjbkSS1d2345t0rJsWtEcFbV90fN3rSYjrJof
1l1zeVf/5yCqsOEMuYSzsB+ZqblLMN9p52xqN/bY4mxxWPAkM8GginCSyUnayBvoRulqRNb+7YeN
7bU4W1ffn/9+tbsKqVekMuT7dnJGszeiR0RTTkq/cVgsTtWVGWEvTW1klT54evKbqOY+PW53DS1O
1Ewm/SNB/AqHMVZ954w+gEy//i4Bu+iqLZ7Pxfh6ZUFY7gFp3ywMcVyPfdfMG1BqzJBahPkBGqaP
ZdOkd8qYJb/jZVdmhSibBtxKtLKkG0q5k838aEDwEhhffsOVr4zMs3vtBjNeystqQnlrfWiT8aPT
2MEZdeqtO/LWMs2OcmWoKeNQ0SYMtWp0HjPjQ2Drx/WxLBXdaOHXIGHjRfGai9OXq6nJLI50RZlO
tVw71U6bR9LoFiE6q+5KPXwizA1QZ2nh0Vf8+ylKLvLG1lrw+ZufIfiLbY1SbqNX62YEOv8BphRl
AzG+cHu9sSC4hpfnxRBnGaHUjf/tjO+Z8dFGp1D6xYSupYJXoy42s7MShMT2mCjUpKmtRsvtXOMi
n7qX9fUS50n8vDBPkpwqEO/0PJuysyW9NfV/wi06q1cvGdGGMFOBUVdyq2FDqi7ZcIKqwFAPuATP
np3qn/9sQMJmIntSREaAsSj60vrPtfoi9RuHnBiL/n88lDvAVcusiXBIg6iM1K6rLNcpg2NR3fXW
eGio9iaoIPf2ZRw22z3m1Ox18VKwKNZAJiUro9rOrJmNqRiiz2GNZPyb/yPvy5Yjx7Ukf6Ws3plN
gAvItu42Gy6xKSSFdqVeaFpJcAG4ACTBrx9nVlVXpm7dm3N75mFmuqxelFIsjAABP378uLciMvAV
EY1/TSG2ttub/8pH+Z/X6X2qz2oy+VZudajPPCuG4KBuKmQY/2TD+OsF+OeLfFqARI4K/i54kUGa
bWfxeJx3gfuTe/Xzxvf58/u0AqXSlaYdvjEPwwiGvQXVT+7Sz5vB5xf4tOrsJeyrpRtQrJOvyn7w
kPBF+A1YCN7/5LD4yeLz1s/zuz0cabmihakA2+vFbEcL4Rrellt3qioeBxrRzPvJ9/MNSP2jtfcJ
pPSdYZMaW7Yvsqh7th67axeZrHcNwqWT/7319gmn5DQH5l+XgmrcS1MvDzwf3rvR/Ky2+Nnd9AnQ
L2MT9N6CKxqDYq+CPp3Emd+fyp2f6zPDva1FNz8zAfkM9T4vkE97hiZGd42Fr21Ut457bjebsdou
7k/SDX5yM/nrlX+3OIjNh8UrcWWZzpKgPPnESYqfLIif3EufNbdcFoEc1iuxg8WPnaKxY9hPxf94
KXwrFD6vOrT7MAKOsVYMKn5aCzWCvNF2xg3VNWTrdGsNmJ9NSEgN4Zo/Gu/r6L4wUg6HpRwg5kFO
ky0GCACLpAlHhVgl2kWLno4a7xSDlCXUenXc5c3GGsefdCj/6kP//q1+Wk68wBCxKke2z4tmW0to
kMVlnY0/OXT+agF9/yqfFlBXmBpsmWL7gHc7L2eHgdoHuN3uuvG/sIi+e6XPNSIXTqPgM4eletmc
6vgnO+VPruNzhUiHoPK8Ec8OBnWw4f5Y6U3tXbNp/49X0F+/zpqCGMI74296+oUVOnNYLrgKWLTD
NftSxa79k1X6l988OB9QikhF+1sX5Q7zY0ODY7nff/0Zw/eX7/+75/60qjBbyTzbarDP11E1p9Qg
njr1pp8cjD97lU+rqgT7avoRVzAcVHvp2ZghTayv376Jf3md/zV/l6ff7trhP/4NP79KxNDzvFCf
fvyPW9ng/39bH/Off/MfP/6Ih/z+lMmzev7hh1QorsyVfu/N9fuga/XtxfDi61/+r/7yl/dvz3Jr
2vd///X5reEi4YPq+av69fdf7d/+/VfYWq3uE/ic/uX7F/n9Ly6eGzx4tTf45bZ4bv/6ge/Pg/r2
RF8wEIwMcxhmQz+8Chem9z9+g74epJQU3aN1Av3XX4TsVbE+6MuaE/6tw4g1BTvrX38ZpP79VwTe
TgRmVQhBRknw6x/v74dv4M9v5Behm5PkQg3//isSbX9AlFDqQJDmeNBv4BkhKg0/La82DHhLUFrs
6hb9mIUtBx0UiqWiGVgahl29WWASknA60qMlNVCmoeVuqseqilHVzZsMrGpkFyj2xQJVdGAgD2zC
mu4nrNYuQ2xnr0iaBfpJlVmztwiQapFRFo8ivKCtA6vhEgy8pZ0wmTVsOOzcO2h4wx1816m3sFiZ
Y1Y3GZLDlJN6gl60eb1zRsTplCF9JH0gDznt+f2k834DU2bnisqaR8ESim0m3C3vqZXYDO4R3sTP
w3FWZ5PH/esqqC9YPuebqRn82ApGmEVDAajyLYY8kZHNqxDB5p4QRdSVY/9QEJanAzUW3wQETxwP
dd0f+nYad60OIML0LL2QyJXVHEZG0GAzGzHRFKPvxZ4XDYx1iUUg4dbcHKTTv9XD4G6hfLvV1JIb
12oe+GJfdtSQlOXTU08NFDt9Zq0DFl00ukGy9MrJo06So8MXID68eVZY2zIfxrhECs9EsoPqpoM0
xY6M5qtUddL1hYmKnJYRYXg+qs4VHeDt459ZUwFz9CH7mDMb1qHmCKMCEi1LXyE3MrsOQ35p1z2a
6bAI0M3oADAb5FMH4lHIASW7hJIkRl6T3IzoPZ3ycWovMc1Y3sHfu0gQMZAlzizndDazd6d1M6Xj
KHuDMVBdH6E7wKfiV2XUs+zWcYJXWjQ6KU0QJiGGn84q7tUXpVyKSCBZOporzT8yy8d8CR/ciFSu
jrOiKjfVXFd5hP6RE8En3YLC1zvvS8mvMpgZ7f2S8LMKcGC/dF5zQlOdXTB7UTeWpGMEN3o7MU2F
73Um9hF+ATwR4C1uZdiNm8brl62QtD9gIqOCdhOW2EZ6N6ylm6w472oBn9+Mn6B6M+dT79oXZb6u
7pbm03aAXGjDZwpLcGS3JBXrX1Uv/K3XgSbvuzllQXlnAvYc8CGLSux1McyKHqTrjUlGrQC6kuqa
IuaW89QKrOXUWjVP7Yo9Z1kYRkJTcPBe48R5GXrbxXOrqC37R4gi9KashuBByMqqIx6MUP25cpjD
pJ0lv0Ubz0G7C5HWbU2COMdiRZI2INbXPM/s3874f2rHP+evvRzkh/pxl//xmPh/51ywEP+HSSgE
+uKI/PtHw+5Z/7LlzyL//mj44bF/ng4Q5/nrVCn6Xggj+/50QMcX45MYbPttyun3wyH8AiiMFDgI
++g6BLAaMP5+OIRfvimM4TgJ1g17Gli5f+Z0oGs9/Cf6Xk8H9JshiMQoJfx44C75Yx1hDyq0MQg1
QXCJ+3+qg7OWUJnowLuwWpfHVYmpr4WVV6FXwVCgusqh4N4MFX2nSsqELeWurzITjRl7siHgi/N+
vhLSgT9WpSPkVneRM7VI9Xabx7LJnETRKm0ZAoxzN98hoHeT2e0dK33v4DrzafCw/VnFfFno+UQK
PUStGufYRaBlwyDKQqIgiWxYB8dssFnMtH3tz7yNLCaLeAm7mcKY2enV2cLCZKkbMcWeyc2LyhER
gvaXm+J76q/LkL21OYE8IXMLdBS06bH1dltsP+xoZHnklXU39nWaC/PWKTit0lAe4fAhU9/qD5yF
L10730/B4kRZ3raRod2WttMTd+VezFmAj8wr007bw7uDoOP70SzivBhVHQcu4oJmz3Q7VVsS2oKG
nIxveTvuhOOjCfQWxlhPLdFjXNft+dxmz50LV56qFBc4K4p1Y7yQo1w/6SLBtLWzC233MAwTUl/H
7dL169OjYhjyip1MDWUrLS0WOZ11YrnfbZyF1AkiFKukqOanojNfeaebCNNVOrFrjuAJVeddVBS1
2CCur017ZUjk57559qb51WTwVHYzmGbUgp377VLeNCMnifbqqk4czvsoxxz6R7nM/NogtDjGvEa/
H2ZLIY8U5Lrn4LzNtElxrxx9r9jQwUonq9kNmXvn1vqU2WI/N/oEAxs4Ks6miTxrwiHbvXBbf8ix
7yIqadpIeNePwYjjtiiwkZJIgWCKfNK0cVm5H6ak7247hrFL8am1Dp+2ayhRjDQCb+dVlD21Yeke
ZWHytCHFBrbLy8H2Wjvy6+JODguJjeX1SdkH7o4vY9qUEofw0D05OdTD1TSrtDPYWxeyqLNicbx1
md5Ak8sOboMStahZm5S1+5ApVKaQrVwp7cbaRWANXl7F81Sf3Kppotb4d6IfdjAdcJPJ1VVUOTgX
unm5sE1mJ4Ucnq3K2hJWwu/LtdLGLd9hAFrAN3c6erLbCMLmtHDrr10/YYll0E9Xy4zytFuizsMc
FLNvWLlBwmli8ynmHmJ7Cx+6KYu1DMBDf/z/Xgh4NnbGv7/b/w/xt5v9twLi2+P+3OmhjkeeDyYZ
YOIYAIn/UQe4X2DNDetehpQPtPJBfX5XB2CiA8w/IaupEMODvqsDoKtdqWc4THkoV/6ZrZ54K9D/
YavHiYbeAuw9gwAzjvZaIX5HGbnGM2RoGrMb0XTak7Z3r8tGt9E8dsxEjCMfsxrnNglYbyFIqwl3
QPHWqeZ5n8iqLGOsaqJiYGzlJtZcuCLu0dcE2GHluFv87N7Ki69Q723mrm4OQ/9bQ2hIJtvPIkgy
XNycAC9kUo84KSv4M1X+lureicvFE8Cd4B0J8E9IerSLQkAi7c1fs6UMwetYY1IBPjl+q+JwRVRm
zJ4DQCwkWqVwgMEA/Yq+SsAwa8VjPijtSK0YrVvRWvUNuM0rhkNZaM7rFdf1AHiNe3RKslkA+2Sp
u72XDRXcN4AJxYoO2xUn9kGjbvmKHdWKIpcVT84rssxbYMxgRZv9ijvtFYHWKxZlKyrNmhrqEL3w
qwmQNVyx67yi2GqCugynHLAtXVHuuOJdnWErqQHJkZYBC+lqxcX1ipCzb1h5Rc207TVSgYLXIXCq
CHD3xl0xNjwr6uP0DXiPKwY3KxpfjEbzZWZZYlv1EpGCufdu7TcIS2lxhAZjgS+6tLp3Ueqbwc5U
4nviAuC9OgSNR1PPQbxSlXtyWzroCfC+oRejN5dpVvv5tnVLmUxOcQzsar8IDKz2ChHGbek6l2Cq
HJmYoZM4EZtnx3obnOkGAyr9LtRDk2YjdnI/b/v3alGMfLS+a94N89UTtsgsiKt+KRaEEzprQlUQ
csi2SgaHBMX3sHFj7wLxi0eUPGhxs0Ed6dRiMeiW2JfUmhb3PkdPwWKK+shIaLJ0dKrwUhDzDtQQ
W3OAgdeggcj7/9SG9wMPsn2XK7EwfEbKP7Al/zfRIwy88t/fFY/PzS8rRfI9BP6NVlkf98euGHyB
Ce+3zAIHxaGPbeePXZF9oZjYRAQhup7ofH7HjtAvEETbq9Eh1Bgw08fm/MeuSL7A/Zraqw8mWs+Q
bPwzuyL0Z593RbwyYOjqRY9kbpi4/7gr9vAkn+uB8n0HxWCC7f0K0VjvcK8zyEFuvURJv9tNXlnF
JeX5JfQOIpnr8jYYNA78PPiK5auiKWs7zK7ll8qlfDstnUwb5asXgoSitCwXfeZlPkkU95Dy7eby
ru0Amvk40DO/rtnRbqwqcqntrs555TqPO+/U4iFGmyFvVKjqDOXChSt7F5MjsormkCS9pgl3Fo6N
yh0SVbELr2U8rrvhwisQWB15bc0vBgzXJfUs27sMcwyT3xo41Isx7sIRpX7lvhRjM+CKfMig8z1S
kxmcGQOkg9bqDn5sX6Gny6NsKbDHsrMQsZHJPDZPHseTwX2ujGrwJxDZqVeA2CLCyDlKdQTjJCjs
aWRI18ez1gYhUz6LFaWvS1DZOCAoNsApc7ej3RUQtck+Zl7Ok6BrHu0RQZG66stILu5zVYli507+
WQliKTL2vJsr58WesgDFx4z3Oomo4v2QetIJjiHQX2Q4vYZe7TGbh4uWFA+VWoKo4OFdN5X6YQq6
PApQqV3DQeYsK7vbIseXPU6gRnKiWTJiY4skA4fsuR3gKRvquGmzMXb6ZgSYHp5cKs1uyfqTq/KH
rAZWWycWHmtTPWaqwgzyGMgNiLdyr2grDnOu3EjU2tv4tViOAtviu7Rr8A8wALiBulPEZu5Wqgwf
keNOQH0GB5hsEDQ62DdWRYt4mAYgTam3HelAHcjuUjlQjlUNrL4WZ8OUb6duCVZmCiuOBHvtXll2
d3A0oXFWsrvCBDK1rcFPYAHFUjNi1omF+Ydj6SzCfLbagIbzz6cORge4sm1YIOZU4xBOyzEskzlv
YBcN1gK2BFxubYf0CZzZPobWVhEkvCwmaErPTnYVtP35UBUXIVbfAyWdl7heufX68DiPKJ/4wlLC
6hQzs0ADtp3mM3b30SJd6lolfDgmCrJpRff1NfilD1Z64XHsputcC4Rd9PQ4Vwy+ZmiHUtIECfQG
p9kT16xrI+JacD6jyjnBqGWJA1FOKXKHeCo89YSEWDtC4qm9Eb64dZ3hKEp+B0PHJl6KEnk+tj46
usV4MHmaxYBjnYfnDRjMAT2wXT9nbzBhFxeVG5ZR4KsiNixz0StHbEXlVn68KJ2EvUW2YQVq0W3p
7azNNtMzUE9eNolT13u7E9d8lRhhlm0U9F0Y6Cz56H1YqrlwZufcabyTI3EVEIRf+tKGjWi2nKy2
PPjdRJNGSJJO3MOIRSDneCq8bZF3b9pq8S+5V+0w4HBhQnqabXzA8Kk2+XiCHc6Bk6qN+l6+WFpd
COp/zIPBFVBUUEVDnkMB5FWxZeNN5LqGXV7iW0BxzJ+jbCxEWqkRMV7DqR+7F9rRGwuHL6i17BJM
1ZmLHUgFKFXQHolgnnLAgjlw270kXnapGYWD9Rjiu26bVNnsw1f60bGnPu5l+xXU+YJiDmZY0hK4
06YcvCoMVFmBzzA3bbvBVnLVSnYEyTlGXcvvMeH4AMn1my5Qvussf5U9jPyyeWm3chFHv0QaYOHy
nW4qunEaYEfZjR+9kWI78eUY2thoJyk/ZpFnm8rN7QjDDE08eeOUQDI5xnbG+qSa2CtGd58sDE9t
6awJeAj3XnJ44uMIiQNrujRMmbiZ6K6ZfZ2wTJ9J4X7YXG1JO8E2TCVU4lYo2rNccQSt5f3esfVr
BawVI0DmZaHhrpIT+vkWeGQwnJgRkCgmx9fZnzZTr8S+BAg/VUKBN+eFs+3H/slHam9E58LB18lu
2Vw+L1Z/17FB4KopjwpH4DTiHAZmbI9cr/PWIBVXMOelsdkbya1tS9qELO4Ct8RxH47udkFWOBSc
kAUhUOJ9FG4Qy55clrV3hVr03Gmzo6zsPW5E2JI4B2Wpkx7aLVnaB6MFTYyVgb8nGCvqZ0TXIZ8i
Nq0XAN4buAaREHbL7lM/yO1o+G5xcyxN4SA0mZ6LZTwhP2lLq8ZDFcxfoI0K49ZnN7OBwhdl6qFT
822p6nMdOKkW4jmU1n1hh5e20+PWCdQZn5aPblnS0R8vqtk9g7fzKyfZrRdaH6rub7qCNmB+cN4E
bLrSQUajDNtUhg5uafJrQtkl5luzKFMwBsfxwAf/DTlrCRVOEmQz5vNsnkAMeBOIKbGLaStNta1L
P+V0wL1uDqixb0WxXFZ5vaXThLBoUx5Ey792o72FnXuznsgG3O8cG75l2NkprSEaWeRZYw1ny2xj
xD5rYpkNezoJ3PYMqyXQKZ/GF4L+DNzzs8vSF12kJLr83GvPqHaw/wVdrIs6nQWLKz2fY3C/jlw1
7bNiWD+GFAc6DjKHP5Vem7ba3hR5AcokM0dnyZLSUhK09HhOOxZpdByQcnzAGAg0JhM4I8JhbaJN
JCXcmTVprw3pt+hS7nzNd6oZ/cNSi9e6pU5s8VaDcmkPQdgzRBf3MXHK4drO5nOYzKuDvQZbQlD6
bhzhx/YYojITfq+iLMzue9HDCA/jWrDTJWxDG4R5k+IS9l1HXW+KXtqwpADLN8h7Y8wzc2YcY+yU
1eogfIKnK8KHRpf3Iit43HWyiOyx29dGX9YyRAitVGeehYuc4Nc/QBAper4bpy7YhM4Z/Jeh9vV2
Yasu/CY/+LD/iUtudaju5I1mvtzmVfY6ToOOBtdLAwrw54HnQxHltuCdwOcNg7ix63k4c3jlwmYk
w3SOkSzOpvIiX4Af6hont0RkabTU1tHuOdI9G/aG3L03OG7JxPEXnkJPWMetWOyzHCVd3Cnva62t
d0fN6UgmHUkbs6+lgL+E309p6Q9nvfbIocrRWEO01XYZmudgMDIOcMEwUedoj1Xh82TDbkCSe5m7
D8jcClOqWHWBy72zMckVCdcZN5lVfx2rDH6Qyt25Pb8dGX8xfVPEuV8uMcLo3IjBECLSaj7H0IVc
CYPHakY0raWhCLHbIhWk/8DYx5KQYTxAttBuWBu20UA1dqRifuyr6r4hi3XeUvs4QcudBkvhpbpj
9rnTObe9Y713eTjFbje0iVU6wxnTDoeRdrBfiintXVg6K36e1eZmQQ/xumpb+IwukHyWDHUdIeuG
NBR5Wk4MdbNvOQdeZVsQYKAZBlIfJIethPHYlCykAd8YFgfLN5ddie+rgldJ0tmjk7qkPGmXoDXo
N6d27cCQDOUkLdQtGnvjAW6AYeJW9YQ/x0fcK/wFZEz+SQeg1dDl88HKjjCMksK/qsfyxiYFMI+o
RFyO4E4cKKy2ahT8dhGVwpuFbszWc5KZN4Y66wz+tXmsqsneqty5HzMg/YmQi5BIelYUy4WhLiYZ
HezzsxCvjPZt1C0l6O8sv5mn8N5r4FElDS6VjSj9p9I+OrU8jXZ4PjNxbwQHmS/NkixqYnFR296m
HtVe5h1STjVNg7G5HiBy2Q8lgiDrcHid+wl3AwPdPJd1tUMrb18w0yaOlZ0E3DijQRsD8GMHae2A
GejD8kHawc4bi5vAg26RlfkzCOF8z2GIjEzLUEf54uSH0JuOrA8u5qBdkhIBHDiVQ7H3FLrLpKN3
mLuFF9YIc/S26K7nQN+gvIfcB6ZLiMKAVX0YUYe/uhowwM6QYc440DPLh6h0oPybq/tiMLCl7GnU
zPwCBgnhWTA1ThTSEtsk908gyHO0k51NIOYugSw74W0fMZZ6A7LqYc3eTC9ePTSxbbDOkMrwnvXw
Q3Era95ZonywZfbQCelvOQxtNrwye+3xasuJX+8qS7oRndh5qS1Y4eYsjCvQSxHuZffeM279Toq6
+NqFU41iCIYdQ1kV+xlDiREzwwftQbHlC7ZfStDylvNliLnAyKjpseAZdEcDuCTioU8zsRHN+WAZ
qp3yGvvJodauQOJmDLvOOysATmiCcYotFMDQk1Z2KpsZXPdYfx0a302Im29zSbI7RzVgpBk25QqO
D1FYtG9g/OWlsou3ceHDDiOH1YZxjGCwoTivqeqSxlnOTDs5INflpgeV+Jv+7L9zc/E3dsQH//v3
WZVToaE5kX9LqqwP+4NU8b64YCxAKEPCgpFRCHb/IFXcLxjzRWK454arkBxNzN+pZkq+MPgige5w
MA5N3JUA/p1UoVCjgE/B5DweCW74n6Oa4fv6iVTBzQBpC6hrD6OFiLP9TKr0wq3JjMreoDGH+yAA
bOYYa7X8N/gsJG2j9hkT70TwKymcr9i9fQANhE2xJtvYMArT2XzvI3aZ8RbRNOwax8WSaFG+tFQe
p957bXR2X3mZSo3E0i9RfqODNUG3IrIlqufujcyERMU0bO0CQie+1rCuErhzqvHDCSv9AitG9Fiy
iccFJk02lu6m8w69qTMxhfUpNwh8trkVnnmtt+xlYVl3JQmKx3m1wDGD5jeen8PLTI3o4bEBd6Fl
z2ChUcHyLYbs+xjCG4r+nXI24CCRSJv7Qeqj5JuiYR5kGvbmJcj681KYZssbAmV5OeDol+UhoO0V
z6YTgMeCwHEUcsw407WjM1wmyashMQIe/Ii2aI4jzbpN0ebnxBZwMLeRDjDYyj5049yc7BwjRp7r
QOfaS+QV93MUlmGf6AY5e03veZeqyST8ALxyn6EpFGfhMIB1HfN4QqQAogbEJnQlBAp+AGd16onY
a7orwIZghwQXDgUFuatbNAMF4R5gYi03siEl/Orgcl5YOaIfbGwNE2YXq7sBEq1+Kh5omwFgaT/N
kDy0Z4UzRfM0WgAxc7vVrAwT5ltgcCgk4rrOVkXPpsMWk3vZhnpWGKH/duNA/4zjzo7KmSMEoSbX
eV+Z7WDKWFph2nt97BX0wR8DJ1aWdysYIJA1hukykybhYqmg5L8IIAeK2rbG6EhY4/ACfK9dIHUq
MKNaZ3OF88A5umWwH1D0RnkDQ9YqKEBEtcjQLkT7Nozlac5Qb2Zin/fDkcDTjOT0kU3OuYHVdtL3
vRtJP++SKgAeH3zvQXmS4mBk56TOs1jbgiRNBRUUarc0x8ATm+iTNy43OOUewgbFnDcHwCR9f/IX
40VD1ty5GZQhzK2erBa1U1U57yV4btY2Txkq4cxCM5/azTacyiN6uvgciwbgVKYV5cdswT8w/5n2
JlUTX+Fdc50vtognx77Wdj/Fjm2CaMrtejvNpAYvMLANq3mXtBaK1EZSnbq2uHZz8oJW2E3YZO9k
YcMB/fkzXWXBRuXNh2ztMQKFckSrFKHzYfOo/fkDurIm5m2HJm9ZXxWaheDeqjoKJ/uI87s6uU55
0Zekw2fcnU2tHzyAb7vhtOAQNaFPNIFeS1FJGDQFsORFHkYe6W8UX8sWwzCAVBlUe/P0LGZwJrI7
6TGEoGhqqx0yaK7nMfeSXuC8q91KbdA4QVEMnuPMahmDVg3gnUwdAhpa1m14Ic4nB2ccliTeDNBA
gTIkcm3gdR1yHfcBDOyKxh+2GgZMdxOcdRE+jU7xlBOWdgyLu2JFcYTs4DWYqn1PkU4d4N2j/0sw
YlY4dZRl3hkPiyYalNudELEBWjUgJm5dkJsG0q6dY4EaqWZbxi08+kp4u0bF7Lww6B7TqRXBDkqS
feN25RYk26UdTu+USnkGMgUqNif8CmsMTGd13S2zyZAEsr7MW/fYukrGfacuxQyGApxaQmrg7xIb
beQO7B6ly5vhmkZzH1xaMFiMbDOOO+F2bzKQduwiXXGDRnibyIHF+UqB5Wj+IPKtcLch0qujbs4A
ejrBt3PYvfKsmbad6A52MV4LB0N2w+xeQyjsp0qMUHbTzt7kI7+0wf5uPT2XqCS5RC+v9WOXLAe3
0NeQ0dHU0vn5FEhvE2gNNT+6R1FF4czQDRMIR4LiJXM5Mh7c/mXIicENUj26pPjd0fe/M0L5TwlT
8A8b4vdcFL8Aqbx+D1N+eOyfSGUVuWI+0IXBBbopfyIV74uDzFcHI4QIZvU9wJE/kQqAAyYLPeLD
IhK2Qn8iFfIFAcuuE/o+JFUAOOyfaf/QT9MHiMsG6IHr9dpgRzgCwM+P7R9sGmHnLXl1kD614mly
wxvUvs2NC1eZnQLXE0v8F0ksPgg8b7C+UJXauo2EXe/cqX+0LLJT2XDeO871pOqTrau3Wjd5Ipj1
tYDlRVfYz33FwTw28HtuQQ9gdhCLFcwSpJ8bkzWHrB37CLF/VxivzSMxdFed66RYrk482gyr2rin
qW38qPDQFUaQIsTb4FZmuYeCBUEomb3AMS1Em3YcbygaRXmJUGVBxqieuos+9K8D+L0Yt31B2Vwm
2vbLKPSKmz6o9lUunmyimxjTJMcC3wZcJtxbjbN6qzKbg43DIYiW2Haizg3FHYdJpDc/m65tTuuY
B4wD/tNig3RiuHpgIC+CogqMln02LuPRMPemZ15iqKkBOGxQvwwSUCRSIS7GMMymtvXGWOHOmh4h
PYam8kwOGKrgxYbN/CGzvWYX1F0R1wjvQ8QMrZKZ2QMQnr6QS2CSnoEphooL6gTmUJy8y4aI4p6G
FsXG14VxjeH3wJPrziSgWhAwiffpnKimRgqGWw2bWpYkzXuLYVOpYdkJ0JXA+VztstHmEQaiZnQm
cCXUns/KoHiSmbWzurLf1HDv3g3EKiE2Yzl0pH63zUdyAQnVtpF9HbuVfs98AcWtJ55X8+9NuHjd
drLIXZiF5gkeFmTncm02YEdx8OpVCO0PBzqgaaOK+YoT/ZGX5a1cOwFU1Uet1OM40qd+XFV56JxG
TcVztOh9iO/0BZDzg6yDBRU2HsCROLNpaJij4e1pGLbj0Ea8o4VzfX7u5XIPdZaNY7G0Itsa3cgN
ixx66ryOvVadihKC1ckEWEM+7dAecZ66tSBtMP0djf+TujNbjhtJsuiv9A+gDPvymsidi7iJlPQC
I0UJ+77j6+dA3VVMguiEqWoeZszaus2KXemICI8ID/fr93a6ilPE5dYao8Z8jB/LMZKM/h1TEl1S
7y3W7RhxOmPsSeVzx9nc8v8145tijFDFMVbtFDL0UudcFpGab4MxoqX64kG2TZQr/wp49TH2tX5F
wVY6rHyhvrEIkDMC5XKMmHW96SmvFPFOjPMrsW6ENc/XUZ5zyMxLuXM/ZXpgHB1Q0Q/AwfXYrtG9
3P5vAQD+D9b2/zqnDR5m//0huk//ZXv+v67Go96mLWP2qB9/4s+j3vhDJF/Ou89Cmhr6tbejXv9D
0XS6Z+CWg4NqPGX/xD9xnuugXC2esmOPgvZ21NMiwc0AFlczTX4XiNTvHPXvO3hGoCvqZUQ3WIc8
jt6K9wf9CMpMiwKcZeXdNW5+UfXA3d0l0mYyXO+evtwj9FuAceJrYVancWL8+ynKKhESz00CfZ8X
vrMPiuAm6cX9EOWUanlIJ0dZ980r2Tf8NbArjnNBSvVVr8evSRS9+vCaAe3xBMPWyf+vzJhnWDlw
2nQq70otEPMvERVeRKuQlwx5Fm+c0pBXScGrqfEDELKlWKyjSHwIc7PdUy4ixlR6QJ2ml9x0Zf2M
ZAZyi9x6dll4pt33Um27QnKba2bI9lesL6ZY+4CtChqN1WhriUVJ2s27Mp3aWpEnytZ53Qt2Kg4U
LdqB66mrslXaBum1ZpbutmYv3skFYXHrdMUT+uLSOjP7YOtXDpenV5rwV5UcpFkwgv1FSK3IWPUb
k4YxO8+a1y5XhZ2b6Z/EpvFuvdRyVgSowWWudl95Hr9qUX5VSJm7h0P6iQBC3w9DfqgNcTUw+FUR
QUHooGi9xfOsp0zS3K+12VN3HhRn3cVFs/Pp5I+DtVU1945aoVwTF3daBghBzcR9Tdi7bcX0LlV9
IAxBp2N+eKoMo12lgLZAbzYtddMquvAsfS+YoDJLifcAgrY/3K78FJbKnTy0FD4rmgO67ug59V1Y
6IE9SOa3KPU+d7FlB4r6FWyBtAK0dUei4jlKxJcibx8HTaeMOYA9k5veVkznKKjWMXeUn70RMzyN
lKbatD+KSASj0qbXkapcw97d2WHeuzdp0sbH1i/8z7LePcVe42wskxKDlqrSWo+HYu+nlHAgxaLV
p6wpJMrdjaoC1HU73hwhkmiUT5pbcNQ8LAvvFnq8BGxL1gFPu2lqYx/Enrc2ldqwEzO7931H2jqS
ByrXlK5MN7rPmzHf7QGE6ETq8JGISH3PBWvHecFl1YPoDZp0r2eURBIEMIasMC4jEcGDsKjcDVWT
eyfyctto8mZXaYGGu4a3VgiEWw6ko9DEeP3Iu654Hun9Amxu5ZNFVoOEooxbsAkCk8nOeAvk5vBp
iMovhaE8EQRxc4pflUF5UTvX5I6i60hKzHty0CPh0aCSGCheu0Ix7gYrUK66oNrFgXpHVefoeN5z
rY6UdnoMLahXr/uBkAvss781QnwjZBet0pDJimUK/qmDYKNRbF0q97dtlpPM8nLvVU2KhNq2mwLA
a8XG6naS11m2mTs3ktZTkA+TBkRkGSUSJUHg1wZ1FwDbme/uG+pdnhbWdwMw8UJ3mq3Ra/shDhTS
z7WxlbzhPvVcnteQUdm+W3cPauOi/eY3n0IvrNYc0t9609361Cc2gLFxXFl4AlpyU1jsIC94gX7g
1m8pkvZecUUe6nPumRuphOjFTR9iUW7WlRNd9pFyiQblhS9RbQbM7NhVrsYbsuW3eo/Od9L1SEsM
6UMFk5IztD+0gt5cp6QybEYXUSHdGdEIskkH5qly8pUayzXdPdk2lfq7Oi+/iQ7FoJSZimsJKFVw
0ZFJJyMTP/Wxktt9pL2octmtQVU+i+T1V6LvIALa1t8zq2f6OplA0uTfqFPfTk3ra9Bae7/yH+Wy
OoZg8oGFEz0Z5bdWCO4hrriNZLppLDl8rPTwVu9UVFkV8bObp/eBLN47pfU1atOAUInnQCQEV6Ue
XFpBcBGV3hcVFgo/cr4IdUt5ty7IPQ3g8Fu/1K6rRDK3EqBHMLWZ123NLE/pWDZT8Ci6k+grIp3g
0mUrrdkzdpwQ0LKzc5sEcLg3kZeNVhz7Ovs0GHaawJdrwV0Ty+pjlg71i5i4lDFKJaDErFyIOkoH
ddmAymkpkWiP2W2y8e7KfV9xWvxvxTz/X0GPfwVGYxjy3wOj1fP3f108J7Px0Phv/hkP6X/AJ0Xd
E/gjrcnGu6evOr6FLcg4ZVLk5M//fPrKfxg8SWHgF9Vfr9+3eIj8Pe9dYOAWTTv8F11Bv9H6QzXg
XaTy6+kr8U8R8Bk5J6kjvI9UmiiNVS8L0yOs1ODaQDaviQjUFVyQsEdJSbAririzLbR+bn0hCzfU
PN1jND5oQmv4EQUj4U5rkBFTkptEysyQsmkIAIoi8ToYO9fIroL8Q4NlndTF15B/cy9XxW7wAem5
Q1xsUz1qbPAOX4vQvQaV425zJzI2reLeZFFcbkChXea9QhZRNx/CoPRtGky2Uu9deGK7zf0oOVYi
wAgN5pw9TYTNTvGFC7lNX6Bfl3dCq2/FomtXjWd8Rj27IqDxLTQhpMc4jOjQUEa0Y6bdVil8r4kG
TKGRSRIBujgqWsU2jNKNasWFDXqcjJbbk44j2KFfxCfnBeJxpZAPtVEsI0Zo06OSkTBATwp0haxD
6mYM3pZWzSeX9C59LnX5KdOoaEL99tiIMP6mzYMnSJe+ECfrTDXZtGH73Ga0SDVpH9lOrXw2xDaz
yabW+8QtjLUOIMlWK6VHai+XHobWuoYmb5M4/p1Rua952x28QiDX7xnNKtPApwCVZKTlkNs6N+Xa
jXP/IpO9Zl2r1ZMAamFFoeYLcrKvsR7q1Ii7mzaxDobRq+vYCMKdR5l2DVAOtGmbi/Q7FTz5x6KA
lkg0WeWBsB4ChYwCCMOyoUBYy9E1zUl4B5xwmTt8CdEPI6kNXI/kX7uLy/QukpJvdUiGkPaHy7gh
iqwU+SHIAZtqBYhSjaKrDcGcu0nT9iZLgBJ50pBvisC7VBJoO6pGCG77qvqcJ1K5AVkVo+7ufw+U
4tJzjMuuN4OjaKXfLdcEWxo4OyNzX0UxOPhNRJQg91dl2hLuOFlmZ60LOLKmp7huwCdZTXJLXeCy
BIhAyJ1a14be18dclNMd+QtWSTe7A8+g3hbjSF7Tjc7J3xGj1yboojzNSCArT1IcV3x0/4ksq7PS
FaPZZEFabBLEOcFQFM2h99RPDWBAe9D6YkUj249StQ4JNPFHYpmUOzjMbYdK1MqoRHcberGybtvE
I5fOVeoNhbLzzLq/cM2g4s4VXyTVpF/L7D81SbCRvfCms8qNnKelbUXCQRuJSLLup6/76cpVkA9h
D+9giaY5uxO+hz0YrbAZLstgXZpUnJUHbVBJAkTZXZMCQim87jUSc1saRt9uhwOqOwi4UM3YmhV1
vhwtwJXad6+ZB0Ai677yXSbpgzSyU59njWAZ6cYVEeuuUMC899C+Og794O8LOcw28uDS6Odb/qbT
fcAXw2PJ7ZmDy7oyu/6bHDU83XTP1mTeI6kRqmzKuLnwFVoROnFINkbLG4XXzRHO+Ic8AQ6W0MzV
mR5RQKgN+86wLvUSqJefiD+5cx/CpCRLUghPvGmeG5ec06B0FLZc9XvoeNkhb4R4l7H31mxykb1G
OC4Tx65Lmit4bekxoOi2/9IAAswi8do3/afSQRI5MhT3pSbJHnmCv06DEiULxbnwujDHiwAjePFD
3EnmivrcYzv4aPWOeauBQh+Ah59RbUBYm0t3MS8eW40E/bnhYUtAG25SRwZr5Wu0NJSEFpQ8fF+5
0GlEXwWmb/D3wl9bvlfasBRRD4k0nmFiK32ij849GL10UM3keUiivdSB5lV9QNVlGd47fUJw7dyo
cWgerER+pE4aUhgUg41UGTW5O558bdbQjaaKP6VYA0Cl+9+1yqQL0v1haUVpG5J0q6dtcukO4WVP
smcdWcOwNmsecIrmhJsoqPillvKGmMr0+tB/vVZT9yo1SMqQT3hp2mJHLeumrnkFGsKuzGVxVTSU
c3Ilv7NaikJNQs+lFdcm5b1ySxeBv1KMVt+DiIOJFXg6P+raplZQo9PNqyZLmRkE3EyPGjNy0S3p
x3jbOcOvjGtyoUjpjz6oVI7e+Fsmd+EO2vBulXbyPcwir5pVP2u8MKmyHVHsCzZDgaI00CRfhMU4
EaEQMupsTWFipanqsfGrRyFsZVuJzBfQtBd5Ln8rnVCyhcoMr1HKfHJ0+UgLZr/SSAyQbjQEO1Ti
BznTrwCs8dVlbG44+bOVGSR3Tgy3Xto/gncLgI126ZU6aDdM/yOsDoPt9x4dr0JMElgJzE0QQseo
6rFIZBvhFWCfFUsA+uv3N0aBFUf3hw1r+dlzSTnLNQAdKaYnM4pde3AiYMqFedmLwUuZNFcOsxmZ
1LcFVXRBiKoSNW1LXdcBcqtunl1bfnoMusr4prf5Cw1L5oYoN7KDwP9ZeJx5LVjlVeKpgy1mFF0d
EGuSG+Sbxu+ounsO3KrAlC+svA4uJIeepkTG8+ugv3cHGVQ4HvpgxqVDMgKkkWr4QLj6HuVfwU02
qeWjA6EkAF/96tVzIVFNi+QJgmcKcJF13WfBl7D0f0Z6cc3bkRdrAuAFSgdzVTPUba/8R3j9t6pB
/2/oT/4KdUcd0/8e6l4++yQBn+vZWHf8V/+MdZU/LFMj9ycim/gekEIvjwz5CV0+4CPB+57GuibK
xBJo5zE5J47N6X8CUqQ/9JFSEuaSkZr6N8s809zfyMrCJ/CLdNqTS8TOaU7OJfXvVDSBHALlcyLv
OyVfGQ8ns/If3pVTnpVpMD01MSJiTtJ+ZiJHlEJE85A2SOSAnQcmsM37g/77zJ48KZgzyARGxM5U
j8dv60Ak6+agjWptM414A18/P5YPNI40Xb2zMRlMXzZuIjeiQ2thFNlUUSinSn16GIbq0PuUv1sh
3fsyzcV+Ypq2keXZhlbreH/+O94vG9pJk88Y/34yp0Zuxa5V8Bn1Rvnerfslve+l35+kak3VC3U9
4fcFYQucdCCb8tvCC+8ncsKukJZwdwwxFkhLpv5qc35+3vvcx/mZPOB8riGaTXEF18xWfvYgLxHA
LU0QW/d0ASrRCUzyBs4BjEZ9zf1ZLrDC6yNN3VtP8ochTFVjApzcC4LSOVBR3PQBvRYWIOXO/556
1UXRB19QhDoKtUZuqAU4/FlNXiOIG7h9rXvXRDW7Tja99BCY7lcv3kbDQDEx2OeCOGwsQQDQqtP0
QHmJ3jrjInOMbOX06s+ElibAjn2z8iwiqHzoyFKGHjiDYOuWXwy12keR/qwM4fdE9x86ddiE2SXS
zHZK1lip63VJ6k3XrgRF2tdy/NMMxO91qN/6sbuVkxswtVu6tGoaHxCU0p9NXebhdyP2CKP4oWyf
d4NxN36YQ02WxyK2YUlTCg8VmlBjyGUHksPu2NO4LEoLFmb94MTCxNEUOeEgQIL0EMuo1Ma3aWDc
1+2/K2ikguaZqsa98HEYGupfqiQZtLu/d7a+E8OmEjXnIIFI0iT3eyZ/FYXWjgzvuiwP5+dshu6e
nam9WZvsfbFzLUMwdAetOfmzKNJxBk3EtuybO1pjzFUh9CC5xYsC1G2Hov156/Mr9mZ8ciyIdeq0
/cBQ68dyrS/M4+yPo5mNVhsqxgRl7+dxKKLQp+jgHIKWlAVg9MJ0Hs5//+xSnZggR3V6LtRghzQj
6Z1DaDY/KeV+NRvdDtiSlZR8rpNidd7cuBYfPOPE3OT6hvnJVRqhcQ5XRXELwJsuIxHk+3kjsz5+
YmSc1pPLRtEFX6Ra7SBDUG3oH6SvErhAtHDgLS3OxMlNo1XDPG45su+MLciv82NY+vWJUychvDoN
GgYHM+/v1OCzGDcL3z+/FKQ2TBIdojUGgKezZJmRa8HpyCbNH+jGAJ6ytDHn1+HNwuSssdqiE+iX
xrd080bx6oeMm6Bs5J2ltNsK3yIVSKFBtSNXs2VkDfSq3VuesKe/ZJPHS3Ko867+9jmTK1CLdLqv
cnxPdTbU+4aFk3V+xf76eXO8H0+8zohI6dQaP9+pY0olPgb976tqctKRcqWRHvIPZaq8EvWlhnwj
10MG4/zGsXaluOB2s3PEcSOLsqaCWZnuz85LPI0Ex8HRQyJficJyfOi8S3raD6aTPJx38lkHObE2
TunJlMUk6woy6s5B0TbADwXgU0/nLcwsis5jHTVaTlDZnIbYgZkJjlcXODkXdq7dyMrvC42o7yxM
xlDKpouwD9uok6V1V8O0pyrPg9PfhZK5JPQ9bpjJ6Qk1qoqkPetvfFA2FOKuE8DWOIdkK2iffLoQ
jW/h/d+YsRMbk03rdg5Jwo4Zy7KhOla+R8OvAY72vJWZlQclKEFUBlJP5Z35fuVlM5ADFsc5aGKx
87yWhCICz3RZnjczc8a9MzNZnKIQwXaETJiHwKCgJlulfawaUhdGtzCg8fD4sDQnA5rcBmkP2ayU
YynrOmrxtpBu2uiuJT0WrDKXOsX2/MhmHfvE3uR+0Gn/DyMYxdB6gmiiLb2LOpL+jiuc2BgPi5Pt
qTVWUzYONjrlQKbXWZK9XZqziasZntTpBhyLh8JcIVy+lc1PuS9soBK6FZriYlDLJ0AB5+dtdgud
jGlyCcg9WgNCj00LLPJlbS4sy4LDTS8BrW8HlG/5eeGu6u+S+uv5r19Y9RF8dboi+V9f76+ctXA4
/+Pz304qwuD0V8RptGkUqtBGeeIcSjGEB6CWHgM5e+2d0j/6xbAwUTMXDTvzzZj8fiTUf9K0G/eL
MsTXWkcVPb9XgMWWVbHv0Yj5G0MDHAxqzKBwMp23iOdU2RcMDWGY7aC59Gy70k5PKxjbim/nbc2l
XHSoqyEJo+6ryFOlCf5ZYWRCSuiWuFutgj0hlg+KdSf3oBpkyZbqdAMx+N5Tm70SPJ63Pushb8a1
SRRSJXXguuMV0ajf857qD22i5y3MvbdOxzdVmGj7pqUazPh6edu7+zTfJJ+dO61dvf5DQxMfkfWC
IEVkLGr9VbkWNNu8DkuaV1fyQpZs9lCwIDBSIYigHD85vKM8SJAmjnAPjSqfnUPk14Uvyk28QDov
zV57J4bGLXhyojawavl9HHOiWrvkIbmB1EZZ659qd1fGC+H90pimhzcVs84fd7MktNvCVWzZUxBJ
D8rbxMxB6ui3anC7sGDjgny4BE+GNznQPb+FUqfGZgM/HfBFMMkpLdI7B346gcMQCPsukZG+CItv
VebBUlGEiDIXhbTgo7Ony8mHTE75pPGsOmhY0DDctOlWtn7Sa7P+Z6Od6myW6ZC5rYoRS72qaUQO
bSV7QtWTavTeJGwq8m8Lm3t0jzPzO6JyT93Hgr4ZiQQsCtY63CnGbdo+qv3SuMbY65yVybbz1F6Q
MxcnrYutkwAVsVFgqB79B+feuNKupHgPdZWxpM+zNLbxq062Bq8dKyxTxsaRUuxLfUGJYWHnWeO5
efLzgdQSy9AhSQ9H+jWIroAiPGhL18zs0a+DwVHHrlmwP5MF8t1EbIUmcA5VBUQeMK4rHwVzIMGv
bjUJyCz88XtJBB8Ht5a8pGwwjmG6cKfWJwtn6bwYuxTrMc2Jvrsc3cxN4qmByRp1pU+fH2QMB0Nc
O/XeyTdZtzu/q6ZjADlOxIp25FgV+ZgBpcLvygLkV8dKO7Z72vnO//y48U+naPrzkxMqDKvAjzJ+
3tFWUp0cEReJAXMWtiz7NWwy34Sg39ZBvhB/TM+jqdnJeRRokRbRh+Mdx4xr2cLgDirTem0jo6XU
Hn89P8jpVvplTVdJGpLc+ZgmgBtA9Qq4PFAH2EiASBzbvQ/Fl39mZPyIkw1lKFnitqBgj27YbwXl
GwgAdxUr3c+wzReustnZ03nxStT+PiYlpIw8mNUzHpOFAup0GSaAJkxzN0Tk8cvB2J8f2q8sxwcv
OTE4OSyaVJHaLmVsoFWRSR3o9TZoRfY/F7Hi7MWgS3Y6fWP5YPm7RoWDro8MaVPEzi7gy85/zKzH
0jmh0kRHPn0aTQaWMiSmnnpHv/e/6uFLkEAVDZtgr8PGoxmrMpVvDOvxvNHpRv/lQW9Gp1FkQz+a
FiMMcLRkexjH1o6jhCpJ/c1jeWpocmCGVpUJGVjaY9zSmhZ1nwYh22vekl7ZrAeZmqyh6SxZaBy+
d1Y3Kz06yccdMZIWPfif4yvoeWixOD9t05jr12hOzEz9RghiGg6Ztqzp5V2TiBaYuOwT3W2fAVwF
pFgdjYXzFuKu2f1+YnZczZOtKIeQH+kGo0M04N5r/BujpjURkhJIG7uFvTh7Pp/Ymmx7WoYkcZCw
1RW0wjAULavThWmcsQGNMkzJkHjqNNJMTstE6+mpc5nGJAC+06XpsxguJYM/vGJYK4xgwtQtEUrx
0WVOJq0TLCmRQ4zUSUTt8DYo7yMZ9nrfdiJlfd4vZvbwO1uTWwcsQe+ao5enCXT4zb3RaJcwJu6d
ytzkfrz12wIcnf/718A7q5NpbEKoYUYeySMExCszuiUoCH5A5XR+bDNHxamVqfCUivqJFSVYCeAO
hcw/MYHzCAtG5j3ir8X61fp7slg6xBAxfRDeUTGjdptkNKCGirj5ZyOR33tE1sURiCYuaQn65uso
v4De8Z9ZmB5DiVzpBi2wx4bGzupHXzxBOfnPTIwzeTJT8BF5UT8uOh2rdriNQVQL6oI7z5w3YHDG
EsGYwTE/JIoGR01y9I+OZgNBaT5STwVhv+qQ01sLZWstmJtb/FNzk3WJgiLu6x5z9TDi1ZHJ6QxY
+M7P28wN8W5Mk6URsijIlXFpAukVjsj24FYMRIiiL5IeZ8cSvozzBmcPIBn+dkSDJJmMzeQAotvb
zEqfYTnNvgcYHjKFWl48kImwBbffm7l/W7TWJv0PF9N/rc7Pz+eb4clpVJYOjD/NaJj2n1DPq6Mn
D+VCSmVxeJPTp6j8tPPHVXvwgmJTXfysuqOlrMsMZOPL35lKWVZGwV1dhxfpvdPrPfJQFpDboyMj
kpDK68yH1yVKQA/G4pOn3Se7QA/Wib8QKM6dffKJ3cllmJeN2gGrJjbT7kvBXYnKs+ktnOIzMQUm
3sY2cRMFlcLaD7GheC9mDATZ34eMJd1FSvUp7X6cn8pZ3zixNvENVDfoUUIl5RjHL2O/QLswY0uj
mXiFrxtt144zBprcTIxNNKLNoq2fLcSVHxStx+v9ZNqmEWyvFWLjI992bMtvWnQL4QEg+HWif0uN
/K4OHxx3FezOz93sEfI2d9O8aJo1bZWMc2fRQgaaHIbETdvdpGJJAtNaSCUuLNTYqnR6zus16FfE
CjA2vAT02il/46o6nb/JediFUWT542Boicyuss/t0/nJmt069FSrkJfRZv0hxlNFv1b9hvWBqAFw
AvgT66LpFyLj+VNI0UWonUYr0yjPKJPW9SvJO5bRDpJ3Lb07P4zZq/Dk9yf7Ba2jiGYD0TvK8C8l
8ZPrdjvVcdbWwr75kFn65c8nhiYbR5A6GJtjDJkjLZZVCmNzEpwetaRGa2qp2zSl1RTsvk5bNh0E
sRmvYguw+vnxSrN+9/Yd03APqiytNTv8oimCvUfD7CrJQnktiGW94WB+sqz6MRntDgZ02UErdBtH
sR7MqJHXsmh5q0pYAuLMu9JfazwNDsNIFYuqYI1lfQXpYlhszo959szSuFdglaE/YKS9Od1qlpsC
/Rx9yBgn1hmnWKVzFfoL7xZwe2YXSXaZmu2X82ZnXWuEk5DCIXKalsjTTndVUR04ijNU4Ty1i6H+
on3DdOGQ1ruFO3R2kCfWxnU/iRv1XHGzHm2A49D+7Oh2Q4YDJoJVksZ0zC8czrM+dGJrMqFVK9Dz
3uHLrNq66MBhDoFb/Z1VOzEyuZslU3A089eAumvT19cG2mN5RDSsXTZIKeYL5/HSak2u6WKgB0eS
mD9RQGcgy9Y0VdimUdgOwgrnHWP2njkZ2biUJ0slZMQ7EmSeR83oDxYpoNa4dOTnIEb5M4wWpnFc
i0kqjA7VNy+cnDuV3iRNPq7Vy7A6ZgunydxIICfmOAHSNMrkTUYSFnGmFj2XTPNkCNJNrj0PLe3p
ztpNFiZtzudOTP26KE4mrVO8MMwU1kdJH7qgcTeUn6T1+YWZm6tTG5NklvDXcDJP3Yjtym08SP9f
zxtZmLNfgc/JQGhzhz5knLNCe1aiYS3mN1l/18ETHJjyQhAwe32ejmgSBcQocijeaGwIqm1K+pV0
Y/Jd7ZutLwtIkDTqQdGNG5iJaKFduFqXVmz8+8lANT2TCguSrKOB8mqgftOUZEFHed4C0jN0k5gw
NE32rEdTUuahnnBMSWF3gNIZzvnFmveINwuTrVqR4xIKuoaPDvqqwKBuPGAHiJD8vhmSWPSZI7SD
0qQ1GYjlWj6syq17zOMC8ZuDJe/CfCl0n7v631mZDCYAokVb9wjTRIgw7zc1rQpeZ6CNcOHeZc5O
D49Ned14zUEG45lG4rqhQez8hM5cU+++YXJilNC4ZFldu0dBhH8dmCXKMvWVLtu6Cmnj43ljM6t3
Yozpfe+BiRM7DVG9e0xdTA3aGrzSOs6XMmgzbvjOzOTYIHvm1W6CGdj7G1r+JAhXYG09P5aZ++md
Efn9WHy99lrTwIj0pSgP+cq9kYWFa/382lji5LAIdNeFawMvBLIOhbdoZ8adnF+n5S1SChvi/fX5
IY1rPbma3g1pckD4aNdJMX05x0gVICUzET+29pp2kMNrtXLopB72Ggz6540uLdboMyenUhCZVZc2
DFI1S0hweltYqr0sWZgELm/ugGQm7fl5ubCFZn9f1iV0ynXYHKc9JrqASjfyN+4RIP5Tl9Z3Ur5w
cs86womFyUHhahItNzIWzJ3zKEd7pPl+sU/+1bp48+9lPm3Sm/VnqDhGrXZFgov7/ToomWeVfc/i
u6F2IXAUiNCvxK251/qlrO38hL2ZmixIZJmZDumyewwOgbzyvfV5j1oayeTwdsXaaPsqd49XMICV
XKaoKf2Nm461fhvCZEX6vlUVx0nHrWKHD9Lj+RFI8wv+9vPTUzmTc0GtMm6GbiMjYF6uJfEG7qm6
ugNrj6S5It2W0EmK3nNmrBfe+LOntIKwMnx05P6m7yTVUGPNhz76GObVXnEf5bz9VP6NHDTvvzcj
o4+cbPu2svSuCzFCj7Z+b+zOT+Ds/J38+sSZBfRyiqIJ3CNkt83eeVWyHZok6IHo2YKlWWc7sTTx
5YGqoKDR+XHk5DIUu4XrRNjk0fb8eH6lVT4czSdmJj6th7HjVnnoHkdypmIbJjt8gv827j1azmEQ
WCnZq1odlyZyyRcmfl6I4M46E7vqrfW9QgN14RUxl4Z55wcTTx8aupyjgvkDQQqnTX+TQgQCJHGf
lvvzc7iwUlMkMVBchKtzPI5rwO3Wg7wJ7irpcN6IPGsFAQHqOIbMfybjcXsr7txEcI+GMPQ2VB57
lKuuw96BtALxy1S8HwpkVylP5AIyEYOJaFSTb7SiO5hS9wO56BUCYC+NUFwrLeR5tRi96kliq036
qcmFnV6ZV4HX2yRAr4Pk6fzXL3y8MonPFKUSakPyyCESOtn1Tthp8cLhPB/0vk2QMgnOcseQukFj
gooIfdJ1ua6ldfLo3gjH5kqFE+bvHGYn5iZhWtY3ggzfH+W74D7lHNP3vrlwOy/N2jRMixAgqHVm
zVXvKxgU+viTBrijcRbs/Mq7fTgETsYyOTN9Ky0sKcAQe78SjmLwtJJvfDu+FL9QwNW+ITWLls2j
CukvdPzf/5lvTI7UTvKVqnJdXl7GOl83m/5yKdxdmsfx7ydXQm5C1NaJAaWMgvaSlzCt7Z6wHVqO
hUNHHifq3EROTtPUaWIEOSU2aTpSferGg9/1eykVBTsujZVnpGtNEr+r9DNL/k1VlP66yLR6lcXG
bSM+ZWb1YgS6vtabYZeb7utgUdqEKQzGWMmy5T6/CPz2Sxs5S/1Ki7tnch6noBEb02AVXOB23WOS
ryUU9y6A2mWwkQVoYiI2tjBdS7M1OdIQbZdEOgg4FdQH1WrWQ7GET5krLulQnf55ak5b3QVozX3d
Y+mNT6hnlOhomeUG9pokHrPPxvPwzEG0lHqf9zda2ODeQZBcn3g0YmClpXjkErxEvMpg2IRmsINm
W7xsGrFaeC6Ok/TR5d6MTZy7Fks/HaLRWG1r8FzpCprekKsmt5nypA7hqjYXlm1peBMnNzqnKrxx
eGhT7cibynDAMEjJf/k7B8PbyCYuWXl/2oEwtoE3lLHkypOrRf9wBidu2A/QUlkB4ymEGB2vW5GE
YOLcWugzoo8HB5rv/a1EgvXX0IzJfRhLNZRTLib1HKntMUGXd9rSaTTOzxnPmJIv05Ehc6Z3FIBi
aR3o7GS2dnsFkBXKhVUAI/D59RrX/Zw9mb+fHLO1j65oDB8Yh9+aHs7Esb2fsXoIfrf7iQKbgXIW
NShob/ifyUWvBiR20oGCZCYom34QPw2Wdomq8ypQrYUhzZxQ70xNhmQpAI0qqx5reRAAGs+RF25/
e9LeWZjc8YVKU2qYMGnIxu8yxEpsVaxGeZrhaArKw3ljS8MZ/36yQqkVQermY8wSvV2d2Ny8C7Hw
jM+9G87k6NNNyHHikrVJvgsQBzeHONgJw6psbhr15vxgZo4hQ6SIP1bddAC3EzeQK2R2JCUekWYH
wVlrkAQj9LzRnIUhjVxJU79+Z2jiBGWXW3rcJVQtjQzN1QjAUb+mqXM7yJK+jlIFGTxZ/iGhohUY
GhTB7Q5BWnsY4ofM6L9HMZySGkQnvpwIdl0OP4HRLizszNZ794kTLwpLr+e9CPQ42BrlPZxepCZz
Z31+wudqDO+sTNyniRNBFVImwhe/uqDVDQcez2uvCLaacOOk0SauiRI0dWETLi30xKeiKs1oUGSh
oyy8UJLHUkYvymoQ8FkY4JKh8e8n28PxlS4mP8FCI9uXrLJVeBP/Q6ed3J1NRpNzUTOFsR3bX+10
wVfn/UCjrQVwLx13k6ssGxSA1U5GMPAVWDPykGqD8sXCNI3zPTnncYO/jEwLdFEL2X6Qs8fR2vQQ
Ofxa4NelGy3h7mbPkhM7kw0+9ELu6AGHbxB8Uwq0m5AltkHi2Tk7TPHQ+sXugouPLvxxbPSjjXVO
5UOhKdebtEGMAyTugMjsFiwK+kyQAKrX/qdRSNMerqTUHr5Jm/OG5xfuze44Fyeup7d+mAGNA6yt
3Q0OGuK80EXIHAIRqskFW9K8n78Zm3jJ/5B2Zbt148r2iwRoFvkqaQ/ysD3biV8E20k0z9TEr79L
uTixNq0jITlAP3TDaK1dZLFIFqvWspgkZ2WSIHJ2h6C9z/k+i2wwxUNaxoLo/W0hufmpvChf1238
L/HjD66YKMG9q9UUdIJc6DW0oTzl6jt4tdHBk9waTndYB9sYULG/a1CgzCp3sLErIaptR7f9Y3eK
/2m5fRok7AxV3+g+dOhx4tF+6g8ljHmjv0x1I/5NjHxrTjlpRM2dwzJLPaERxg28cCHZ69FFrSK/
AbakMbKN1IZsADoXXJzD18dweaF/mifE+6gZlVgrph02OAHehqqBHSY/10EWJ+r/BUrAZQL2j3Pj
6khuVc6aqY4RetW98hFLpHB68Lh2DI7xt2wMvw+PMzjRJqlUS6agKkpFR7mOIFKXyUaMXxw2cHxb
aM+3tC89ypJWV3ICrqsLUjr0DSysG0Fq6/vCNkVijZaUy3gWshQXCS+wpTCoA2749hbKNG+ziMQH
DZPRj8GF0aIdQZcGr5XiHGLKG062lKjF6e1zuITQ10MgRFcTmAM5CKhHxU8DyK49Gr4k3HjUhhTN
5HW3B43cJQmv8vZ93f2mr38J+DN0IRZ+PsibcnidpBMLWp7UTkzf6+JV1x1aM3+j4Hpxj/mEFLuR
Uxa2Kjhv4R/mcGOal+2wxdazfGSF4iyEgSDiA5W188kjg4S3z8zEG/JHbnlWuicggkXCyVGue687
ZbfSIT+lp8Ibfpkb87m4nmfQwgLTY5Omem4EFxBmdClhTsehDZtAGh2KOc1GLdfiUM7AJieeOylo
8gM9hZ3f2p1xWPeMpayohbeqP4MorLM0VwcZL1ZI5l1mF8Vd/qAc+Xv3Ar6QS9V2y/RU/0RzyDro
5swJyy6Xx7qOGCyyjuU+sq3LCli94rgbOFOG4Yvfz4wTVh1KrsHEbkISPNO/9fkvVSrvw7C+p1l5
T6q7woRmbcqwyWzALt6lZrDCckPTTq+qPsYUxJFDug9AZvqGw0dyVXzT0BAQ2615QMJqI2IutYnO
p/I3I+bMT3pFbSBoDNjkyFF1YNPL8ibzbccKvA0DF89WaIVDpxU6YMHId+6RWRtBCciaVp6d7pvr
6ELbxcHW7C2O4gxEmLwiDXLQNwOkVb6HGjs10R1I3kvtmkErwjSezZd1qxb3ghmeMGtm2UAhxgee
ag14UmryyFWRv9a2iBoWl/Mnzpdpquo8LlMaXPRQ+XKVxLiTLKXdWGIbxpjCtSKraTjo0wzlwXNO
HiGw6/xaH65pjsW1hfouiL1DTxPt8cJwQbqaSmPYSV4bvSD2yqETVltJy6V9a4YhZhALPwGDUTdK
Xhd1e8UIrxRoW7LhOq/TIwqgdv9QpGvN8YRRS1kAuteyB16uJ4dYzY7tcK3jUpb4w5Wqx4Et4alq
Y91uGakKi2lUex77jeQVvnbg/nsU893gdzu1CCG0ST/SSt5qml1aWnM7hZ2zs1DmWnVc8sK6VV2w
7bc20+XxJg6k3u55+2IYPl6rrZMPJZW4h3hJGWp0p8SFJ+vtvW/otw0UIItYU+yy8JWLgZtoADCb
l2YIggueR2i8HOrxtoaoqWsS8MQnWuhFFst3ModOZwDdKd8cHvJGQwoCKlFOOjQQxCL5no3k0moi
lLFLamErdXXVNYG56yflL7yfgMXIuIJy5a6VggdZCS7xaLTLi+Eu5bXhUi0Gk4WGGVt39qU1Ox+w
6e+z0BqytIdQ8SB5VuDi8NZCz2kdYDF4zxGETb7jMuSYIrg6H/e92TjplWEztNOTG6Z8j/PdOtyW
Awi7Pri3+67kWLxm4OnsbTT2wQmp5eZhHIzjOLIN67bghP1CCwyeJRRwPFP3lg/1db3qAsh8fkeC
02UDxNGah6269C1QYf+Icw29NkEreWSEsE02cruQXo0AAwyxnp49tODFVEi7MbJLW+N8HqdfNfOU
lBRd6Rsw9bludv5zcWWO+/W5W0bQiEXBHgaWdsEulmp+qFAs3hGvu1b+NEQpuP0MF0JF3/43JMGW
utbkwuRA0lppH0jhTWxQKMm3DrMgIbOOtfSIidj7xyzxEZMXaR1zC2BNDS0eP3KZqnsGWp+LpN7X
2rsZXg3Y+DWI4Ol4OG7BM7H+CxbXOJXR/griLQytEBRb8A7HCmMSyHLaCzMYd1r3vo6wtCmDTUbB
pRkdtiCjPvcNpQ2hVWvGkMtR2auBl++yUC/DPtw6Xy96PnSvoT4N5jxQs57j+FrP2lKJJE/KM2jV
RineJmh/BTH0I6nl51iH2oxW6aDf2nrN3EAWs6Zx00NZxIAgUBepYPoqmYMy+V0UnHxFfRvG5hRK
w33+D1dNyK7+x9zfd+/ZkgtkXoRWXUge9Lwgej240OP7l4n7RFDPB5SOEF7W6lLySnZBP3T1qvLW
AZbD/8wGwfly1ut+yDPJS1l7ghb2W1Wdcl4lNlK1t0NlnJoKxNEd9V3c3hVbJtNrnZrtTA5Ss/Xf
srwOPo0V9jq0cvIWykoI1g33RtoeQDizjrDlJdM6mU2YhLNE5HcYzrw1zH0dg7c+qMvbknbX0RjL
TuNDZDDttBOHWvQ69NKpFV3uqoYeIjwdiA2YWVmrsq9TnFpjdOeZv4owcvP6xDu0EFhbnXpL6x1d
/Hi/BYkUFqJgJxujOBsSDacGCn11lOMc1I29YGmu5gjTXjEbSUiplww9rZI3VK58C+Wf9dFaTFvN
vy9s3KDgLAfeqhI0bY8E3GHQtXz0vzHwd/hbUNO2Jd4n5lDCtpYooFujoY7NhtkgYFXRRHyndKda
cy2UZzqZ26XPVusWYNDvN1bfFvTkr7NRtKLcj/0C89S0LgoI7QxPb0/rI7m0aaNdU1EUjYLf3BAW
lcQrCI6nJg752ZE9m3vlGmfudYjFHXSOIbgb5J0ptSKCU33opsaVRI9jd5XUbwV9JY2bFw8Rv7R+
rYMuO+CnXYIDGuUgBaFvSF7vDIVNjQ2blmfm8/OC/1HWkpgr+Hxo7kxt37voivK0n6O2+9/MEJyP
N0qixKkFP0/t/IFuraNp5L/69qcZgoNJvVJ3uQbfTnB+uhozh92v//6lknc8v/9BEJMKrdXVkQXB
L48qtoZsPLH3bmvu2/A67px6tM2P+s0oLiH42rCNtrX/EiQ+sYVjDaVlXRgS/I4HLvsOrdzwvYfC
IhRJRjdMwA620dijbniFqZ6vV3MoZFMaAThql0x3cNBuYsf/QblNn6y74DF+Vi6qx+5VfwFj83g4
ro/1hsubwlad0ASaUyW2kKp5R/mR3bNw/y8IOCFaEIGnyu+c7SweESvv+n6UYJ90m+NKLElbd4jF
8waozv9ACEPItDwGSxLO0xDtll91aff7sS0sf9DRoa9QxVu36L/Epk88YdBURWdDRnzJUyDiqR2g
SBfvu7f6vrmpEgeSrg/reMse8gknhNuAhuAmTdHBEPk7Wb2DAPbJeo0yp9+qul1e2Z9AQszVwIcX
xTXs6jtIvAccNazoLkq3dEqWfe4TRgizDVReoXuN1MqYPoA/3m4har8+Yv9lFX9CCKE2rOIq1s0Q
EPlhao1I91qzq1zWPbFnUm/FjKUjIJ5scC7SFH1ipz5fwgPEcEMawcXr7/C8MDxYH5Fq89EOfgTf
Ubo6HJKbja1qGqMvQRgsLFhQyFobVHBBKeBtGSU4K1E537XV+xhDDVs3UGihuetjuThbJlhCJvk5
ComMc+PkqM7kLsU9z8eBpa6Ik6Z8YwC3IIQNy6eDlpXgFEB7bfFkNuFVIG/53OIamlkhbFolhJ9q
0MeC3bepXDWJr/xAtevWcEcC3W+/vzPS8LA+cBuQYg5AkUKJpCourtR6wkKyy/EUSHYM3VFIq69D
LS7cT+vEu7gfmSZkQEPJC1rzmkTvcpA1KGHONzl4Fz3dMtHRgl5oE2/l585A5NHgTQxFJr2qjmbn
gyuOXSlVeWwgAFVIymWDEodcwY7dKMN9klKHgqnKjnowpRtqehi6G588DaOBu14P9ktke9ZHYusH
Tq422230mgZG0flQdQqam64h18WzeWN1pVuy2umVBrLyxFmHXBh8tLiD+hIK5kiFfGHbIRF0VqBq
7+njkz5gKwjzYWPHWVgg0CWBnIaMplILi/DcqoEzmSYFCJb7nUL2ZEtYYckCPH8puNxZ4FUW31cq
E1UVOhhWPSMZjmNyMei+k8GD1sdpYWog4PaJIuzSMu8Ms0YjhBfYibIP/Uszeg7dSj+W9KdpbZw6
FuIjREFk6HqhNxNUSJPJMz8Ycq2Rcw62dCxxMz5E0qt5bKCVum7SEgoiI2L+VA4BFtlzlKQbFSue
SPQHFGLJ7Z2Jvmy05q+DWNPACLEetAOfKIJPWzInidaCenqAcBCY33GshwjcA4hr30JLumGDdBXV
XbsDMds+KfpreYiuNAodbAud+4HXtTmDPgtUgIM88AwSv+oEkTzQTRtp0O8BHeJDJ0XM1vvhLrSa
7GANcmb7bXof0vzeHEqwHeFcaONfrvSgwLNOXdu9rH7PGuM+9KPY7qGdho50pDYtGbrAlj3U1s6H
QBhoqJwhG24a/K+EcYS+WC5dlMp9qEYQHZQov+B4tUexCr0tiYI3j5Dd0Kg5GbkhOyzPj20Zmzsf
FBwO48Qtc+nRjPHkYui7HKJaCZTr66qA+nNbHmjF7klWWY4eouwP7XeOCuX59clYCOoU1IwgSsZy
N8GDdj7jFYgzqlQJfA/bYgBx8NauugaxvYgLpy2uAwscoAUqu9ZRpz1W8AAsfBP5ZHBtmV94ivtU
60y/DkF93gc2SZpdQu+j6HtRDzs5+7aOtVTzNwcT2d2GIItVuQBY4UeeIvu7YAghFfkY03sL0M30
E7pfNS4q68ALi+kMV7h51fAfQ82BmybyoerxPolOSLeQE1fuzA0jt7CEaQyLflC4imnsDxKJHAZx
5cjpebcxb0uBdb5yhSjU9JauMQXxAYJwsT2E6uhaurov2Va4m0KA4CBnIWKydxbulF6hdVUCqC7j
XYXPZ1t1OwsueIYgHANrlspdS6FXBH7SGI9d+mVI1X2jTcP2jh66x3VnWFhnZ3DT32cGtYqmSmEx
RVaCBsa4wcuQFuN6CqACjZXO2KDzrNVQfrKOuzhjiORQKpm4Q8VCgI5WiqTq0F+JElc58d4tt5oT
Fi37RBDLAJTWoAmpMZCq9oLrKt697kdbxXtwrL2s27LoFDMkcUGlmqHkOWwp2uKQS99wHN3w7y1b
hGVUtolWqEg4eqUZvzK9ukOjPQpBA7dt+5c44x9+9bBu08LChTT1n/kRD6CfiNA8xnNM9GK0mW3q
zKkDa6OwYNHjZ1DT8M5c0NBKmcQJJiqCo+u9cc3ZLS8PMbh/u0r/+dd2gQMHPF0G0VHBJtIlBXk0
4GEZR7AwlB2pegiC0bLRknoc2abS3cJB7AxLWFtQ7SM00qA0EZTPoelfq5XyVPbMzQekM1CdYIbq
nU7ljZlb8MYz1OlXzYaz1EKL+RZQozR55hbb8zbarw/igjvOIb5Uqw9QJMaUQaNDovs6LY5Z9pi3
10H1HqPRv4CJ63gLzniGJyywFkSFoV/hYBZomVNYb/Kt7B//hV3oDEVcZH8GThvjvRR0+1yeNFx8
HHEweesWLU4SHi4giwvVUpAWnE9SDcaurJMxgnl0k+u2+g/7FAjhP78vuF49SkFcThougb8b2XXc
b9wxFsL32fcFJ0ORmD5QBb8/9p0fOKg0f3/Rnn9fZOjMh6gooxx3GNSR22ll2UZ0N7JgI/IsHsFm
wyTmTBUS04BxwFSp9mBSf6dK/kH2y73i/9CjuzAgNi7ntpRXh/X5X1xBn/OjCr7W6lkmKTXmp5eb
8ADSVyRQ4+699seHWitqh+bgqqN1tjFtSwtJwc3Q0BRIb5pi64ckNVniqzj6BWCRBKnJR2sOhoOb
jryPpX6r0WQpX4xmq084wUq9GnLajvCScmgezAa5Oj/uVI/R4bo0WQMWAONKJ++SYt1K6jCxONSn
wPBbr5biLfKbxblWZIL2LBmU719YdLMK1deojoOuV7RnoWHTU3aof9IcLxxPW5wBS8t7jiUsP9XM
6xDaDwiQT+Pl1pPdku/MPy6svUZXlRAyIJA4rHI36q4tWrnU49Jx3UWXcruYvT8DJq7BvoxpNg7A
4TooY2OGurr2TpZV11fYTql6J8z1d5p3j+VwxyVlI0IunArO0IWYX+RWTLrpKkbrl1zz8ngrp7D0
unB2xRQQwpBYEfrZJuVOZZdWilOAXaJvd2bQ79PyRYmDHa9+kQZkCHFxCv5aHRv9Nmf3MO18D/D1
Svd7KlFP5dLJ0mS0jLbmVkfi0oqf3WjFJ2TQhzQM5M4wUnpUJibXDOWwgYtCenvdXX6nWYWr0Zk5
0y+ZnTuGqsaOUxnUC36pZvuG+m9/32uSbrOhNuxYq/DKcdS0W6IfQ9QWWa28lyhkgOK7OkDfoGV4
PFXdoB8PPkT3LuoC0TjQepuTkjskT8guKM2XvDQSN2+TH1mhHU30iD8O1Ohs6FZLuzEaHiKN73BU
uEy67pFpSKZYUqs+hgFiCpcRaLXCHuXNl5al7XA+ysJ2roxcy/QB11y1Ro2bdc/YeF01o7c+xIso
BH2q04lBU8TKEN2QpCqaciIImIcoOgZQGS+2BFcWg7Y6KRAY+Ef5IjMU0xQabwbcUqNP9OExbg4s
27X1Lr5kJ3lrQ1o26RNsCqQzpzHBiiCl4Mr1ePiqmeV+iG7U9B8qaqA1/Qky/YgZSN6NY6XkAAnN
o95d45ZmB/LWa/1SyJ+DCO6Pikc0ZIUAoSNaNZC+UbZW2ObMCF4m+0Qz+WSHH0Q2ag9s6rD+OroJ
bjjeVWI737qZbSIK+5gxlrLBGiA2WKKFdJwItUdQflDjNgQL9Y91/542ri8RZDZPwsbW19GgpBo8
T9mPzw0K2uxho+hvidNt7gpixUPOJdNopiXEIuQP41tQDzhoKbYuJnEArdibGR5Udpa7bthiEP40
TMz7W7mfF7UEw9Iwt6PkOSgfX/Tsbh3k64YJsTcDaS3Zgr76F131z/irl/zEsuo9h+hBzR6RTzqh
qnkj3C+cDs7hBNeIozFM+xrhPim0/qIbi9jNkKu0S3S42bpv6bZOZH/fFs1b8UG6fV9sXBEW7UUz
ugFWeQjLieSZpaUyv1TwAzLszg2CO8q2vV5lNi3Qux1LH/8wvDM4YX0bPTVrNQRc192aOnHCwUNF
oE2DjWPXllnCIh9oX1dRBJyhPdVG7fDkhDdNJed2u4H0NWJhBmcWCTNYVJ0fpgGQIM2y0zBwcso2
mhC/hndAEEW3fnMVfOlgxj6NhlVkYzy/tyU3uNnywkUTZt+f/j6L7DSOu9qYJkXq9mnVUCen6BFZ
n/gtDGH3CME6PPodbNCLe0h8o9d8/fvTMJ9HvfMxEhyrM6E/WUxj1CCfF6Tau1W8BRU/ZvVLLeWH
dbBF75oNmOBdWgN5hHEyZkC9pHxPdA/yDzfWVnZ3ccyoYiEgydpEqXo+L5JUdp3aA0Zt9Tu9S66Z
xbaq/BZ9a4YhuC+4qTJLH4BRkZ2pu/Wrpmx475YVwn4U52Mld9NgJUHtGjK7SIj0bX0+NowQ71hK
VY19i3cob2yao2pSWwpNN+d/rwoHH4Msr6HqyLV/aXouysC3xmmskgaVEfw+qG/QXL6RXFi25RNk
Gs7ZYvS1cDRpOU0IL9EMH9spx2Hb3KqN+LqZntsirEdow4PUSpKpVyfcS/XBTgNlD7pOm8p/rVp6
jiSszJhQrmgoRkI1QHJfpzJqBvc+fUdF9roTLLBYnAMJy8Xqy1ZG1Q/1LEJ2PSondgneYBMaGy4u
b284g92zEHQ1vARTfNP+bPPkMLWzSMy47qqK236Y3Kqa/2DkVeEkY1o4rDbaQ6bxzk6gU2KHwYvy
901L579aWIAZjlEm+DcoqhnAjck/IODjon4zDLcaOrdmXFiHSReQjOYqZrxn34q67+wOA4DapZ+9
nG2FriUvxhIBBS41dANi0+deTKxybDptwPWnOSbSQ4iHZ2uLCGAp5M8xBMeijI9hZGC++9BkeNxm
6J80c7eXY7LrDGuntjtL/ntiPeT7ZoYJTuZnJCq5BMMGxmLPaKXXhPl/r6p4DiL4hAlfIyYHCKnt
6L44kV+mtpG0nX6nuF8qKJ9BAhOp2y/y5Eksxb1FOuz59NEHWeVFkl0r7AY1UeurcnGSZjhC8rKO
qwJE+b9xqqsirXZyC6VL1GsANsMbM9uIAguXLYzdDFDIB+W5VFFp8gq8jbqBlLuxOlyMwAH3Ihrl
0ybZmzqk5rThUOhPJkcs0Dd+w6LzE/QbgMIKFClihoEbhUHGENNXDNBeP3L06n9fH9UtBMH1JZxu
wzEAQjh2j1b3I3/3DeXnOsaih8ysmP4+24gSow4yRe7hIfwHinacbvzgxmEko6dWW/WOS2cEqBD8
GTHB4Wnb9QkkKXA6BHu8rQfRDZpyt5J4WwYJATBOoPzTTYOWkEJxSEu4y3PtIwFfoT1K5jcp3GIQ
XHT+T7NEIpamSSO1k6YhpNKPur+xJOMg6afiYTQO7bhxtdrwCSokYlluMZJxgCWBtmuGC7n45vd/
XyKC1TWzSFjOcizphox8q1c+BMYJHY5h+S+BaYYgrF+0qMttOi0e1hRHX6tc8hj7z3lvOlr699yY
59YIZy2j7IyM9NOQZZdj66bdKczsbtiB+23jor/lCdPkzRZT2aO4QZ0WU9ra/AWx1/Y9Elx1+T2P
d+vrdnLjL5Gd6AZo3FET8iXzaCh6VUjTFBF4W9PfJHF8KWeqXUW38QB5qCxDy4a+XwddeAaYhvIT
VRjKVEffYBGN2IzRlsHD7jFL86OS8H3RHFLaHJoM/Dz9ITMsp2SlU0YbzYVL3j+xe5l4M0X+RkwO
6aZvhvIIt6FAAfMWdJwcMAZuTONSnJqjCO4/JLj1adPuX8GGHLZA031jw1w6ps0hBP9viMIDOhmi
XEr3TXs0enuzqGdrsMTJanQ0XBFgqP6zph1raAD5Wypri3boEBrRNAPK6mIjdJ8bpIl7YDQB6MV9
/OchGSMPTdORRyyjdtcdcCm4o77xP3Bi93MDCofCKgGH4q4KhZeBtB+S0NOhVobnkgG0oQBfh1wc
RRTS4iKIWhgcc8/X9KArFUTrsdAqarklT9yxg4aGutVnugUj7PVDF/I+Bk379OIa/dT/vlLOnNg8
/1ghbPM9yEKbYto2OO5lRtGCegUklJJ86sP6heTpz/9t0ISd3ve7NlIJ4Cyyj41rFL2SLc/bGjBh
n5fAsEG63/OSGLsgk93+gwfD/body/72Z9jEstOiMeqmnUCi3f14XP/28tL5/LawkwcsUZRxOjZY
JZ5RNa8rtEND9prhrOMsbUpgEIL7alMbkNiVk/m1IZtFRzyzuW/SzK7N2m0CZue6tYstvBS2bOvl
YAqQ4uY0hxQiT5EbjSxXLfHikhzBpOGGZbMf+8TucxCRmMewhXasJtk8G7yYfmMD2QivypJ36Oi+
k5Hcp1+LN3SpCS20EFheiE3xACqeJ4UVshMahdtw/ScnvLINbXAJKVyr7Afbqiy829NBgdRu8Fz7
6iMfiy3lp6WNZf6rhI1FL1CcFREVYtFWBPGAnD1V+hbN5yIGeHtRJ0VUClbr83ilarztoS9HvLDc
ZYXb/oM3Icf2n8+Lh10/Siq8MTTEKyLPKAJH4bUNzQUrfpEbw478jYTv0iKZwwmLJOvBJjAOjHh9
fhsd+uGk4Hn8X3ImcxBhWorGR30RztWeRopjkilPxvhhlRIki7bSQItuiX4cEE1boO0Xzy9q2KVS
rUoQv66SXYiOB0m7MdhGKm7xlKbPUAR7OlXlORg7wGeuSteaVMj2YJL7IWbtRPIECYSgTJ9kY3K/
wUeOU+3pLjF71dU7bWP+lgLo/KcI55x0sOoecsrEU7T6SEfrgJcayRwClEm/xHm+cTxYfGibwwmB
R6rHEmQ2vuXFYeZYpvzdhGJGn6Y2z58LVX4e+8Jl5FEujkawJUOyFGfRl4xeKBWHIfM3JePs8N9n
gyzpIyXeWD1XbWoH+TME6EtTt+vqx3pIX3IjpKctFJyDRecLNWzX0KrXEgMhnR+r/k1Rv8fJxrFn
ChNiCJ9DCOeRkaZ+lDNw4scNFI4PxmmsXkEqRW0U8ff1RrhWl4LWHE04njRqkSEVBrSOMyfNlObC
KFFDPeoSefT9cEAzhBxdplqt7kKzr/ZZRW9kK7uOM7KPFAg9F9LgHyJZf8z84afEURbhJ2j7GehY
OA2pLio//9VHGXX6MssgUrZVm7E1XMKBp68KE3RsMvEiUGAFudq4aa3fkJTvCkl6L/pEOxh1H7um
FpkbEXkpRM7HTgj4kIiRraRWiWeF+VumPfjICiQKSve3HhOWvQ4PYhS5AbQWC2u5MQhXhwFeF8ZP
VlrYTfaQROHGqWjZEz5BhBXMZAn0gLlJvHocrln+E2Tth/XFs4igIWs3FezIqA463yCtrGmCpoqQ
hdIvzcr2y7v17y8O0+z7QvStslEnCtQqkRSHwsENQ+2o9b4OsWyCIauKohIK/d9zE0aZDVSvMhxL
T+hM22LKW3Qo7c/Xv2zxepDIVZDiKqLSJ5TIO70aOhprrjNjK2YubQ/Ty4GKPm5Ib4hnUxlrgugJ
MoLhqLlpKe/1IXYUBbUJjWIzyXD/YdxmcIJzFXWRmEmErLGJ3ssilO4i/cc6wkLlLLSlZxCTd8x2
gdhKaF/0DRJbkrkvzeQq0f1rHDdVJ5HKd5nmP1EYAdHfEEownRl76/CLYWiGLkTtQavaUItxp2gh
iqoXb0mi7qGcijbFa5k1V4lGHgtFs9dBF71xBioE70RPETF8mJyEeHNDjuiaopd9HWPRMANPGDKl
yDKIsoVmwSxf9gsUTAb9L7N7hXAHGk6t5Eb3+U0Tyb9ALvctlbd4eBdN+4QVBQdVv8rDtK1xR0v3
/FezpS65uNJmnxdCETTLmqGgFaxqW4eAP9E32A5nNbfRtzIni4dCY4YlhCV0Dknp0MOU2vzQue76
v2q5sgtN3qO90ZEKZldFZ0tRd5lWP6xC39iltkZS2Dyo3JraoMNULpcnebzVy+x+3UWWEExZRn+1
iXrPL29d4L5jWWooxEuM+KInid2A/HcdYnEQ5xjCIOL1XAP9HcdxNu1uWIKmUw72rAyVXPW3EuKj
Pq3s8GemHiPtKcDRcx0ezYaIHuKpbI4vjGJVqSQymO57ZhcnTjskxYXaUt1Jfc6POa8vhyJECXaS
FXZmKdw2QLm8TwmagSFqyRwLUqbgZFMoDgij5TRKB4UaqqS2RMKHNO0kd1DVQxqyFwNn53HUnnQ1
C46FJFdOBQ86JHz4qPlo2kZWPWcVc6cqCltuyW1fyagrScvXpBq7m54lYJQsD5ZaP4OknsfofE6H
e25VzIn96oVb/UvV9A9KiCLCzixKVw8H9aTEJiQDgxBEt1OiLdNK268a/xUF0e9QLmyhLNp/oAlE
x6FvMA6BXrXHRsrHC54Zz8xU+73KeHxK2i5zqI8zUCH732R0pNgmmMF2RjUOByPMjn6Kukw/a6FF
oQbRrjbx/FomP0eqh9da2bzFcvdoqvyd5UFmB4xN1eZE3rWop7BNrTYcBbU20Hjj3U2EoHc5yn0K
yvG0cMGtUTmj3H6zSJLvLW1IjpmRjUhVJjfIlYORtcnJvs+bj9Eq2cFQq9um5sOrzkBHm3H/dSBW
YUdF8zwy2eMQoz/kMQR1UxVK1JaJmqooSKwj0XASV2gQ26wuzKMmU/1gmQl8PmPSDmpn5qGoBq/K
kls9G49NV4w3LRQJnIFog61WKDHj9RXJ6kuoMlg2RIA6uHIF5m8zwWO01I4gQGzqPUSwcWGySuqA
pwQxo1f8qyFFsg0jFdkhC0AaVxUosG2ZZjcTQ4/WpG8gIqrcRNLQHk97yBrXtWxXgaW8hFltOeE4
EidRKCTjtegaDbQ4jzflSRmGX32F/q6QZnhIQGOPXdSZfh0Rqu5yBfxTSg0O1kjJyC5lpLRxO+Iu
TR+HABTibWT3DTkMCUt2edv9oHno5by/h3PcEs7bA+cUUw8tb6lXh11dg0SLF+zaJ8NBr8frrMVq
CaLMTcdKh8x7cRspqXRMDRahgCIsdrSK7lBQGh96Op6qoHzRp+edOIAz4QeA5b5T3VaSHrsBxEGV
Nfp289SjyLKVhkvZyIZJYePWyDPNNmUfpJ2dXuwMKaROkuWyi2vrQWnxghPJdkxCm3PfDsgvHaKZ
ytjbycjqfZahQl95pbl5oJB06yDtJuk03asR6aCSx39GNX/VeZoec6N+JSCCNgIcdfQCzEx9GLgx
NH7HOD/V0PyVQqO/1rUaCsBqG0BSzDilZDxK8XOXJDvwPO+z0krtsgvvKjWSd/VEydwY5inNrGuo
pQV21OFNPczL7IeS9xejjBKmRi4hyqvRbD9OZNVKqygXdURTpzXVWwWs1oaSeUxHsqGrQE1BwXwt
c+OkgwlbKtsbtBs96VV61Uw82WRizB46jjdOPOC2XZocY4PQXWnx3m4mPksal+2hIpWKV42x3PVj
cUVr/h4UfbfrGzC0pTXCThdXN3pH902Pq2PfyE8BM7xALm4SY7CDdqzsNmtdjp9SMjU6SLWk7IeS
7zJcbNDSvdfL0m4i9qvLa7tV8qciGrz/o+7bmiW10WX/isPveAsECE7smQcudV33a69+IZZ7dYMQ
IJAEQvz6k+Xx7HF3+IzPPG6HXzpqVVHFRfq+zPwyCXgGLGdX29A+jkzshJM73bdPqt+KwUd0nOtc
3ovxkLZTtrFQZVGVFJQOu4Xa64AO96YLNCwo2h0J9WuNdnrw1hwzjvu6UtnS+Y+JmB4S+Dgowq49
eoxGm2NW3+PqIejjbJzHaxH2BOkmUL+MUzvA8CFvxkeaCLsjbfQimmeIDbMGdhPRxXcivThQVLCi
iGBJoS/eFB1MKiTMKuokwsgOInNhYtFsaeFdXC2Wi7/FDKOLDrqSHCMmNxUsMKaLFwaGHe4WhrM+
bvJEL34ZU9h+gWX4WECqw4tkE7DfW28XmGygqCgdTDc6mG8gtnRvarPrvWQ4b5dB+cUf9FVVzThp
a+vnnfIEsGla73TzRbakywPZfUprDPNzfE3nv6j1VxcFRwj07vqkR/JqNxTBcu3BjWqHPq/kjcHk
EUbj0uou2jIyqmtFxjjnkqVFAuGzHMRrw9zejU6WzpuvJawV87htT7PnIz/zYBZ12+p4P/K3CCMJ
Q3q/xm8UYILSSYnXwT3CLtbPV/KwLj02wXtkAGUWU3k9YpMk/L036LoSO9vTKk9pGmAD6vYTD9/n
YLc1byJka9YvjXj1KS5p2kx3fbTstiWqMzOoQm2Yn90IDLzr13Wpj93i79uJ7qK1u1l8YOUK13PT
bt807a03oOCQPrTIImoOK1lKvrRX2GwRU3UJwTD8AzbxolR+lCuyjsUyImM+mWVOsSDmke3avDHa
Fmasup1lNTv4ibzzfWCD/dKeBpSGZqPZDJ+3jKwW6WUGCb7YDU4+zFqypOs/9AWWIUtYutaXxZg4
tzNGDrnfK5weq/VpbYYrMmHxTYeIHmQywF00APameuH1+F70KXDteXPVJwBrXj72Y/UqaSQzqjD1
PeByYmyP07IbYpdtVXJ2IVprKIruVMf0V8g9eBZz9gURmwfPRyQ4zGezYPMfUZVdScPnHAqQqzYA
DpQuyd5aIAtEYkgKxWG99Q82HffKM8dR05ek6ZBbBteqXKHO2/MpaTMI98iVsbqsxRZmPRfuDP98
ms9BwGDgPyaZt5g7m9pdQ5AxMWxttE+a6J758AvRoTzJZRmy2NEF0JNuS75GS9nZ9CWtCTk0ML8h
1FNZg8T1jPjOHMJRq8yT02MwYmPtW1uXcz1BWdelEotA8tQBD4R4Ru/ibQmuGi1e2YCaYsSa+gk5
sEW9kDSLGlXldIxp7vrAFHUy+zv40/Q7uARAOJt4Zb9NMhsh1UcIordjqk5L2VlEt3ltAmtg72VY
4z1vl4fI4YRMscy9gT7qZKz39Vqj+arN86YqcDqrWrJoBaR2sektulB/JK2/jy197kS9Dw3Gg7fo
vZFwg2tqp4uKjBh024DiwZMr7xIEdsP6X++mLUa+vB32cVQfuhX7MA+xx7KJxmczAfX3DZeHOQh3
QAfSnEn01K0FYbZ12NiwUHsTAiu8pMSAw0eFfNfMH/UxGZMi4h0+nd+ScN3XqGox8CYyHzukDSHc
wtImAh9eYMLcOEGuccPslziFugCC2aoJT2yMD3EEF4ml4l6mHW2KLeLoqpdu2XkdQ35CiN2CtYd4
a8Z90pGnWjVBNowWd3faXsNO/n0dEcjNNLl3NBYjIhlUuGvnkGYhX7q71sQwKKoPOq1zGfEygP1G
bz4i3293PiDgwoaElWkirvB83y81Mhh0jViG3pLM68lLvzYPIXDTgqtZ75F0eSYN2pKQT92xZabb
9x6P8AtX3AHQzudNwDssucETi7w35TMf8cv9BzzZux3XeKQCz46F509vMaYJs86yW0XNkFXr7GEf
ESDzqimjxnyKhNjhjuNYo0Z3BB7bYeApDQ7EVV2+TuyDVErmk8cr5E4M91yPxVTJN8R/5kwtH1zK
PZNS5KIxIg+ILiMWVDvANO46hpT1BWMyek9hV0yWCO5KLm9UgBEZ5TLroM4QNL0mibwxsGbK4oT3
r0xMsmhDNx21Fw53YwzpM1ZyiETqyv82y/S15TOFzR6KurjV4U4mkPQ7WQf7iLaqTDWMEuGglW/R
1pSLi248NBV5k0LjioI3ytvQ6kIH2HSriV5phb3LjSkr3dhXr2siHzBAh9IJZoiFM72/72eKMoNH
CcsNDfxyUqk7LP7MciAnJCcKpbPQI8tx/3nlOrV05/thtRfz6OUrICImN1kOSYN/BV2QLdO67A14
gdxDhVWqNV3KNvarDKVbj/skPM/EP23cPm8w5KIL/zxN6PMq3DMH31tPM4/8c7VJVmJpa1H28xTR
aBPeykN6xEwN9jepm13oR8tLOvissElHM9ZjHUs6NJCTQ6TJIhHuEDTanNuKthhrnpLM75dqR9n2
WcHVBc+JTAovThxILvLZxuowtyTMRLVdhzP8yNflsfaim2YWqP2Du6lGLGBNKMcVwO5Sd4s8JKHr
Spgu74h1n+QKS2w5eWk52zYopBvfeqaOTvTvU7UGWNa7I6+VLmZqkFCCKdMsSO0H0najPJgayIbr
6SVKujGjDVTKjPo3ul0/m0Y8j4rs7LpOmO43H8000HIAu5ItkYG8aKzLJGGHVVo4K7SN26ktemsW
SrOVryhOALdbhyuewNGMizbKLPM+EdO/1f502lJspO28ZtscfdvMALNUh0GlsF3bjIfpdWh5/Rco
wZ+BSn/ECC44yR8QyFlCFqtSYBQqbR+ncQD5vmZ+yI9s+CtDpD9D5f54qB/ATiuWaGAWrEdl2JPC
iq46u3dB8tm21U1vikWL6038Fcv35z+Q+RjdYymw9B/wxi5NzeRfNvJQimJOChJ+HYNr3/8LJuJP
flwaEwQ8JCjU4ALxw2H6emxsBf4NkplyrLIovJYyC3fu6H5lH/8e2PH/BLv67lg/0EdomlKQVzgW
YCsE4IgMPytNdkNw/7X+BBe3f3+432jmH2Ck7w53+el/uEXkSNJaJRs7xmH6BRUJdPXDIpEXRMKD
CFcIMy5FFtuST6lNvjatfpYrSLgAd2sxwhwi8xyCEyrS3MHyap/SoHpF1gv6yK2/9Q0eMJR0C4ue
4KCBIi+OUI6CSzBZFM/DTqjhfmXdeJ16bMEqK+2hJc4rvJHiio57O4+PUhDgDlMinu0GXxFfDHPp
TVueEiOyRKqPOBFwLavrjFXMZgH3n2Rcnf3IFgOxU4ZC+muXDAW5iD6w/D2no+cj0aRbr5SBd5vX
3gazu1JVclis3GNVQCDKX3GCf3Kf/vEs/2YC8IezPOhwW+EWwo5e/d7Yp7orOMLSnX357Wr+15f1
/9Rf5d0/rpv++3/j31/k6BSvUZV//8+/P8ke///35T3/8zd///6feMvvH1m8m/fv/lEOhht3P39V
7uGrnjvz26fj4Je//P998aevv33Kkxu//u3n94+ew09DG8W/mJ9/f+n48befgSRhVOQySvxffzzI
739x897jzffz+1D/lPGh+fN3fn3X5vJJ8S/pxeAUBcGFEwjxfNqv/3gl+iUGD59E9DKaAgfun3/C
zLBp8KbkFzzOGNYnAOggC2JYsbScf3sJHwdFJkmR90MZWLX4539+w++uwb+uyU/D3N9JsOD6bz9f
Hth/PWEMAg+kXySQRAawX4Zz0Q9ArV2gfFqggzp2kByUMP8Ys7WfP+CptE9ttUsXWEwDhfwr6u77
deS3w1784RBmH0JekpAfDktrXOfUWdhD6OXBmfaubtx/RG/+fghkl2AtgDFORH9YO/xkg+pK4BDz
aHftclZ+fVLhXynIvidRfz8KzmIMxWIQQV36/QqVLHTZYqjQQbwsuZhVPqjx0AXPA6LQ6HiYtzpP
9Iu2Io/h+xkhtjBJVuwEPoLdxvIPd9/v1/aP1/L75/jyXSIo5wCahrgzEGnywy5HiOmgKcF3UQgl
ozTcb7rJq2291lY//vtDQUn93Y2ThGEMThoEIktxC2KL+4FhaKaYwrqgC448albUFOTVjMIVgidb
Dn+SOdf92BQYRwHuIMg7db2DX0g67Rz2sGyebINM81FnlTDzThL04p4f5xFsl6+ABNaF2yywgXgE
+rhuqMzSF2aHl7RN7sCpxNebZ87a+MhqWdsPp8xzuG3xLqAh6u1xTI+kms8IwETFCna2nOPoPull
X8wTeR+CLvoUC3/TwJOX8UVuKKcRhoA6ka3jZ903jS78MEySvG1SpBkSVsEDMGxRWRYd8foa2HsE
K6eJeIEGnGv0nq9x3qrmPWqDGjsAX704U06kz/VGYXug0gdHHdqVFn6nh0mnZSMoqzPkTKT7UMa8
rFizutznMgXYobfgGxtM+DCSNT46OfVP82rGfTNX0150vcUbY5Ov3XZlY/NrS2EQnYRwmLJyinHF
9QO2zbSIJWuyKdD3o4390oFRPq/csQL0eFcYYffpSppMdVD+sKUe9jNGs3Lg1jUsY7swJ42W2SbQ
8CIDUe6CangWHewV0jlIDp1M6Am+seTYAlbcL+noZ9EC3j32hzRDFrnOIrl92TA/AeMA7hcjT7qd
mC82twLecoqUNq0l9mb7gWHH9dbGMHonaZnUjxNG5+Cg/E4qeqeXCR2kN2ESXBVBr+tDAr6odJUX
5N4G6QjwbkCJvW3LZom70reMfW7CBl4zaQoUhexoMIwnZ4JxP5q0Af5qcLt6I+xC+q69mVgPpN9j
H0rUA6TnFEAAkNZ9nIqneaq2cxdzmQ16vYoTBCANm2A7R+v582YC/wgbGpOTHkg6n5Ylq8Ep5XIS
N0LCW3NLa4t+H6kGhHm0dK452CUd4K4mVEG6ZTwQZLTmEqbHb3T15gPWq7cmim2OptNlKDFuW4WG
qAdV2MyyLYl0frau7XAIRfjcwv93J2roEPo2ajLOuSqjDo2SSk1YxgxRxCPRqlip2E3zsu9oH+XY
COPMZ0Bz0nYlOW1rFL+VAVDlIdsJoJfcteHbNLgbNQcxwPNmp6yIsawJYMU41W9IrcZzmQCVFhyA
ezAYt5vVxU+UizBflOr3VSfrclFBVcYruoZK9WMOiAorIYKrag9oIOzzcp8EN1rYDPl/URFQ40p0
dNNNwIGuIT/5q8YvrmKW9yOGVKZwRsVXkzojUR1nVsW/dkENS1N/YNlQNzxnGzKXjd8W8IL8tiDl
l/YJKKn1wQIAgrs6GuY4QWQjD+/bQWIus4u/LNQZYC7iiWpdjmky3keCLJht9x5wPYaDVgDWiAcV
IHwxMqKv+jZ9EogOyGxEfkXb8lrXTbH2/FW0SgGMcxOWveYkwW5kKQ+bHfHbMxPuWIn6NvTvIxSv
AgRSVtEuH3p9twbpJzCcqqyBqgYhMmeB6qvEoNH3I43bWWM8PRcmogVYoK9OJM+QGGQgVbNUsFIv
bN940cVwqStxF8CIxIch/4sg3CtEP33pQd1mXctv2rH+5IfNjef4VT2DHhor+xDw7XlZF7hi17c6
7XQWAAyhaNwtnitzod2XNBJoFnGS58R+g/NIU9TERAWxVmExQ2wyiAT8aOBSJa8YwjtBvABBXuY8
XscHUE/0rjY1KxlsemwCkioIeqgc9XrshwArV5xk4DN2ceXeVq//ohz9LNdgQUdmwDDx/lPS9h3g
KP/I2AikhBZBtN2bMdn1SZ3Fdji6YaixLC/eSVO43TZLtBsXwrKgqkvUNPBLB1WWbVQ/rIoHZQpd
64Xki3ZhhVu1amkplH9sATit0foUNgoZzVvfYmC/9oFdhQAfK2DoUzyR0pMSkKUGhIPNRJ87n78x
MKciTMGFxl9JL8BV03Na6ZuuiZE0eTYA8MATZiSs7RW44CRruql6pqCRAixuiy790JgMc5sAPtbc
JQA7lZfx9RJxhb9OAN1mw2wep6odiy1Ir9boFS4fmXHSy/ph3E9OIK6ghofmfOd7rToRNINlDIew
QiCLHFgV+viVpd1RRv4I7MMW6wLsBAN65y4ST7HoPjYF4IMLCWH5hqerVuu1P6c6013w1QdenG92
eurXOgKKCGSgQ0orHVyYIVcTa3EiAB510bs3TyESakZwDzYFdtDwsZz6WjwsEIFm41j7J2EaVSDi
Dul8eP7YNE1Fp8PfjTL/o07jmn9RUstv5vvu4n9rP+Jheg7OcnA4RKH1/25JDu8/oTf5Yzvy3Rv/
1ZEgXzNmmBOCy05EIef5V0fCsJHBWRslKOAEHOz3jiQgvzBCf0vL+0dPgnr6944ELyEAHJUgBuvx
N+gi/pOOBFYi35WWqGNDqAJgO4e2CM2J/2NNrehSUS1afhqDIAsM6pq4qve8N6dAdPdA1rLOYcdK
KCgj9lniwbK+6WGRsL40Ufu5UuMb5KvgnMiaA5jOMd4qLCaGGRgUtSRQLcB8zlns65hHtPV6r2aQ
YWDYyHS2KFOX4Ql4dN6l9JQA/rXRUxDzA8ReGVa3bKT7gUCOEpcuWDAhbB+3LvycsDpHHZkhTekT
hyIYtOeOXyjBBkdBt8+XMEaVzJ4C0u3Wzf+QyVcvuKEWIgs5ZAPHcifS20FJoBIBHErn5H0WcIMI
kv3mgTZO/DzkTwrphM2Kj2/eF+AJ3rpDsXq7IGE+C7Dp9gPgCRaeNJZVQKOZ7HihWHxqW6xl60R2
RD80Bpj9ymDjAdgQAMr0UMfpp4HoY2fNddrZEuApquhkKik4T0jIZQY+7VO4NJ+NXB5M6Be2FjrD
SjnhzxYF4QRK0mUMvoQRv+0MVlAvXF/5heFLNgfTI3hXeGCNo2344G1TxAEv2NQj98Sd6XQ9cogG
gg15ezx8gegANUH7CDKPAFnprmjQnukK2FmjvuDgUuIYgzlT8GkFUcAwIRs4dwA3j2HZqgX6278Z
HmYycsiLpfzRbt5pjoeModiF09n8DK32ZVCyf3Vt/ZZYfgdY/1zr7dyTEXnV6tlT7eeBVxz5D1EO
+yuQj5RkfFQISvCwMzITvsR9coaDhV9gXADaFsH4yzoGdxQlSuY2CCWmEBw8C37tohBobWM1gpr4
m536Rxor2JosAcv5rO8i679PNZdH4Xe3JGBdoY1YQNLyINcNvds2nGkykjfewmwHsTgz7tKu33Xr
rE7d2KkC0pWTL2D4n4L9y3W0fWxCfN7U+hE472XatgaKHw3APnUL7h14JXqJobnfRY/9MIzlBuq2
e2nW5L6e72coFDDuI0AWyrvEvHe+hDhnvsJSe6KaZX0Ntm4JYVKingMegkpXRdVrNBescOnyAOP5
uaB9XARV+hyhuoV3JCD5GuU28/DARaQ9xugLRWJukqUbchI3t1szIOKcPzqFkHqPcIgEiIHiqbrv
2+1mU/QKmTcuM82la16qqw4VfBiaFmPlELXNX003nWKE2w0+ZEcBHhbBWFXEAkb3F0UZIltFAZPc
K6/1MYUAPgnd6s5rp2+CjAcWp6/dKDzcMfMjwM2bPfH8J0rNURkQHnO/gtYHGd7hpquOAloKBLCs
xWbNHtP72dbOOcb47zaYskWwvXQM1SabhwzW6sca/pXthMg2naYnt/XPVcAKNaDlrNAeBRGoXoIl
YkWt1hk/89Jqt/T61CEvGLQyPyhdF32t3lAgPncWnr40LCf3QpZ1v9CpybtgeKw3VjBPY39tuhur
+oOV4nrRFhsxnmIVt8U6BPCSpQHaTbEeG+15iPylX6TxriN8+1h4EzZ6d6dJfa7SN42HLTNR/dUI
+XXcgqcVi2CmVlxX5WOWGmYZFe4mO7sitN41Svn92qi8g11H1/eIKo/QYiwDew3G/rWTYKxH/4ws
V7DizdTv6rBOC6QgLAVETic7kKeYV3d02K6Y36EDn58gNgjWpcCdnJF4vQI+ddUMCUxEweTV2uSC
/+qZ9NPskpvYA0m9zV6GAaJHkfpf5znatzByI41XWPMt7JBMMXrp2e80unKvhJIsA81YptXHPEIu
AU1a6hSECdUAjAELKv3dnOs/qkX+16Ce/yoW/i3wWbyLnyBCqf+8zsBb/1lnJL8gFoliQ/eBfoaX
auKfdQb7JSAx5PT/LBn+p87wg18wtAGklAXJb6gogKd/Ip/+LyyEig6vsRDoYRr8J3UGYz/WGQxk
CQCzGHE0KUK50h/wMguAZqV05Edbpd1JSyx78L/fi9ijJ26BnaChqssoRG7B4EDO9Q0EBEmveUZl
3D1UE3nkhl+j4s2pN5dRkhwHE3P4YVONfe3CIFuwEYvl39gaPc26868TZPOUloZxKQNyNbPUu/ZM
/1I36ydNABAtaz1lYrPjLtDLidXxVvS++pZMS1PCkZbk7To8u2X6NKQetLP9dh33aIg9mCFkTdxu
eayxMFjEeUeKP7VxdGCtWMpglm99SJddorG2jO4yZspgQmiBuNTEf+XSf0FnfoWpgPfKYuaTBdIU
RECE43T/7mvgTvgvn+bIP/FYn5dY2ZIPKWiM0EJxZucsAqtPPIXAspS9WeMaKOsScoZDOCRS8XbR
CmDO0/btR1+laDm4yF3nXdV6mLOmXfiFrGl21dTdgJEFBy1hZxwAVCi2btVnIbvHPpFYvC/qIB+C
AnzHcCi0H5bWahCxM/tiWCz31ke+LfemEjQ5yOq+PiWjuUEw+AH++WVFz61ekx3zW6yv8bH3QRcb
RI9Rac6NqCG1XextkqrjOEmse3WPpnZuX4Qfv/YxIMqKqNPmsTvIxMvVufdIyxeakoe0WciuUrvZ
NdeD39xC/7mHZARwEQH/TzE8kqVp9SJjZbKEAxLKVjoA8dySr9qHBkHp0KCF3a6bddEPCBmH9MeC
exeoSpDiDpAKIhnSDV/mfolPk2gO4L0Om6/2lRsepEkRpFRDD4voqW/wfZfIH/D2OpUnCMGuKhJn
UBtfCw+O39uGxbFyVwbxU9l0sWymshwpB6aV1tkEU+Z5RiWcXHS5AUo43GRuYPnSAI9IJggwGKDc
aDzPGNEoRAzVsqqq2yCdury1y69TbEommUb51RxcEIGHR4u8gbYarF8Mnj4HmzzTALU0nZsCK/jc
KUhZtctDOfQ5uncIQzjKuO5ErW1QNvf7vtlu29V/qoQ7ucrsBYR/oxP7JJyhY1mLLkkeL3NrOjWY
ARpoUbmogETuI6DqNaAx5DRDhejt6Fa4+qGPxd6j1f2SVEGWxPM9stcgFWWsL5vJIDTA+9b41ROn
6Zd2Dc82Rvr0tgHkCzDTsZxR9KGEW73bSnovczS+L+hFPDFcj2Z9aiMkww+JD8SAPbINMwuT47/6
Alsjypi9Iuaua4PratHQPIV12abtYSGXPj6G22H6Vmv/khaG3t9bTZ1j/mmBKhzyPS6qfJ2HoBg9
9bpo6CM9CLpGehJRmg0CSGwDZHoW17Rn94Pyb+cBOyGE+F+B6w77BaBUmaB2q31zJFu4AUJAmmPt
7QNVfUhGf5UO+Iwnk+t0ZsfatseaDjhsGOCRrlaQlJ56TtYWWH76BIoSdd3UmMzzzGdv8vC0LwBb
iAvcHsqPAfgLqiB8yrfJE+0psNCYRiPkpINL7AmSQKi5t2XK2ha11+TTJjOjTfexjB7CeHAFHSZ0
bwC8gaNCPBpxue0VfMIKYXM0ZT5pxbkeUd71lEEj76OqCRaKgYch8bIh0Tqj09hljT+GB5n2HF9F
PKWhZLtArLdbdNGXrA+shnatocs3A7t4OBOcx3bboHxkXT4tboEa045ZYCNoMVuDhqitTsQBFBwQ
akA0FM+UzFd6gJ1Mo+mnLeqe6wWVqnLvECwKpLiNN+0lDLASkHx5fKN7b+78jDsIyjwDYxi6+CJb
SPhtUmgmLVzcZQLwTEEAFsj0uSX2pBqL4h4rGgpruOP5VuaVqcfH1Ftu2LSowq/sTeQ5mvGE3TUQ
zOQG4FcRhh5/1KR/cyMQTKv8dj9JW+eKo7ldjDdkejJJPnUGYjoX0R2w3CupfkPj0s+ipcFuHrer
Lo6/zsSWNoANIQb2KVbLyM8hZXkdRwl9JkEBVa3VFWys4qza6NVYA8deJWSaczUcrQvhV9jV9WMC
chyePNUucovc8XGZM8GgFU+TBnPWW4z+Kkyxsg3mJl370jUQC1tDoH9MArTIFYRJC1Xm2nnsVEPk
VesUNX07Z6EacKmi2hzt3KSFchwnUKrSb72PRo8vsUqvhNkgY4Ngp9WTuOXE917FNHUYjkASd9hD
LAuXmxHKoUHebb4tUIfc2H6ar8TC9QnWKs+QTnrtJdp8cg3qaZJBHMzwEKLcZZCS0/46XCQ/TCt9
ryKyQm/PtwLGg6XSFL7ahHwLt6XO1i2wZyRJ3LEe6sRw9tqdTKvgMK/olDo8zxBu6bZAINmJmhEg
ntsKpr6G18o2RbjyO4jfbgwesIaQ98ivFuQFBnXBAidyr7Hf5qW6Gyr6rjByAIe7jz6gZzPjOq5w
se/Et67udkTe8Gm44ia446vaA80VmahrllO/ukmNHvOF0F9TvAb9Y/w8ig4v8RWYrthraE4zRnpz
HldecBTYsLiV8M9glsxZgOCqvFL1vounuWhc91p5dZj7a/LWj36ZLtzLh9n75lIMQ4QIjr2bzFiq
S2Ugh0tF08gEG3v8xLaxL4xNbgVFyxGx7YZD5iFn6K4kDe4TMKvlREPIeyv+Ws8W4MwYviameqx6
qG+b1nuo0ADn8ej9Wk8+zlKNJmKTWNGEJre1Dt59sd7wFtjAaranrmsBqrLZ5HaAuMXDfuJXEb2J
Gg8/z5uTDGrpZyPZlV2raEenoS1rCmHPcLmp6Fw/ywWk39all9+veUGmNCgGB/A05OAnqBXAbqdB
npcBriK1HTBwMitMZhl9njp52w7zY3zhb1KDQYNpDkVW16rLIUwzBVwdBU5Qs5aWCYQlBsKVWMPu
4g2spR/DuxBu2tDdTdt+kw4MZNOf6yl5GC9mQDwYoPhM1sMW4RuZ9apeA0DjaLQxaF6oZnz2XHBG
vbmrItAkbgBdDhC9p7sVGEuxjeEVBkNvbILFL1p3XVjvptY/Qkf2CcGKdy3cQklanTw//DLjQccE
uedjwLIl/rndBHkQw4p5LyZzFP6ntEofFjK5rFe+zsNobssu2YCvIO0BdojyjSjp7qoWu7VCMFo+
G7R3bFJH3npgc1t1iEXTYZ6rPwZpB4Ldoa+9uP8nclgxAYzzIS/DMHwG4YTMWdggzXtWYStIUF/N
zfSwxOYi8wkeY2/B+uu9pNFCoWlOcS8Rdz3x9Z6q8RhyjN5AYIhnNAUVTTdzdJ0BGLNiTlWYvimx
m/xf8s5kyW4jyaK/0j8AWQAITNs3TzmP5AaWmSQxBxCYga/vA6lUIllVkqmX1buSFTPfkEDA3e+5
1/ezHzT4Asr41imTL9pD12nj8RZh5j5Kh20pO5bBejsV8s8d78nS3NVpexLWsE6MYS+03vulvp2y
fpeOmLOqyj9XPnWdx90a+IO9iuL802zGKLn5uCsk1izPM+slkgZJKkrrMxj/2hhLY6Oy4EXJoN2w
no/HpqlKZpf9KX+NQyRPnpIBVpkCs/m67Uq9K+kkBtEoHis5dSAh1UymGJcYTrFKxLKZI30Ey3jL
bH3JsnbXROmBYczjNA6PqK4b3zCuVFvc2rE8TI5zrSVTPey8o4w/y9oj+sovuCmHHfcjfHrrIh3N
h6Top41XdlsGOKfJZEIyOh40VMKt8Ovk+7+z8/6NN/IhgP7zcJ8bPGK8n3zfdv/xc7/33N4vy4JV
C5wIoofO+4+e2/3FcwQ4EnGGDiQETM7vtJH5C9mgJm0w+gLMrkWn/HvPLfh1dMeBxG3Jjwf+3+m5
2ar902wfMIXf4oNDeVLYLAP6kZcJSAh0Wc/lHSiVWToU+B9FzcOdS3AzsGCjcwccTnMB4mfeNS57
baqKdIy2kYAMxldwuWrtZ/C1UzsBqgXDJtWx3GdlncAvF+R/DGW6TvzuaXY6/TAXyuVCI1dlnKuW
c97BiVe70yaorJLT0pJXo5RXrEOUex7StHtdfMHceVvWM5kd0U3kzDxGao/jNbp4Y7qJ6Cywh44P
Pfcf3YaetiUi76qfp20TILebXv2YeD0yPGDEYi6Uq4QGYI0xvN255nij7Py1SsAo4u4hHYTHrCo9
W1P/0AGLrso4v4JJ2M862MXldIztIjWQ0M3HWJlPrR2+JpwjB5WLq6kerwlONteRZXxJAlKyLN2m
62qZ+LaV+GqK8oiKRy9vF5jywmrfltWp90TLExgcMi/naZ1HrreaR0evShSMzu7WuU0ZH/rRvnUU
gDVd4UR+S45MTFjEczuiXg/Q/qtshD13u1QBpovX0ql2Cd1V0bTXsqDW7b0bkdL5uyJY67HEJIcL
Kh04vi34SHIud8Av5FoH/T5YzHEqlM9JU3xmOncV+Us4r/w0L9qDLpkXh/FMB4cxokXZVTnHopac
1Ee7c9mhkGBMIdXmIyr1e2YYN3wcvozMPacFo89BmsPeAjDmqThmdDyIojqNt5Lh9qH2hwi/geOu
dJ265GBglhnkuc9tkhHCcJlxpNbnIHGKx36q3Hd2H/GxS19/qVw98kMR6eFDdoxNWO7UqDastKrQ
DVJv34tcb8aOcPYhLrpVazPDdvNeHWZNTHvdDnoJhY83/tJBxxagVKXy53FW62BcGAkjxMGQfsOl
QEoCj4YWQ+tKB/F1KdJiPfvpOQgirHc2sxd8M599V9/OjsnTchjHNTOUioWU1Rdl1cMaoRlExJLx
elaYG0rzWLVdCHfeX2hudmlDMYBg1BLtztZWJeNVOKQkErPgqZDJRVdSb7oR22zjutQ3lvzs+Azb
pwqyNXWLJ9qgOwZwNtOR/AkRO123Mr3Pa3qxfLStbdkln0I/vm+revEexR/pPB5alTzqdPicRPg0
K92dNItyMdOyqVq2B+VR7ysz2BSk4RgZ97fRYDFgGX3fHk3UflN89Q1ZruPUP4ymmWx6ZforPUwF
qkzzZeiHqzTzo7WuynnVuFFCL4xZhr1nBzVxWxqxR8U3x1910uEjj75UcBi2dnZtEe6s3Nyhg79C
Bz8Y9vgWcn7iaxZPsZ9sJQag3BTvSs23nhNAvbRHe6CrAov91WXyEA6olvCl76Mc83Wz2HHYN/Eq
0N12bpWmO+71Y2KxxJPdUu7eLMOXqExfnMwYD13cjTDD5lcRMW90cwI4OvWIXWblNvlZle0aMnYT
qFETKG3vfK2jnZO4t6GVQp0MOHfHSQdn1i1eV0JhO20m0n6S50QNL27g7vrc3ODjoHNjbLcKkwgb
iRVgIMpXFtOJ1eQjhKTN/SB9zeyGo2yc5ZNZ8kGHJkepEnx5KIHzxq3962qYLvFsEyotKaBSoRw8
OzaL000y7k0ied0+fsAyi2MofYmdOdpzD/vbtptApWyX3skA6bNahqUee5ZGpiGTxxlONrzeFkHz
QQxdt2sd6I+gL+5TNvmoSNtrJ2pYhiqoxAuTMxSP+2ay8mE1eeqZqeaVzEvIk+kCWRFShlNdsGCP
eIHce0698N5tInxYPfcI/MjHZIDZniOVVSlqpQvyOg5fnAhnqhMmeuOU0ElOS00bNfo9N8EvIoyk
nEHOpZXWU5qnp7hPgXbaYSvd4dBl2dlzXZzg6UdhxFvllu+9FFu7Dpo1B+dVTte9GlN3LXBsVG53
K2YrJgCsuI5H5y2IzH2upo6xMpJb0G4NfCQ8Ce3tXJjYTgNor+HGibyjzvt3y1Ofg1rBmgnz6+zN
XzMpWTyfXYsFu5BNSOsz3pbEwpvS2IectTbHxUrZqIXLoKbIx68YxB4s6RNF0V23wbSVnl6mQIdw
Vpd5spe2OPwWFQX74v3rxNdH6fF8Qn6L+v45G8KXye2OTTicHK+5Gu2eBQ41I+7af1Nmd5+2zada
JNeJnD7XtXlCjX6Ayn11Y9YBY1k9JpUeVtqOt5gQj33qXpVpeGdbMzkBbX9ehKK8z+97PtNU58eJ
qr61PSyQDTq+KZ8Gs6MOqE5xoA9tRKIUWAyo7k1cyo2bq9spmm8yX21niv0myM4NHsJZwuMWbXAI
LWvbQgFNTD5WjppfCi85RqbkuV/cB41+MwK54ZU+hZEVIptGh6BQh9IMnpI5PjKc2lSZOkVqdla+
4/OABDJrwmuMiIfGNb5gdiKvEaE+aTomE0zOHYDKpa/VxnZuk+vB1fzq7JYnwEaTkQyieZ+K4mz1
03UY2jvbrHdmkn5LEY9XaHr7sbRujEDdOaF1iUIr403TSYQ9zt2EwUEUC4i4MFoxt7jLmD1vYlVi
H6/UQ9pNX6uu14dKaSKxdLXJVVPtArOgQ7f5JGliPXMYXymiD7i6010InAo4MHxWldlw9jVbwMiN
1vJbroyYtpeHoSpj4uPaZF5zBFzIPQak4DxauQGapvJ5QtiLIoxz7CYMOrCIPJdwAdG4DZnnb72u
TtEV+nZnBVl3O/IEHqHmb3q7Gw4xqRD0RKZ/PyddSxhfGVwCbqYyre8Tm/QIFrN52yrJKWKWZR4y
MTuaFJQVzHagi0CDc3FtmwPnj992V2PXHgzDmXfG7GPYtfLdpBiO1WhBnO5MoTOmPg3L+EYM7n5G
rsdIQb2yGg8jGHkMTlXe8NtoYKA5aszgatzPlXudSue+TutgcfSWq6zgEK6y6iHEs7JydW9v+pqz
pCi/eqX+1BlRQy8EGklsxbGtp/ehqPu9mO0Qz2njbUvTiT4JKqcXNq2KXV/x14QpJsBSVvdT0ODy
HIoXbVbRQeb6KpmiL0zTPpVjkl7yygkZt2XxXVy5NyxVMfZ11X/JSknSAfb9bYiZZEvp5yT4wsLo
M4tFWNLaeRQAPjuSaRJMkNCxfjFrkZ5aXOX30m+inRpwplcjrhk5WzxGXdY2u5qhg9UW1abxp4D6
Jb0CnGwgWQpqihqPkOgSHlV28MpAm5l7qO6myOWmr2N/7QSaQikmzzQIh7fGj9VtZE/lxtFYCP9+
L/hfRoT91vk5YFj/uWP8zaHyExH2xw/+3jL6v+DMlfI7r8l3Mq25bKUM6OQsXA5/tIzuL2KxSWM3
ACXjV34n08pf2DFp+7SflgeqQAv6NwwqP/oMqPHY7euSESpJ1AK6d34yWBCdk5pzMmGwCCZnnbvz
Jz/txJZ/+1erGP/qlRbPync2KFf0eahU5xwpXVeaZjA0Airwvwga/fev4lrUimQO0Yr/+CoVxH+Y
dXwef3CqbZSnT3OOEUzU+V+Fdv3ssVm+OfJ10N+JcOULXFrx7z5PMyirgvR0jjLLr8sufbHpj7+7
mv6N48RGwf/BPvTba/jCk57D0OHnT9NKUPumwHLCFtN32UC0FMlMeeIiUow+zspqaq+tOCaNx2UI
xCP0OTfT26kl2WBcVHA3UTSWPP9XcUkdNlBHEme8NuPyErH60giSt65GmkFNUGwtdUWXbXFdbGlw
K4RmeR2UwwsnU0uj2R/QXv8q7/xng9SvnxBIgAJQCK7ln2xEGW1aM/amc6zc6Gvd9M9VPR9Dm26/
jsV6pphf1a359Off66/f2/e2rOVVYSMs3xJs93J+jY3+7m/HdJrpKGQ3tU5/8JJiHRNUgx+amJaz
QyuPSP150M6lwG2DZ/hvX6NcM6wtCFwMCMuk5qcrZwJg6IveOfYBgzvPORnWlQ6cv3gVth3/cPXg
ISL62TVpZQBB6A7d5V757lNif7ZkMXfzcWwJ9TU6m+bbSx8CObFjbHBJAknUfA6qML1pWSm7itL4
ymMkuxIhfRZOenMlKzVC3IGI5aW3abCx5/Z0yY3UWdHzKnpZa5NZTrRGLB0PdR2IbS4ZeTTB0KPi
BerK7ZKzsqY3OQa3RQqohuHeWpWD/EgC/itOILidPHh2eKmd8GOigYIOIbqU1iHXiD6p8ClRBn0y
G28XVAhTjTL2eWOfYfZORl3fRKENOeZdGh9QfRNSkU9m9lTo/iqIy1NnhxTi6P6h2kWD1+6bhfku
4+GqEUx1gR72sSceicV77vBYbTK7Psel8UCCQrjD9odjJYnunBjxShbtjS9M5tMLUeDV04B9vX1x
vNzeyKZ7L71w3CZGGO/rcDZWUWXQdeiKcUQbhNPasrKXvoqKq9h2Dk1XMK2fono3BHO+IeEHTqpp
uByVMTFZcN7kMJqroiHoyE0BMzxrflUYmFYkDLPesrQu0m1O8eR/dKG1GfmkcOAFTb64NgRoIOMt
bzW01rNpVaRNRXhNjIyt0rXnXFueRjR19ZuH/trm7IRrptdRddfEQ+hDFnjtKpRM1bQ37CsyRiDR
s9fOJx+ISBhQzoqoOVOcWPT2xZvTR8bx0TqKpiffAXe1+kM8iydZ6WcrFuW6R2lcd8Z86gULT4XU
1oZZIE4SD6qRMofSqJ1y0D0j7xBS59bcmkF8bD0bw7WYWCVixWc70edEOV96I3hoSPhbkenyNg1e
wWSq9gkkLuRhGD2iebh7E0tjywgY6gShyGiY06+5nmoGnZNxSecwvXRRb8qN8H3qRjxl5BVYJnXe
t4GQNuKvCnWf9T56GX+yeWsFcbuz6zrdQ1a7TDw7T79zd2DbECVha3GPo03Pzjek1f3E/ZZNxlUR
ER5edOcQr00GjIAJjxZyjua9DvqjW9BYhBmyiZMOFzfo7qw0OQ/oBsxpY7jfTGQYdmiCGSBOm5LY
M9VpanNrU2f2vYjMg0VLTsrcp7Kphq3Nq+EnY0JQ8RwwHPJMRNrvTH+i6B779MrzIJzLoU43k3b7
JxnN1qvZw1ox1IRbtet+4wSkjXlgtrwuOT1ivJhx5J1tOTz0c5cejJBpn2+EtxgIT1K7tECl6b05
mS1visHEBuVV33qXnQ9s+oLprGrjU+IwmjGTSJ4YUj7ZSZ1uvRx3DQTpQOJS7qwZVLynff/aDUHx
1kdevicrwrnBdor1Abm06d3rMZ6vkP9oVYR528kqOaMewQ0lFS1cDrvjh8PG5BTZWlJ/ymqsSmrG
jNZhrtyVoULn5u+29oqqXlVDg6KFyLRKahdmRMTEbY5tv6uNor8dhv5Wjc2ByCp8ZWTSHObEvEuA
5bs561aT1SFkM5/CKtPsLTe6LYLxpZDRa+TZwzbOl8kjnxTN0OxOnl+Ljdnl76HhhuvBmEbsdBnL
qJqkebRUXe/TyvkwpmG4J+TD2wIeX4llklg38m528QG1tonaN53h4+7bzGU0XlRHk+2tq3JE+kpn
DOu6lCfJvmKfASJLFYS17hFe8z5z9+ngfWMNIFMK5qB1lLEmMx2JaVzPEfhd7OE76cgfC+lXrGNv
7cmMPXbx1p6Lk2GINyOcX6dMbTv7LerOXdrv3b6L175Mr9zlHHbmR9NSmyALyMk5h2X2qrP+YkwB
rRDJURvZuYxZ1xm2Rc6ZXTIGq24oSMc0DSaO9hOJLpqb37dpZN1u31rj0ag+QCVu/GZDohNKdKFJ
rFxZGd4e/a0QSwDx0qe3YF+QXrjV2m20HJwSomSq/Y8xdg5sQnpxZb2oiy35hQDLll+/sDD2xLDv
bZqi9zJ8m0ve3Ez3nonpgWm/7QR3fl0/z73YODEok4nvLpNnURLdlDY3oIEkVz6z5f25zSwNLe2u
s8q5CKXo5IYrnfHvA3pibYPAht4pbdpPdstZV4uh2U8xaVSRzeQg9/ZtYHx2cuNrqzVpdsOWFYbr
OX/paBQVRH3LrgxScSp5DF3y47XNit4029n9Y4QDrCvd7ZBjkCD68uwhqMZ1ccRChsJovgd15iOR
uPusz3D1crHtIw8R30bZOaRWd5e0vD2/6Y+e4RVHpwF9sWYkh8gsL0Xeu9wouCpDWzDNXyL74hK1
w/faR7nkAJYmOVrhKCpsC96ZHLxu1/ig11klyarx71wX82LaM8o1Uy2xc+gGq1V5kl4bXdK8U3e6
bIdLPBC7GVkOnHHfrnWWJes0akhniYNLFwbnroeLHF0LOCD9IET5tTdMxlYVOI/JbT+a8ZfE5yrO
rOFROowKBsPYuRjqtlMS8qiyh/Vc0UOTlfMxLaB8E70KHB6rNoy/OAObvqP5MtvqHpddtFZuU2xq
NBWsIzlvvHwekJlxsbhiXXkFWXPlLlI5xJLuBkqpsl9poU0eG1W+h8J9s3ny25E85JNzkkb05Dip
2NQ+IzeSg9B10/hS2OpCPbhi1dPK/qqtjyQkGLJy9roKb6q+OSTifgKYnhSSkYcxQ/YkbX5RjnyI
C74sZz6NoJd1/RRkX3znK3DQbGVEpsbqZh7le+Znp7xcLN8lVEj8nPTfDANZp8j2KtQbV2yamsRV
Ap8CTIwBcRvpBwYFharmcRfKYmsXN4ndbMcIH2P5NmD/df1qlwUcroL/2wrNO4I8v05WDNqCoVBj
NS3mUzu1x1I1MI8sFS05sjiTooewe1bRKTHlyg3H+ynhTo4Z5rCIscPgkQYxfj1xsXUHc1vsKmad
uqM0snhvyfQZ4cii/NBvkWmjXIdMWYsu+wh0+UYZUh/jGUAhWKJWoyy11pJD6RxqLquA+CpXeNEW
xeM2sSgEPG/hfQRTv0F3Oy0juNHBPBmc6fXUc0GUPnKmnMZj6BRPfjlu+ii/F2FxLAMEo54BSozL
Ze+2EvyNEW3GViYUngLDctxIFl1JtZ4tiRncY+eJ08F/RUlcgPbqb72hJXhNAg7vs+KDJCJv19qF
vQ6cQp2ShGlQ7L0oEG/Q3cwGYVJwrL4N8wtkCX72LIBX0L+wd08d77zhSqB2Tzaz370GjGmX4XXw
jVLGpvUDkqOGgBP2OtycU+LtSSm6JkyP7K4khxxzzaNiKXOU8jezgxKLamiuhmGplwKoOvghlAZM
/CJjheZYdSd7oguqueU5yNu1HF330ajIc6TyAR/zggfbc178iKFYLZ7M1H7vUZ9CuF05cCFoFFMK
uvvS5FMyzhQfZiYYonbjuBmcvKEY8vPD//s51D89Aw6t838eRa3e/uc+eQOHhWF4fOu+Zxh++A2/
z6QWjAHFgeiTf8yQ/mkdcH9x0IVwLi4UAY+9P2ZS4hfiVWBkbbKWGEC5TDz+gTH4v7i2ICSIURK5
FeDYfys05V8gBnyYZJYI4QULSvGrseC7vjVOirkmN9Q7wIVtKsITb4aCCAYjlTihGGfxv8qX776s
fzNp+XlshF3TwhFEjJTrYgSVy5jiu5eslcxRh4PxQBzjIRTTFjft3VxnV3/+MtZiJ/1horO8EIsT
eQkQkSWf/McXChRrE8fcdg/lQp/7AYESssRcmUU+Jt8QNjkedXhlMLp+RXX1dsI16w3duvtiNcG8
81I1buzUVI9JjtrKrL9dyUUbI0PBPXa2ma/5npgnZBULSFoCF4OWc2Wi344K8d71ckCMXXoNPann
quiis0QXo8roT6ntNcMKH3+KKDzodRamyZ1fdo8i1d5TgTjHE8fyu9sqLp1N4GLq8YrxoHxk5WKu
ZgqbR9I95CqVOREJwjxMARKrdvJr4erF+aYe89Zh41FU07wj5XeqPcWChj0q671j8thYdEvp+gej
iN9aC6nZmCm2EtVsfC/+ANM9Nh4Byg35c3Vsf6bL2pdZ+240y1DBGeK1asNN0FPmVkN1akv7FOmy
2dmyRTAeMHlRJaPuE5dJEwqzMC70QrZwDDZAQz7h+s+C+DYu9bsCeYCnhAWj9QY3P9TyKu0aKDn6
TuqX6CYEIyYBK970o4WPHaQiBq2wk+bK9dLP82w9xwqFuBHdfkR1XSuwDDeD4EwANSaAjSkjfMED
4ciIBFnXk3NjU4goII/Js28qoI+hm16TiHl/09qkpxOSumoWRkQAi0w2rZuReMcBjISA1bVlGrts
4UsQdzCgRyTvUqpiYCGxjpyrdarzej8shEoHqqIWZsUHXqlaAsQtcJY4oThZ+BZ7IV1wrnnbGPiF
3Hcs6uAwBYVyuvAxTh5/SgBmwsmG4l8QmsCaj3bq72rgmqFKWbG+iN9t++B38dmwehaBBvUDuskt
rforO69vyijpkIe6ZO1DTqx6GY48RZt0VZnVo7AJbBgoTwiBJpuQjIctY498Y1v9A0QgmPzGBxkK
Fnao9M37BJhoYFOMAC5SjnFuF9rIX7ijluEaMhwkUkz26xiZ06aNBZySKsitaHgyGgYJs2LhmVLA
JkarRH4YIUalCirCAFLdGyzz2LgFXN7CRhnMRtc68L8OCzclFoLKz/KLAVJVLmhVqWty6ecDQ6cZ
T4r/sez64i2L4ZDl4jFuRL3BI9KvahY1bsiZ5AqZHICZGdNKFlANm12hXwdS1vYFezDwdNS3Ccfv
xpj6g2qxUgA0R+ytK+ROyYyIA0QdS7TLnewQuCiqdzeBLB16hK1sbq4nH9WW4Av3PBeyX8khntZu
NHIRg5AzLRgpRsfuFJmZxg2N2dEo0idCDGye/DbyeBdedEQnVw5mAaIVM99jWmbYqbFP6vjbVIp7
kUXTOgR7IMeD0vzPj82fR+0/H5qL0+y701l0IetMKukeihYh0uR9G5/+ziv4knQpxs++KXjsECbm
/jSGNiZJBLkPNIOV+Cb1zL3pZn+RZfXjI+ZfXsL76eT3ptkoWpq2Q6tDvKUl7m3Qthcgw8c//yy/
bi76Y7r92yvR5EGaIhwRN/DTh4lkWFpWU4+HtDdeegF8Usf9tUUFuDbdNNylpXwoHCEOQLeLmiuw
WcSnCXxp5RoxOe2m+GjlfIfysBtTdkhEWmCXCrv9pNw3VTV/K0qM9+sz/EcBW/BIIZmM//jnnfsg
jgri+A9YdldB/dLS9fY4rP78a3F/9CP+9jL4EaXpILbx9Sxlx3dXUZmZWFJ6/sZGHJ5hY6pdD4N3
nRXJFXbnbmfHzq4xwepTpqDEuzTfkgyeSIbDnWlL8nXZaL6tiUEm3wRcTg01GXy+3LLaDrPcPPRw
/52z6Ula37SNTwBNf+OIZWDnfDN766BSVjTNYrgnZv81KttTNPk5Ecvz/RBxAPuFKFaeE5v7TpmP
GVFCCyKwmeTo06J0n5q6iNeGUQ7rtvDkGtE63Vmuor8ZxefI4DgaaMpgTZujq/wb6oZwl0eg64p3
7OEd3rlT85AG1YsS9k1Z6WPY1zuHDNR1UIoHaYcfHsVPnxNf3wtl7//86/+Xy58/sk1MPDWP6bCS
8qc/spZCF6hACyV/bzSw9PbJYt74f3gR3+FVgOGk8/NexaHpE+ZGlHEs5uNx/0xCLE94/y+OI+tn
YWW5YIn1I8PQMqUAa/vxSqotWU/KDjktrFkTvWAAAhA03Gv6nyatb6xR0yUNpNwH8tGz03k1WG61
KpyEMCy327ZeXuGcIO6YXpdo6ppZQQ1Hhn+kC55Vb/1Fdfvvrvzv3m/w09ETB0Sy9TweD/VYv3U8
OztDPI9eSZv3/ud/gOUe+uHoWb4ZFxAF2RrxyfnpHguzAknW0iRG5B5ovumTw5QxWazrcR/TISpd
/JXM9W9e0aFbIWXRAbD++W8x24ZTZxV3dT9y1/Zgc1EmbtgUEW9ijIxd7/9j/91/M/j+56k251L9
z2P3Q6zNbxDD8mO/N4z+Lw4itCMFo2sERRqkPyAGm//m5CZqMkB1/KNhdH7BR/7rQ9XhVKc5/GfD
aNqkbFoOT1qfMEViNv8WxECq5U9XAU8Osj/prIjpxYtt/yypkg+XpJ5RH6M6AXzxeuxE1QhwxWIW
R7kdfjNcnGPSsgEC4Hll+tlDnFvWeWxTtZ2C4mR2Mtq7YYyCxHaYNlPXtksYE1ke/Soth3yTa6r+
pPK+jgpxo0yKl06QETNHib8jyY51S37r7ibpBns+OdNPpe5J/243fuVQc7mgi04/bz28WmxCYZJr
E0a0MVSwTdA+Dm3ZvLgVpK6XVe5j2NIuQG+wHKLq8o0zOMvTACch6xrYz0ra4SWMB6r/iiCTdo6c
PUtBSIfCf85gkgwOXObs6MQ7hAdHBo/CZN8PHTeYczR/9jXFB97MfFv15T1H0EGRBbSOepxRY4UH
gK0UZHAVbHjgXsoDh3GmxyrLifRss5KfNf/XnS70ozsyJBRhcNCeoGrWZridhWNBvOv6otK0fUxY
e7TuEYDOBJQXzFBRSD0I9vuQdJSNmdQeu9r7cp0UbKZQFluEI1m9CCGA9wEAPFzxl0hM96Xnj+uo
qN8iINmzoeabxBjFlfKqK7xP5oawg0s0y4fBby62mCs4Pc0Td3j0dEhbR16iERJlbxvmS+opAslQ
mogxj6+dSZ2bMbsjY+wKnxZ4uSgpe4gR2xNQiH05il6qZXFQjFuYgeprr/0KN99MYztWhLsl8xv7
pI5OVhgs7hD7zk33DlzrWvtEsZlK8A9b50M7acWWZGJjiM8sauuzMc7f6pi21Ji7qzoIu3VpGZIf
aB+JUcJt2o2Sx/mYoEPYySp3hF78oVe5ND4h65GdkvSPbQ3OPScs/xgnMspIMMCkNbSfevapAL+a
NHeToY9qrPx1OYdvyiiupcpfqtFkBVcSjwqfFNCxT0e/yGXENisWaSDD07+nmNPY2Xvr6UBQnoTj
Om16c+0kMjl7GB/UmF0Sd7pPqogmM3rKiv6L6yTndjCfq7S6TGw43g01Cxc65iHb2TAC3GVkmpYk
6V9ihuonRa+/DqcE631aeUc7HuYNzf6pn9hJZGHvux4k42dCCUkz86Kryo++TFPSYpecnumVzpEX
vRMdbYFDWjZwe1yvJNFsZhafkqkneVOTH0/Y0rKaLTgBGxr3jelelGndWZavduz/pa1N+LoJfKPY
am+A9vY4I6xVEM/pBurijJcgW3tTeRBT1B6cyjr0SYlPN2PUaafZPp7YnZQJHOg8oYJ94k8QjAVz
09QqL+OMpl36tH6jeBsbDAPFCNTnDKu29bxTi8NlGsYPx3NfMBojZ/VTuCUI0N/GKfn6VtChryge
ZkZzRf3aXhGud2y6ADYFa14n457yLTx0Hr5nkvTe4sLN0cNQt5wJ9VK29qYtBkrIpiR2dbRm9kqw
6CD3rBOx5mzNcXdDHrLLt/9WSJrQSjxkUx5QBCMEuSkU6hzV5iGp0PI4mBqBvFu73mdzjI6Esn8i
GPWF5vSkA0btRtdiA5Dl/aDnB6/Ln3rXRr0uUwDK9DltSY9I0e8jA+pywUCwGBJaBBlSQogkfnQu
F2Qk65lrFL9iJAtQ0i5oSWOaWA2gTbyGc4Nzki87Gi9ZMO+HBU3hMXSxF1iF+g+MZwFYekXkopHE
V80Ct/gL5uJBuZ3nBX2JZ6K+WNXxUKvR4yUQ6uZlHj0uk2mxzKitZVpN4pf4qJYJNpOy+4RR/eCU
zhrLwnag2LMoaQCKn0QdX7hn2WcXPJjLdDzCrbd2lom5s8zOiUZkis44Het9d8qs6RSItthA/V5c
LJarcZnCB9zHFOp6LysXVYVRvRUm1lGHyFL+MsZnnG8blbd3lwm/vcz6IV2xxi/zf7UoAeGEJiAQ
B5xFJbAWvWDSbAhaFASSgpsd24yevQmD5cxi303KgRx6qJLlokEkHhsxFk1ChcUpTrgl5aJYhIt2
wRaEZjv8qmfU6hvAeLFxF63DW1QPlbIvqouYMppEoC5ZrpOq7ow02RUa5zl5XuSKIaIAVDEEQlYx
0VcGdJYAvSWMqye2dIws3olId1xEGQCHOwuVRhNBejMtwk2GgoPBklZnEXVYtnbr/SrzLIKPRUKA
s0hAg1QW/hhkoWDG7iYXqShEM1JoR+UiIsWLnGSgKw2M67h6tAF4pHZt1H+NRL4NzWAl/pe989qt
HEm39KvMC7DAoAvydpPbW3lzQ0gpid57Pv18bFdtB1PAGeAcYIC+qs5UStqM4G/W+lbcHe25ONnt
o9o6K52LrQJ9R5BUYX2PNvRUfOEkZcFbWgcIG8gJNFGohVOCcHtbQ4SaxPAxy1sRhk+Kr+yQBXip
r+1ZWr9YLBvjaTcqylGMYltUzQa+b1ArD6qR3mXkwgCEHb4zngT13E/imEf2nVPFzxVuMa2H+UqS
YUcMBaivrWZetejeDtVDix9h7UjC59SlESG5YojLyit0JVoNo32v+EzvLIvtMRHEpUFG9hw9t7rN
lgZLiqzMWxCxBQ3sR+B6h9hY5XV4zvRyTYYJchBMSWnLY6VNpyRbwxn5RXjdY+RPd13QPOksorMD
ASIGT8tP2IldU3JQAzA9Bkohr+Bnr4FFyd54RFF0U6v60YnMO01IxizNrQvkQ2mGz4BZYBN/6jYU
Bn6/egwKs3pUCGG8lWRPjURPxTH0ECeCG5OqGBlCQpFSB/uLcR/Z0bvJ908w0SM4amyyKRxXSOEr
rW8hgmbpa6KOXjhw0HMyOGJ9K3JM9gtZ2+wSPjSjjiCJOTiYUnq2EWZCVf7oiuJZffLAOOi5xEbk
akp6yUKNXm3imRhl6QLPOvRadrWVkAIAsFY0/DKDc6Dscr/dTYzfOl13EdjvgxKu4fBlz/FODdF9
zJfG7xDQlJumIJHTQhkODifT+fTpmULprJ1EfAeMgtdNplwziYC/VLA3W3XkQ/oLE7QeCOmZKGG+
QrwQOs6LofULFzrR1kmn85VngKm6zagQs95HKbpP3tbEJ3Wtl+X+XeqPpA5JbcJFV4+bRPRAEGIc
X4YTsku0w8nL5giLuDTznWnU70ahMKocEmWfhqjYowG+yARe+RCb1S/Hah5DGBv2o1Ypm5Dh5Ao4
63nUOk+JynOldk9ddmeP0VOTVW/N7C9AkINT9p4zq17RZYhDdDvaT0MpX1DVgZpT85jT6b/KdMKw
hFnPjeplI2LEx0ZyNNH9PctWfzf6pPGKJHp1MrStRthdbILGZhMSkErmnFcXeeSZ5mRt4bssCXpY
EnotnvHmg4BMNfFFjlnglsHI6BVloku8TuRxxueNala5y/x2P+v6rzY1drbdP/ZV9tr74l3EMCtH
n24hDJ5bbCtu4TO1GU3c5J2OCii3MHIWhlB4cAUsFivosGGRPGMFprnSwEyvVGEyM6Aq8RdOTUHx
ihh2VeOf97JieR8EvM7GMvkZg1jbE2qAnitcXlFG8zr15lstiu+wHN5lTJxAmYBtsuD9w8yL+/sp
UBdArI2AzrHWPhN5chAVwQ3Gq2NE+mmDpIJKySxCFZULIv2R+Pp+nU3Uz4llGygtuSmlTHG0BE9j
GtQULpgAswwvk5r47SqeApQQcDlWVSOnJ2BvBKXGAhxUWm0EBQxFMpjOYI6rTVP7oFX6GnebTC9y
ToONWqrBumgQHRv4/21Fuw5RXbm6UVIIg3rHP5ta+7iLt/zg0yaAYrkVpnqSC2wCXbfj6mH0auPS
9ci57RH0kPlLyBsCJDtEuluYgHKIY6oMArArMz+m0cJCMXyWQXl4LoGnusU0nlrdKd25S1/rnHoq
s4pbnOGb8NX+4NTAxZPYubMK605MAWY7Qhq7YClcCG7gFE6J50Tlc6voX4lssK11Ar4nD7Rrq8iG
9KDsPCDE5iZwoJaKMTT2jRXXGyM2nq3YoZcEupjYUciBUDp+uaggITVxyU2IXiMOmZ2zYyA1KFcR
zvYvVZFc/zS2+S8YafxDksj2u1iiOZp/Zv4u/87f8kb+ewSM/L70ZhTwn9fmC2rv9JH8+3U5f/P3
6YeDd57NsMnOVdj/MP0wmHksBgpKdDr236cf+jL9IIxU6ksShyGZhf1lXQ6ETyBEsZdxlWRk4Rh/
xMLBpOMfph+MAQSGEP4llVEK36f1TyaOiXnJIMCQ7HU//Egy/5edoEildevdIsZONSYSibvOY1mG
0PaCqP4pGRJgYZtP1VTkW7zDL6rOqnhiM8jNDRdKwxWX7KwQGA9M+lMmLDB9NTL5DO1QH7Ldq8vw
Wzj9CwcA1X6I2VexT0Og3RURaj8rhDgbqTiohURlFiS8j8YuOZBeywC9KN+kwlLBbClWO/+n6vts
bRR4G1rJNWf6V2RH16h3DkNpH/C5koqni0uQJAeU1cdR+FfuFGQvvfFQ9dVnrXc3dRo2fpnna1Ex
7Ijgq4Q2wxJrEPdJKDY++eZolkjg0yL6nw4tYaFZP37XXhS/+owFaXxJNR8mZbi1Ftyk6mggqHSM
m5bjcQvMZIdIiGVIUH0VtbXVkQuxu6dISvMCPLspNC+o4oPtz7eIx8XtAA5rxZJUkUmQm/rZb/Gf
9uZPrQOHgjT2PQXTPUkf+6Qt72Mj3k8R8htNa7n89Hmrl9qjnfBb7MvpVNHkeWpLKT4QZeobIeTA
KSZxwB6RoxskaSb4EC9KEX4nharsGkVdzylqTXUIbiwD4aUNGm5AaT9J4H1bs+oYOVEnx8H0nhRI
jh01v9fMDjXQrMTEhiesbCt2ip3fc8vaCwcpOkYpiHiRBIpbWQ1S+ooZQdPV03EoURDn5DydAqyM
j4ZSM2oKy4chku0eh8C1TGJA9h2utrlalKftFJ/NykHSFX+peRPw0pWPg0ArWsyNAfx1Bi+Qf2YR
scX5TKuoml41wpnWU/GrnynzeSwRnrbgWzr9XjomY6sYJWkTNlCa0zh8mkHiboKO9BGlygHByvY2
TqHv9fEwnEVcll69RPSNRZZAxhBHK84eInUZlGXBsWxnokWNhwIC/YYMaJ9cbvIRnCBrNmQ9kNWr
hs/JzMJTyZyJK9phiqOlb4GCyk4bpmY1ajw2NmJzPwueM1FMu2Tq4F4rhMvqTnRqfLYAfm1kewqD
h56xxNomr4dogOzZL9QTe+kfRj8B6uzwo6rLTZfp+zLs8rWv9M4uSyRhwboye+ZIvGIZCl7cIbxJ
kB2eHLJjBBwWK+Eu1Nv7NNPuhii+pqK82CMVdSKT+zYYjlgevivdPHZk46KyoUsyVDQgjtJuAn++
qxeGoRE59R3Y6RdgideAx2hXGSmLnJ63NKTx2jMMe9okc12S1a6EOzMwG/KG52qNvDFBdUnSHxXj
qtCC79SBGzRl2bZqml9xy2czNM2ugIm1wm1FRke710ICt/NA2ThaVKyJDMFhPcK3zaOg3+caBfUc
yWmNNehjxtGP/dpUPF/xeSHzNGD1wpxChjpu407fpukAFDO0+aiDUzqPTxYiCRfiJXnOTW0tsagE
ZRfwnRFUP4eEjRCYoH6RUwlRKMjPBo2AjNsUPi5OrxlmJgz/cz2KjQDyjv15uPmFQCXZoMGp6/nR
sKFf9cOjwpEyZJ7uen2GI6fIvUOihkcinrJNcgZIVEzkRjI1vzaz8UtLjI9a141DNvXnYMAxbBVq
82QGYIDzJj+2qUWOKRLidR9qpB2ZKuVJyszHRD66UYcJscdo/VIz9ClK0jxQmmzzrqi5A5dts5Zw
s+KgTqJ8yw87r4emLB6qvL3vUN+QJ4MAWRtPOcZsxAjwAe1k2BXSoEHTy60/JKy5chrKhomv6+Of
3gGb4uMOpxPzTmfVN8GRUC3ooT7yrOVrqpL3iEXIGvPagVnocO+L5jkopo/R1xoXVtx+tgzMRTq6
bOW7SZVX3MEbkn/YWC46KIMHxA7qfNNRB/IdTs8WXcXKIo4i0V2NsJlbXcqfKUwcZvPtmx9G9ioe
9ROjYmbVSU867hgXHpWlgp9Gp3c2Soq7KntWCoDuRdZRuDvPjY2+M592NgIJ1gT43lBLP3bTS46E
2k9S/DYZQHfCGzh92qWzWNoyhF83zbQBpXgOSMY01HwCV1a9lanS76uZmW9XONAApvqSJDLfBupR
665mVp/8KCWGUSFEtrkBwZTAOIYM3FS2IZXOWjUMX0pcN0AFE28s2xaQV8dZP4UMAyU2uVLHOU8S
pqk+ixaibRSG/IxqDbNboXGtRLKtGIDzTENiKPtPOdKFCvRbQxZ8J756bBFVJ2V/yQb5ZUhe4eBP
3ZIJjOMr72VBh5nobCJZuIFwyZhKByNK8b71NwRg8Ts158QDuebcZSY+/75XX8waZY0xiXaXEtPn
0vZSQeBs4iOk5MBggmyVmAvXHmyD3Ojg4MfxvWQZwgR5PBWzfFIzxE1NY18LQ95lEthGZSD406JL
3U4U09kEUyOtAGHaL5k2PA6a1bhVmwbgERP2BkO5pzG7SwZncONIf0uMqnKZZNPmGHIGOZO+pWWh
r2Xk3NVOhyFCZ4Ab1yMAUAnKp86vle0XnjN2157SbTWYeS433ehHiIjDeM4vfq3kb4MagowzFBF6
c1AetbID2pfrt8GPfgzgg11EFklQMWwnouODnl16woHMqmSJSQeLL4UMmltopj9anW8NdNJ+Vh/4
peNu589ijXtvZ4xdE0xBC5xLEZ30unrPRZSthiGOaAxJR5cluA2FqTw/QUUo9fSxwKG5kAgl7cN5
38YkVPbWkoRs+7nbktyAwJ7MgknjXMEU89eNPuw7iX8tsbW3wh4Pij3fbItEKscOXmcjPYne3BVR
/2wY3FwLb7EEvDgEQ7RjXXPuA/wyNY+rQUTO2NBTlqQh+wu/EY1bKcVTk9SM8RfCowT1qC6mftCP
458gkPrCgzSa0kGRBiOSBBR0KqiPrrqkAUpBSZo1IAJRP6ux8gXiol73ZewOIUBkwCLIlxciJU8R
L1/+4JzzbEYdzImwPUNDk5BP5nzVL2zLcaFcsuNZQ5GAUlwrB4iLkE9b9ltNxwDHOYJEwgxkM85N
8Sci3SJ4WMLSjBeoZsBYZGVW1NbBgtwsYG9mjjg1HWdVs+wT+jS4AdrypRZiZ0IeRrZAPJvlIUhg
e7YwPrG0mWsrfusLUIu+814ofbTRxvqkmJO+iYIypUwrbLcmF31Z1wHhapNfkAQOM0AjIosWhgKk
UX1Bjg42wfAUfU5txGtlMs+hLW8p0SLYNocLNITaM60RzGRQPvQLzVQDa2ovfFMUb1B4QZ76o/LU
98M2X1ioxpwFjM8B8lviR1t4qbJC6Ikqnm/ICmnvjXqRwEFY7a2wcbUuB3xTUTKBYU3USy2ZApnp
U+qrr43ZAt4bsl1LLiQ4he4ltK0EEku+wSWxr1seGZx4O+EoiRcaUYQPCMHfgoJNFyhs2shnR4/D
VQMv1hmmH2sByLaQZPNiiWEYr6Efyo3SJ1SYHIdAlPhaSl7amd3gW13gtKLX7b0jANamusToyZyH
j924weWgMsjW9qgjZHKA3lLaMpQxOMP6gsRlsH+Pl87ZggrmgVjAuaFNtlGW9GBiJrC6xgLY9Yug
WpULdFfp4x+xYHjjWTW8DrG7py6QXjZZoTtEob5trAn5nlgWHAxv94M1bCbR/7Ish4OmM4poEmV5
eT8hpduhN/mMyedYRtq/qq7ZK/jEwErnR1HUS8ggfdx0oQTZDiG+LhL4NBOBNJz33Sjp3KQyXPXe
RngUmZuiNZ7F2BF7hNF0+181LfhvPQigK/7Pg4DdB8rrfz8G4O/9dQwAlUFj92yg6/5z2/43EYT5
m+aoiI5spN2o5On1/wL/08Rv/EdNQ8quSiGl5Mv9ZQxAsI9pGZhMgVsZiMdI4vkDJAdp/aPECrmN
oXETayrLSf5PlF6MCf5O4IZjMnTirI4O8TRuenIqgtwy1urYOft46hjs56iVRlDMhBI6z1ltaq4o
NcaX0WCvwABY2NMyJOZjxtJvCdoYrExfLzlludltU2I5tEBhYBZqo1uX0MJa6xEhySUJOa0ZsnNY
0s1PPluOp5oZO8Nw4BJI1RzlWZR6pVYfiKcwNvAAzyUAqbuMjfOqikeK6nBin6xO3MoBnmm5ZJek
hJioxfAwOWGIeRBdeapNrGU7xdjay2ydSeqTOeq3sqNZwLRHQ9+ZBClq6CDutQjwLTu6dpNYMx7i
IoXcBmZoVjFGhY0Z7W0fn1GUl9+SQD6wXKSuKxBiPT01sfM6aUkHYRD+VVtd4w2s+dVeBMcmBAms
Q7xZE7JZn6ISg6tJbeC1LWQe+FrCjREOo8UerIekG5+YCzPaTov0qHbLvFjLENKWw7BpzfDOyPtz
KabcrXFhe+Bchz1NkZtOxQELMAEjE+9QXk/kLW0GerZVGijrOpp2TRuSqUIqS8rsZqWq/XqQFerE
zpsxtLnLY8zU3/louuoxV8Hum9nwXeTDO8HuT6K3TwCxyEvBLpD7GESViME1a91tzhaqM5qjFemI
PkIvtX4KZMn0IWjOWxyBfRHfVZ3zaKTpXT6ZD/1kPg/x9KYK9SeKYl67fZuvs6gk6hKpac5Cfkw6
YntQexe+4zEn2GjBcBtK7WGoy5n1crpDFz5tqUtSd+ZzvNmF4TIkKHnU8PyraifOjh3ds2LY6DON
XXIgxg1CAPNpSO9190Uy69YO+3XbTqB6Q5irfgolPyx+cMehg6iRpaCoHiomRiq+9nz2d5lNa42c
7TrH7YM0EwIE1XdFdZDqFxXVyQJXhNPv+xQQllZgiO6QsGVPIIiW+EAYOnpSv2gtwxLVJitxClGb
gXQbC9Ts6DDOIZExqyFw7vq2+En6rNgUSvAd+MULxfGBIIrjlKjCqxAkuxo5SDGO+qicXqB+QD+y
tCOF80WL4SMasdNu2y6gQO2Nkz42lZfxZIyKBupgrApPaxmxMXKuURb52tYIssOQ+YCqIkM5+Liz
0jzLN1W4lJMNvyFbP8pZWYuUtXTWh7cksZ5wTDZrEdp3hVUAaEmGm9VJxilx9GAHeG3zfLpX0vqh
wLSJMdAPV0oavBTEQmHpLu8s09xHbe4GFaFHXRcf7aS+NTFYtErykeWzzZ5Jay5iGDGFtnQ3phHl
VzVB1eqHU7Zj6PKSROEG6Py1KZIjQKQVnKzdXKabSI3gZTZutGgjhOV1zvgKugOtu2QqBGt4mDEe
E3dl0gylMXmdo0gatMRDSAOMxzhx8FeYZDLObHsESRI0rI9ZhAETkhtNFzlBXYvcf64NRP6sXCz0
Kw2LHjYQ+bvexRgEwwf2oPxmoIt6gFI/nWa+VwLn3hTFpaBKNAokBXijLhUZB05hKIAJ1Zn9KEqj
YSxYmg3nvIsPEdu71dAvCK9Ju4EoJfSsYd0eAOpif/Ix1nyYaaHcsRyrkQGlh7nVlU2q1SFF5uCF
Ttnw4GbnJomQD4wfAoIoh/StHEOUL13yVfTxrdL1+8ZvzpoltjmJmnH5mqnpzlSZ8JXNQFUVOA+g
KQ55QbfQwWl3BwqP3VRa6YORNc6DQQSD288gqe1gtGhiWq15rKxYHvQxuHZzaaNBWyICRNczgIGz
1Y5NsZZLAgEXhmWv2aaMf0ImbkZIuqxboDb6JMNtaxu/Ikori29GgaOxatln7VltUt4yg99HrG9e
81BRntJgnPcNpjTgCH3szv2U3ko9D48+1+85wP6/mSyYYMBGiXxMz7MK9lUv9j0KN1LMuqWfUVdt
XBIWUJMmjNVnRVtLbU6Y0paEr2XwOCp72fXnYkSrljEY8UaHeSdvcZb0uoqv21C3YZjG6wyT2EXR
+a51H1w2ruVw2zbjr7nQNg5RKe7IsOOEQMH3onIGw9ZG94M0b0w7WdFb5kqdUtLuys/KV56YbD0t
KATeimXDK4KUXReeJbAzojo6pkxC7mVsvbD9Y9F/Eop2snqwgNO6TbJlpg+axvXXcfFZhgedJXlD
QMj4qCNYdKL4Kxh7bLUEPwSStS3AC7rHJWZEQU7o300JlpSk5EyETFxLHyAig6Y7dWz3kW81qxb/
J0tj2QDUJQdWUeCjfvSmMriAjzaRs/Sj/lX0iYs5g7SC8hxDuK6AZoq6v7RQBGJLA2HYnpK0Bphr
VR4N5KoXm2iCYEsWs/Mz91BPzVPIKCtXXyFXr0LlFevYqiRYpirlXaDccTVcsk59zGmKYkNf5wL2
5dKDNzoBbp6qfw2TcEN0k77ob2ZIS0kv1tpEAvIuKoHaYWF/1LRxY810eOwZmH3GzhEtC9I+2AYO
E9O8RhAaHerewDHWgepV+HzpcuznYf5ko7EiZGI1GNdRe7BTeZFF+KXy5pRKaLg4efbomwZS7jSF
sc2n1k6o641dqVmQ+cJVWV5B/ylqdiPm7zIJiJAAFrHRwYAtL1B23kje8+JJ2emdeMlN517jp5lE
d6+PRyeXAAJn44Cgb0fQ2hEjHYd/KtaFVh6trN5F3P5IKtEQ+PM+S4K9PY73OOm3qeEzcR2YGH8p
c7ThcDxbiJIsZmilf4aOZwbrEeGbVcPR2+SN42IOckFL1MA1gQ1Ww2ZWPzHdsBx28/6ap1ziLebk
x1F7UoKNM36n5Us/EZ58isI3J99g3w+qFyNicLt1GEN0Ca8pqkSCs4dvJ3jSfcON70pEVuKqTOt4
BkmwbfJHnzBJtp89k8Nq5hnQPbynIJ8/Sq7PhI8x+uXj4bPFr7r8yEh9VzE23AltW6heMN9TA5jF
JbVfAm2t1aMX/XIMLqWfcmSznkHFhyv65RB+1lpIMW8cwy0VEVlSz6HV4IIO9zwTDSwowEYxydTB
S51razneWYQcOU1x7uz8SCASw+7FBm2M67pRLy2hi5E/LH4pBHwXXvrukDmcQgfsjtZlt67v1xSs
UDSoEMh6WC8MDJVYwdKfaMXlTjew6YftdO4qBefHzKDapENkK5czOOfRn7n5fUg2sbQgkS5lXlft
tLSC/R+TrJQElzAI+LGidOfQd1I7gQRQtQ6UVV++NbZ5kToLpbSxH6dIeWzj7n7JoUyMfB8F/JO1
HH5CnV9KEhnAHNHYFIa/ZspygsyUMPhj4DvK4K2OahCx2rLSGCd0BOqZDbnvqjXxeJgdlw032uoK
wyPnttCollFnHgjl66/gNJbZPMKoP96C/t8BB/8H7az/LLpfmO7/uU9dfaPVr7//vlP9/a/93qZi
tMHwYWGgJsaNnfRftfpLA4uKX+roVpHWskj+S5sqCJllhY0OdzGM/Ykq+Nc21fkNu44Nb9BajB2O
qv2hNlWoC4Lvd4+IpNvFLoBL1OC7QP2v/pN7pmVF5PdKA97LbM13XbEm1Q3ymJxMEhoGavpmdFul
VtBLTfO6EPV8H/QGjIe6Z4CKCKXw7F4Nto2midOEha2sS/MMHS/6VOtGsqLTk4UPFiOgrysgOiRa
3LWNnSGUt8s1Y6dqq3Y6QJfIdG4xFDF4Vcm3D3vcCzUjdpOBnHMK8HVCcmW5YpUyvgdlGOyEySDG
EnO4bkgzXPJgbA6tWtjtoazb88i655Wcl/LNKqW6R80LxkUJRb0meqXY4YbFwOWkXbqenfSmBUV2
VKHTU1prrbgDMqWQdQQWaNXbRf8KY8LwjNF8CixpX3S2Nnu0xLhXpxoP2GzRSxmWxryLvqNo2WPa
BfNuAWzSo3m/E3U58q+NnWcFGHWWyNjgriac9Uf2wXsr2YIVxnCoBqFSbAaSAN4O9AR2BmzKolqP
jlSuA7GyXKJ+Sa/lEPNKKJA20FfQ8PJnU58mIHNCicxWM8wHhpA25Teh8eAGlWbS2SKrTr2CSgJ4
qQhbpHlqM5Rru9Gpzhs5OD//r66FxyLjf/8DhCx/Pt2Lrek/XwreEksN+MGN2ulfb4bl7/71ZrB/
05lGqbaFdw1PDrOov94MklxIDrhj/8vNYP2mCZMQR03TSTLD3fW3AZYwf3PAk+JhZrZF2IT4Q9gH
cyFa/N3NgIwG05jgguFrMjHT/9kI6hsNUi42XPvIfqjU/tg6B8OZwX6zs5cBCGGZs4ZMjn4kbkWm
fmuZvdHAkw1W6uUBu/+KZgvV1XgiqvHcDSn0ac65VWq3oGje9Z4mzIYXJrrCK8lnB3JyAf1FL5Q6
l0ZfbN3aEvPDPl1Ec76TCMVYLgFNE1NybWPfLbX+ygLiDkf3Z9ZUp6ESt7YDlQLDxjahMCUEsuio
VVJE211N5xFYXhWJr9iRt06Sd5Ckz005H0AAXgygbWWL/m+W8qOqiJJxjA1BC17HcWPxsOpROwfg
klk4kaGge1o1uEpJlEecYAQC5JROrkrotYOJx7L3ffoctEA8zZgceQMZm4Gst9j2rLqaCswi8C6y
BOf8EWjzCXg8zR2rSFgQFhZXqTluDQCKKQDSCr2786uLwka1hlZX1fqGhAZfBdin8esqQdlFiKNd
S5m/Max/842i8bNdUjnveLmsekc5cYfkRFcNM2JfIIfyJ5Y6atR43YL5MYgqspryBuyIL1us85il
OBLmOnEsjz1/euqSdpuhD7Fs7PVDysKCa5iuoFkrbZrTSMn81BeTSVSibD1Wav0ahfCb7Cm5Ffq7
LpRb0rOo+BkJ9cFrGKHC6wIqx2nNwHIzD8Oa6TuBGPQdRlh+d6I8+WK6Kn26BYzykELgSApmSlV8
bynIEyrx1Qr5KxTUVSamEgQtKymoo3sKvGIRFlqNxqbaP5dz4TXFQy6jV8UPnv15aMBz2V5XFQzt
evtXGJgvjrYEYomfpjaexqj/ztr5vRkl/MpwPVbdW23wxYyeuITsLgko75iu0LrbLWnRhcsUBKln
na8jHS6epB+zFWECChFHvWanYIyfaTn+iBQfiZkeI2VC8FD5rnSKZ6f7pm7cmzjE8AGgphhOVU2U
MkxukBOHxqg2Yx080XsuQgm0sgJ5u1BOo+FvwnIRDqvkKlDvOigL4pp3HBNcP/A5L9VFiCpazYN/
ywr53WXqL6v2gbkRlq5b6zFkn91mL2auXSvynHGoKWt9IguiDZ6icf4aoT3EWEO2rd9vB/olo7bW
Xds/WjZJlfQKaVWe+YGwKMEoJumdSHjNjYebLvaiapRVOcXHUTO+WoOlFlPRdG5c3kjrIrNXKcLz
IfAf4znaYctgcUaifZ/u0IA4W70nTqQ0+EaF1NS1XdLeFgaXALF9FP7TBpagG6hsjkDpEQBSRen7
mImH2bFos6bGHf3xXDGxGGmXJl/cRlibViI8BCtbLaHTYyRq0OIXZYKkobyvCvO7tnzOpiOOypSe
7MB/KKZ0Z+nJhgKbGAFcMCBZZ6R1vh7eMxhxFQPrWjR9hLyctch5UJ1+a6b2ua3QzNgALfAVUhly
/qdzLJMTgg+W7MZ9WjB00cOrNtEU18DFiu5ZV19Lu/KS5C62P7X8IQ/1I7v3dzZGK2wGrjY7z6gX
cy/t2O/Xza2N4x0gML5iAAiyrS8dSW5V0j0QMHhrkmLT1+ZrH5hfRmgvgEI+XvK6940d8shVB3RZ
94PFXr/py1ehTvSy8Wugjoc4YuBgMAp1ovZsNd2D4VfPJYiJVWqzbwuG5ymf9xYKapNFIwMlqH4E
le/kQJpB6+wbUAYpDzpMhTcYMFfkkhtbG/BvpNhZ6hSDhlJss0DfazPZ5mo60Bl3kAunYjyGcDWi
itACaJhulIZXqI8wC53p1qMXk2PkcNUiasnD4RtCxyFKIJ8541EnzHa5LNdzo5Kl1lAd+sNNMqKY
WY/YwBI1oG5VS+yKkjzg1n+yY3aMfc7EnLV1Oe2JaHhURPGZhy/9XJ8ZPhFKzAkvQXfQnxHfC3ca
kv/4qgXJfdWp95n02evnb5ZZ3/uAZ4gmmPaJk+/7kaBtW9mqQc/HNuwirB4jO8liym8CSTResddc
tI9llBz0eRFdRVBruirDoJJRb9biXUb5QUqV+56K0RIXxZJcTc225sskkb4zHOhBknFXO69hHTD0
LtJTOj0pPMfkkliuPgfXIp/6FSGYnjZZ94qJ0j1EcdDn8UtllcfRri6NWnFtOy0jufQY9xB9M51B
7az8NMvwTWjHfAF9tkO8MefG4410Qex5KWNxP0t1XVfMTmuCfa+yNtZTp286BT1kbxJXH7M/Olhz
yYBtCV+dPguNJVKVsdWxzkCPNwgWOH6wTZlDn6Jg+EBrtFYBBXL7HDma/Lr4Vhr0Ii3LYzIlaKU+
q0n5qNMllRlkXyvtt9p/DSJ108bOdTKEZ1LRLvwWQpPjxGN4WlC9yA+STVez0r1YChGXaWBCwYyv
Vsd22EjmTdi0V99qd10kTt0CUS2G7GCyhxkMkiDBq/7/sngpYA3j/1gWP4bdx/96DCNa5l33b1rm
5W//XhgLEP0O0BRD2iaF7N8VxtS1oN41/c9a7d9bZou8dEzajq4JGlrVos/+y2Z3KYwdg24afD8Q
eqn/oVg3ip9/KYwdCAcUzDqx7ar2z1gFoxj7NOhLbT9VMwKTgCElupZpCaJQdjXLFLcAWouv7dbj
pr75qdpzsNKZF5AP47aFKdvW6JPsjEasX1i4qOt6t134uNlCyo0XZi5vujeAVCXpYryGyefxCaPW
sg1mwJ9IGg+Y2aYvNmS6Z4XQHeo4QhCo93itZcrMHB8m2yiNc++TOJLO2g68iumpM65MjbPHmogJ
r4m3qOA2ZF1GH+zn913EBNowI+1R53oNZdq+sIxwNlEYXxvgYChJ64yfT+YklXNzq0pAeOJyq2tc
73K559m1iEsvFONhBKdCSglL2J5tAmk1OspPXjf98t4Js1yQE8XUVepdsplN+WqbGFyjcngwp/l/
s3cmy3EjadZ9lbR/DxkAB+DA4t8EYmZwCM7kBiaKFEbHPD99HzArSyplV1Xnsq1rk2ZpFBkjHO7f
vffcG7hQOAArrNszHpxD3BXlLpsM0h+EjUYPyybBdXdHXPEYiNb0uyp8z6vsyR7jCzqM6C2j5xcd
cNpVFfnhqU31bdiDyVaWvMipvIss4MsX0yh2VJ+whzVieYSAf5dUwa2XqWqt58WhaeAruUaArSSe
UM0plvCLWMbbFjgPDBEZXDn9EOJXnL2rPs8fU6qaBXsbxgjOLo7Nu6ROoG1UAx+iQY5oAB65r/q5
XxB6lWecTeFG5Z4bGjaBvDLyF5XZpuuT3kOm1YbOOWZZ3ZovWq9sPPiZTUVVNJztor8zsd5gN/ce
QpOdioxL4usqtjYxPr1Voc3bMsbCFHYIzkT7l7mOAWGIXLHq5LlQ+ErZtpotxaNmFN7OXl/DDTaf
C6pW9OTOgsGwKoqexKrEhhPzxWxUP3JnpWJMDlq8T5rSutG1JuT1TQfEgO7YJ0xG7cykr22Odeye
0T7A+eoPefM+BrjePNUpiAYGZ5tOvDsggPZFgUMTTwYGarPl6NEYRz1U8tVqQPlQc1STHCQgPinK
qg3vcRg520hKIX1nEXG8Dhw3hTlvfeINm7xfwuU2uCWKLR4ib6IWfg7PxJueA9EdQnyLaKe0VHGX
PZfAk7exBUEgjlDZdSA9x1HXrjKr2DolTp06cEAOieS5nXPtkvflNdDteEP+gzoYc5o4E4Gz5syF
L7GJ6JpKK9qjUBjbbKLNwI5PUe48MsPDwtF39Jxx/etVfkUT1dE0MJrNRBSmhu9V1r2D0ngdatNC
mBY3vHsVEW/TOtqSA01P+VOW9Vcy6HmyjXdB4vJyATmsBU63ldD1aqe50ymUcrqpCAX6kvvvPk6B
qRkKKmGuwx/euaOFD3puZgqKzHfDit8y6bBPrYOdavJLwypfE8O6IMBr73hf2Q3TaDHOHatWt6gx
SULd01K9POuYerP5zsLL7HscTCsZr8M8NK9D67m2b+KCwZKsLsuJrbz5Qcjwu2zZp0YlBT5vbkll
UNZi6UAmWmwv6kM60dpU8b7ktLatYu1baST7AAagYR8ol0qxwVKrG7+lhfettz7kWPmElukeu5yI
V6/z1rgor6Iofk87PHNYUP0yNy6UQ6axvXazKj84rbyF9idJv/YPED/YVs9o39L46pTUA1EpdSEL
iq7RDSW1hL2zOGUS447NDpLJWEVo88FzsJQaT0D1s4lUWrNRjPSn+U2H62YYTNjFd3w2d5VbX87S
Ya2CABG3cjlVtFsZp/dTfaoacaL/96We09dBg8ibWDTR0/uYtvHGINCazvhm6QClvNiOmHvERQ/H
ynhxLPWhJSLfI9fyxQJyCMqiRcfHAU9gpKa2nI95Zcf9FTy9u9CaLkZJNqZbqp97/EVygZIL6ORM
EI80TGcbTiOdry8Ic6FXh2aBmku9viUEeoHMu0MBIlEC/zxtenZ6ENG5IcmNRNG7jaGlIzPXu0Z2
zb27oNTZK3INpzSH6V325izAda4p9twLhD1ccOyaA5idTuVn6J5PeShOpebSoQvC/f/8HotZnEH9
37+aPN4vm6tdzPDx57nj33/xj90VOyWXjByE2EU+sAjW/TF2tBk7Ulkr2ShZDkm6H7srzHFAhcjG
mZ4nfm/a/WN3pX/hmfG3JLw+l5XmL+2uGHH+w+5qESQM9BDBHzQw8Qn3l86g1iQe2pCi35e6exjK
7Csj9a8xVPPbzJJomKPVr0DjpFD6zfDBEoQaEP11ruZYozYdh25U1sYh09IXr9KoYc8FmVdPLWFQ
Rk7pY4ttB0d2ac3rKiFts+rU0Nxmk+f5lnCadZeazNyYi5JBrdFDhSLBIwXFBCKdV3FYu9fKBDLd
OW3he4YTXdVBv+AWgnM3sIDYeZXuR2rgaJIYnwAaIOJG5p7BQYAFoT6oDoe2LbNHjCHb0MKgU0Ng
JoWK1h4XSH2Nch5rXHbkbA4uKaJV3hF2qIgrp2Gy61AvdqUWYZ6p7mMrudfIqoUEstgUEVp3Ehyp
2rjntsGJG4oZL39XtiyKFeQhFVWbYJq/RUEKpGXEZFiUHdw5x7ie8OX63RBcuAlsh8o1v1KTQqlo
eDVLtIhMTs+WiQW29IiYGyGR7DjDUUbTWgRehYrK/hjQeY0fn5JTyAAKaDhkgIJ8taNxxHcH35Wz
w6ltuDIN79mysR8Xpv4aweIEDIonHxviOYpwDZiROOex5q5be2l46Dvsx3nC3pOM9qQwSrhLtnyw
YfJ0QVpvLKfeVGO0nwFIMRaKLpr8mDkavgWKIXTHvYCAQm07AnbuUj/P7FXP1rquJ8WqbSZpbejo
yB6SkvjLekQqOTfhCMJcJ9ZyZ/d8AVZt5dXJ7RzYTK5G1Tg+LhzGl2521VP/d2vXxQL8jFn13RYP
1KCt6YHZydnL6TulcTzULHHuOwpmNKOOHwnU8TdDAzaopqge6t3uxchHfJ2aaWylgTYVDKzKSUhX
1rr5FJlIcyxl4rToaSD9rsI82I8N8TPcsXgVzf4Z+xVyVSlN7SRz2zi7Sme4YCzK1oTEBRW+zzZd
j1tdLQoYG1jEsG7i/+1FIUsWrWxYVLMC+WxedLTgU1JDXkJeixuoqPqiuRFrDPf00o+vyackJxHn
kkWl+z+/hv8uH1mcZ/+5fPQY59FvJ9rPf17Df/zij0WcU66DbPT3g/CPRdxxTU7PKMg0agnWz59U
ZQHDW1+U5X9cxL0vLuIvP1l8T5yv/4r1mVvFn5dwHQS5zT7Ypibt1wR0Uam47ROlsweP+zVVkRgy
dSbQfmCb1nWbhiUZzlkxsi5vyJKJu1RUHJ+jinFdL6Qfe+Gubz1WuGZbWXW4tui52sAEuymm9kbr
6VoczPpgkbHacTAeeDcbgqlIAAevDRQ+CU95h7ZoPd/pmcF2vXEe0bgPqTu1R2X3+uXM/v9otemL
zWxqTftm4VeSYXzNgLG2jko5GvyPDnRvCibLlcne6VjFsp7RUlzNqY9r796IKObQoBoEvbcZ5/q9
hQrRhe2VmzqRH1mzfdW7OtY0MCXotMGnZtt+6rfjp5Y7LbKu1HoWykXqNRbRVy3yLwwFnWrt4Yjp
U/NdNOJmEYtDG9lYfirIYYCYbC6yspAxog5Cs7dIzkNvUW2MCj2w7HLnSAPuGssioi3rSU8y1R/z
wcChXXU72XfdyzQH1mHMVYm5ilWJp10c815/NvsyXme12hsYbNKyxe4V1YHP/JDEjiUyPKDSOnY2
McksSI6zHHkKGh2pomRSKmt5FQcmn7mBQBQxuTh49HZ3RQ62lRjuEHNY88CPpVaP2SkwoStEbMg1
0HMYEJtxy/QghfQV9skeaAMHcE6BxHDLbZ4G87UMMrlRelBLyg/mo20z+OtlYgp6f3L3JFosu/3Q
DG91l4gIim5eHKsGolJSEkSyY1u77KY5vzS7yHoMIN9wIskCZs0ujN11OYQJ1juMgv9Z0z5nfzbx
hn++pt0V3/DJ/LIv/X1NW37xpzWNbSSbLJttqZD85MeaxngRQRM+DlFWfvC3Jc37QmMfphWmhXQT
MIH/+9DP+8IaSLyXHAfYZYIdf0kNRwb605omDJsch700KuCZWYaCP8U5vDJLGjnLYU+zUvWsRy02
3iCye+zCWOvEmvrlozsZYmPKsN7LnhZ1RsjeyqpV8L3VlLiYRTtTn2hF+6IfjJU5DFqzqpMeJJvA
/ToTWdxaVfbqzlG3zfSm37oZrtG6KVMmeZl9BeO1eKVLHpZL7pgM1QlVrCoNdSEUdUXyuTFfEmfY
KQdCYQKe4KOvh3ENT77Ylp3dPse19VErwTgo6alkwtIatPjN2n5+r+cqfEoMr7zo29B9m9t29BsU
/RDTHui9lSRXjEe2aNeN3Ud7LnMAZcv1US1XSvZ50dCYoPmkGZy1lujJpmbjxWpSHAKrfR3NiueF
BFFkA5bHcnyclHyztZr6Fw1IhFecnBCEjaamd0mcLUqx5M509TBqPOl1tZNFW6+bKI+KVRHCuyAX
8i60tr7NISVtbHfpqRPj+KY5DbIeBom1YyUQE3LWXmrhXfaLyKroePV0K2YI+OmsT7RMshcP6hKL
dFIj2lQjZA4mSKQeAXGN1wyakZQFk1zsyMegyR/yytlGFLrB2BxhAWQbCB+CTFv6XI9pskYgr3BF
RR0B4HpnNdqTAWsBW658zSdnWhmUR2wH8BYrIZGfMSn2/bqxwCWEenocaoV004I8jOqd7NJiz5dJ
B/9jtCkjObKUBCAhkoXFmcLQi8LrAYONwauBbZm0J6ZcTXcuXa3GMp8WpOYcwnGKtdMMDcZplDk1
4xO8gt2ipdhtg6+/BpRUe8NXXg6N6I2p74qi1HZiaK8se3zIsuJBjy2/DqvnWuj3TdQxm3L3SEvb
MjRPelg92LP76pblpUxI6Xs9nQImyeSlFjIPXmBPnyE+njxLXKey9os2eKb4z8/Lnq+ea/uTqS7y
VjtD4SQESPMzRyzdH2ZKMl3COYG0tlZGOdFoB08lPnO0yRopNmO9n8PFsjljK1c9oUsBjc7L3jB6
fKXx7EYfdQBZqV1xnCg/arsZqTNEUcyxsdnlw0zYdzVjvIZzeqmPtG5aRbqZsngP8vmY6/llDAAy
yqtr/GJP5jS+dqn9kgbleWjjR3vmSnGWhiW9t96NrEvWLbXtmFtdQEKt4pJRPENrMM/gEc27/9xG
fpeQ/vV8g8r2/LfPnuf/ZnPMr/5xI7G/2DgtcUlapAM/+wP+uJFYX1y0UYctMGDyz1vM3+4kpvnF
IRVI/BlHpmGys/77rYTQ4KIdgUX+ZC0v95+/kAzksX65lThs2Zl7SRqeBYODX+ttnCavwkgPsyOQ
2o6Kci4bthr5tlAwG/LMxWY9uE9NOlyhzb5maRzuWDsY0QXMw7vefA2c/tlos9MgUSPIK99HRvd9
jPH2RI7pa3V3NIN6JBym67dxMRebPslc5JJ5ujVpi8HYnZhrz4MVqwgXBUoEGycsZ1+auL6rNJsv
RdeiDrTpFbGpF8iV/M4guJmBSthllNLuqqWXkRjPS9eZ95OmgeCTHku8K05jAh4Z5B3TjAExKU/q
NzMtjH3fEVpGXnX2SZCdCxyznIoLnQtbf4t1gCpJ/G7owtxlLu52USDMK3tUbM5D4aeabu8NzZt8
xkJMfZLdoLriZAcVJPfQxeEQL3K5mI1VNhKgj4Y3VKXabxtouUw96NITqGR6ar6IMY8vXAiohH/z
7aB1z4U3coccsTAllLnMZdptQdM0wADjAx0m+0jJ49wUk98U5buI3iJM3ZSxPQl7xGHp5JrfDsSN
NVVOK80xj7PlPNlTo+6UgYRSV+argxPIytw3aS+NkLiw7BJK8qif6pDlvdDtHRSPZhXl8oC3DleW
5Rwd3QHhQKAIUMtgWndZUI1Esb3q5MjF/g5rrgLQeuHpmM9Sqttcoj5rLypx7tvBy1AWePX14DK1
8JLnNrzLIvF4lrXULvD+QT/gJdqLUUxizCP/YOBHE9WtqLBRtZWpkxaN+NT6d9jDN91Q79LJegtj
PmvaYi51ZXNDzp1gpcAB4I1puecxl9u4SxiyLO15PWFlWw+FOsliyE8Mos52NjR+oScfVus+2n32
baROBwlG/84kSF+bOYY/s5VYMnKHd4HixFWQm4+D3rgwVoObgC9z5JBErb/PFmYq7kCUB3k+trK9
cPOvzmQchkmFh6KXxnWnD8kxm5d4YkxWPvQGmiTcmBODSfADNMXCFQKr2XdXaWxfF0yyfSREfA0O
vFUEg68oVuyDKuMWxSylTa/9jmmFyY3St1aXB35ai8d8BMJn58V9rcdX8ZhWx1QEF2XS6PsodiC/
pjnESBG+NZEBAhDeM1XQV0lqUG01TM9D7ChwpykwurgUR+WgmXJqCzeaDjoomJrroZYtO5r2ki/m
W4neg3qzmCndTTUz3R/jg0DMsjVzo3NiQqpJn5VV34emfZKd22JrVj1HaDYeUZJF2yq0GvZ21Xhq
9OxtCJKnfPS6R8i2IGSH8ltcI9zlDrEXTMgPXoXaF8/RsQPo6SuSmKsOtOpDIIiFFrZ7hqcEho9R
8yrTYgd/W0GjqWNWe6H0CKk5S9khq2qj8I/7yKTuVgHs2RhEJa+TqEq3ThjeyxhpVBTOtC+Tytl4
bXSbLKUjIhuTTS+hEIbCSy7FjO0rm8PvELJTbFfJ96juPEAiSX+CWuKuC+isqJR4r4BjIPrWU3PM
TK85EzTGoIMMu1YKzlZalqaPplGs55auS/qGUloTw1egNGrTlq3rN5aJ3aakfqchZwH6XDZ+uyAM
IoaCcL8UF5dg69aa77Ybct3VeLa87BSG4gb74bs2NfUJ/+7EsC0ZwYG03bnH+2dX7F54wrQZExxa
K9hTa1gDBljI/DoPAndHES/j1pCTRt7wnRDUV7XwUecJZ03jnT09WFZe/HYm0IJVPbkI/dmtXaWH
Lo2P+ei8xzbPk0vto3KbI5WcL15ovSJY4ymNgKg1+vfBMsNNQiHjpo+7vZiGy2l0kgs1le7OGPr+
UAK4Lq32vfHyczvaTGfaZMKgyLYxxPmZx1jGZV3w3IDZVQI8b6gtzZMFTAcTRs8mqsBKmaKCfM34
wpelB+mOoKOIundnns+JxW65w2kHYGF4b+Ie+EQcXmhyhno/q3GVlywDedq+5E7hMQi2d3pWvyi9
f3MUrtdqNGqg39EZhxivbT7JeDrA211HVUvKNU/viKxGMOTSwK/I0eWWd1NHg7V2puq6g/9oZiJe
G1hel39zxV2S3fMMFZ4VKtm6bnk2Gy3chC6578p0zgnvzIAHcuUV1RK/C2/rtn6VVomTdvxmhhqF
7PaCBNYzEspF/si6tC8a9dUpALtUo0aoK701m9xeQfgFCQGgE6L0e1Vj7MQB0a87do2bocSUOScW
W1NgbevIia4dmb3qJKt03KbM7Mtbrbc7greudmzCjl7MrC42Q9o/ZoBqVySHGLa3w7yb2Y3mdb6O
s+BuFtPObXtj02k2qBSKr0rusmuuKWtjBOkZu1e7iwLCr5nyKh/rVb8vYLSQ6nOIV3bUrCoae7Yh
O4aVzMuT28hvAxW7VG95l5bdPRopwDEnUnt6mB8DubSsZMG9LZVad10D9VBTb9EMLNhLtOaxqxAD
adwGIGCCk2Ncxn8wMm9gU5+lUwUrzJD6OuqnbYki5Zu9yHdJVfRbTIfHtiecGzvzbULsy9Ts5Vg9
HVGTgKvKRu0yFhhIo4BZCWtUq7nFoqv6pSjAIs1SeZhXkwz0VokFRnqcOu3xKsohKU0jlVpabnob
Sn2eSkvc270rfMOYnyq79jErbWrot+FcT7sxM6A58xcsFZLuD+yNRmDWsDUuhcnbEq/dlqT2ui4L
LgPuA1CftdtWJt56asZy19Jqz7ZuBu82Ze1hMDpno5THeTp6quv4WwybV+BYkJhdQy18LIy22uXK
SI6kS4qtMrCYABBnUmAbD9w44i1RU3dvqersMuyiT94NKYcu4o0LI2ZL8msvlwuxGx3QDVNY4j3v
AC1kzisCRrXqJ0K2HC5boLt4lpo08wVNUCTq4PZzH9VWcQbdmLvBYzjPXzVJCDU1ObL952Tz+8kG
nfOfD8gYjv22DP7/m2MNv/fHscb5QlLEIar1txHZz/Mxz2awLykYE5xr+J0fM3+dkh/DsxFVbfHp
pfubcOt9sbkkaNlEt/WY03MO+QvHGo5CvxxrliSZRGyWOo8HSpUn8fOEzCqKOKl1dj0hK+etCQ54
imN00ap9Kbvi3myXvP7UzcR0W9MAFyBbSL2rBJ7kuQrC4pvX5sY721bBHXikWVGChhJt7lyMKuwP
Q2pQY2vMhJmREL3v3mdsyVgSTKyZhJmgcOKnyz9DTvHvgafP8JP6DEKFgkxU/hmPKj6jUs6Smho+
x/PxMqmnvRjRLavBKemMqot3j6F+Ik2cYYz5OeHfR8vcH7M899ZFC0AwT/ZV6jIMQSjoFOkvB+mg
ZFs4jerRWjQFZ1EXbGSG3IyNYyeobMwWDcLgIHKwTM3YNItK0fYBNggXThNQQFSMctEzuOCHk71o
HD1iRzgsqsdc3xSauglTop+VBBU1NckGCug9iYCtvmgnjZuITbLoKRwQxB2Er5tSw3LVLaqLtugv
xqLEVJ+iTLPoMyzW8qlepnqsWS12YyZ99efQr/4cAE7LLLBbpoLxMh+sPieFy8xQ/xwfxp+jxOpz
rBgxYIT60j73k2h2Us+qm54U7Ys1wGtiOI9ZHVX2spbi1NbNtyGg8eQ/68fn+rEEvf75+nETdb+9
fOR/Xj6WX/tj+fC+cKamKE03pO7SDfVj+aAxGCsrlpDFQgv84cfyIZiK2DwBKRH08OP+GLCDTWaK
waDEhHSEyuf9pdIog8f4KW22UJMFz0ECwGB9c0iw/ePqkc9saEKjGw+6Ffg1SILMGS7qzH2vlH2f
W/1Tw715yT89z06YronGPf30ht38Hnn9LSfqXcR52/z///eraPn5BFi+TIZGEhT08gR/GvCnZZKD
OZzHg5K231oL8yb2s/IjG+vfzUlgt8MPJEhunlR4/fRIvNF/fqnMQC3b5K1FvPjHR4rHUKWVN46H
mRnRapi8eyiA/+Yx/vxqPsu+iAnrJiFjuSzWP70aUMD8ZE7Gw5g8UAyDKQzyT8EEFGDuX33fLEw8
4FV5ssQOF9jWz49UWg57JN0dDg0g08n0vg52dKiH5qLRqn/zEf35jVseihcjGdVJ7ma/PFTesV+P
vOFQFe6RPfwlvbT/5tXgbOGP/ByIZixnGg6viJdkk6L85dMxOjbGfdQCwAfRfxUlxkOvD4c0tb7V
gIp8fSqnvTOzQcfE2a2muSPQUtsnnDjXSLcgQB0MmZEc34zEzjcZSBweJvHLUUvWVcOR2Ctg+fWt
Qf9t1pR7p7e3ltF9DAk8wAYnENwo7TIteIQhWdyVKi+ulwydLM3xppzIaSUGkqlK2xOuyJSjovxW
u4XLqVJe1HF5Upmwds6obh1VU6WUA18BlQmHC0gxXJvg0mBD+V0vtYti4B8Il46PtqVIJ+MASeHv
AB4lhO1Vp/rZEuZ9G9FLi7PqmpHhRxI1t9KRz53ODZ7n/+wO5AlVdyKkNO48zaNJAgqH79ZjdtRm
t7qe5vhCn4GPJYIyM5i34DInzgdBWdINNA+QT+I1tcgMCxhO+m5RPPTNdJkFnunruK+YeaWz3zAQ
REzLyh0Nufk6hwcJx4v54hSUT4Fta6uwhrkllIPFaLR20eh50DWbikhatbWWFgK3pMZNcHCOPeOu
tsh7N8lAUFQyYgBQ6HRJ8lAMzUtWa5w8tDtDjjd4ZQexzeF0rAfDTEfe7VF7FD1qeC1LCEuMb6xX
/Er2EkGsr/WiuQIppNFfpOgGylBCEkejwaV7CiHRroCOPVB0sRvbON6RwXrScvc2M9l2D33a3qdY
7K8MrE/PRqzPG6cdayhDjOhsbwZVIisXZUR/HVw4rHqbPJpzeD8MI2pSm7x5eUjh0IisUfTOzeRW
50gSBYU+P2xEapibEkMxGyQYkHMd0DWRv+L0ASXuUs4SLnbxZIZAGQ8etHqcYyGavAzVR4WG1ygE
tsoVX0tu96saHdQoFU700HgUpbvHPftKFQofmGW86K3a6yVMcJzc13YV33ja4ofPgSFy6D8CODV2
IuSrVvQV6OHqpotsB4L0eBKdupry5mCN7T7h9LO1K6wgxRyND92kHWl5JQ7hASl1e/BDfD8v3dJa
y7CqVk6FRuhMINZNevWY/fJ1SuxHLQKg3S+U3Hnq3upMe5w8SGOOblG4ZqXniKabKIaSbc0bKvy2
DaaDlXLTnRECtCfV9WAa1KPb1lvVzRdMxe6nyiQ6aBBLDSOxreYSvK6Qj6mWOUxUbaSyGcpqIHlp
FnSrxrjgK7MXg+T76mrfJ9v7iAkX5FOLllhctpKPssmx3BldJ/wx6jBcgIfbYAKrqarykjUcBSxa
WcO0qCYC7CZbEr0OzoWQmbBGWLIIdlak9f5EBC+ZJ+JNTXHRueRt+7SomW9ivx0lJ+7MIsepsiMV
U7QVzjTY295gvDUyS985dcsbrwIULFIwnzNg9KVOcgODgRUOh8wKMzBWDA+gt+boJ7yl0zYItcd8
xkFGnNHaOlIbNvpoNKtugH6M5vuE1EkT2oQSx+rU+Z5dNj7+SljOOiJgFZFG0WRpXOetENRBaS9y
gvAW1iloc9vZqq5+SWIEWSAVexkwxofwopZ05yGxlCS0oaz1ODbsm/sm9207hZ6sW+e4yohi1JJC
pLGD7cPRYqOnfGc0jQ19AQ6cBAHA/llqR5DAYOfH6HnOSXIn2B/9KREQvNOpvxjH9EHva6hXWvQw
Ou0xtjTSyp48KQkBipPHNizqmyzCElgvmd3ZnOJTm9a3LOAwL3Jg5Xk3U5So3KOXospU1lIgNRPK
lEwxAcQP7XW3NK912PLrLrtPGhpeLOcjsSgcrntdrOwBmh5NJ6ZfEOdjZLHIKgM6ahTC3BmDszfw
DtjBPMM/zg545qONa4/6ntH4lezBVo8RZv4sIC/TNgbQPIZd7qRuWZIAxsgBEWYkx8nIzl1XKfKN
mQBSRLvfupEgzgnSN0R4IpFJORX/Z7DMYEMW7R46a+8j2H5zTXXjDIjAU/BBJScuoIZpN+2HM9Tf
8IRzIlsF1kmnnQ/dVv+qUsve5G3b4rdK5Co3UAkSi7PKeJS5tStMhmEzzkw1kOxs+0pe2pPmfN5e
weZ2zruq4eI6iW5sIYRQFNbqfGSeQeh84gKfydivyjC7aXruA0Y5vQAJuJdmfaUslHHqm2M/dfiV
sSm3zHge3AYlYAZ5R20jSsxMww3rQMn9N3FfNI8YMTC/JfQfxsSvEeJiwvypkZGsjuEFhTl9kPZA
iRwToTkjhTnXM0iokaiBepJO3a7SlCuzaLSX2VUUgHgFwzqhXrB0PWByy/3RtZstDWPaJhUCCdxp
XBxcXeCWRy5s5DhFSWQRFt8ZMT9HZcZUCSw+iv17qPMNHiDmI+eRjVog+o2Ok6CsoE4ns4Kl7LkH
1t+N12XXvRadehj8dmEUawcqP8IgdWUpk0lrQfZ34CIZn4PxnxagP5VqX6cYxL/CNOOrBfs/LAUA
5VIF4C6lALACtC0WqkNT9Ie2hFStY1LoaRLITW5GJeh4J0h36VI2QAHEh1jqBxp6CNAyCJst1QSM
KMhsL3UFyVJcgGY6bSFd1GuR07+BL5ie8J6XldB5QPXIk1hKEKhkSFaaN5+jUTGaXKoSBobtOIwx
f8R0nLbBVwI+DcUKpK9vdWehjVG5MKjoGvLc2bP7W0Zlp6F11g4VDUVGTTG1qh4KAunW1rHeWXFm
6PV0O3hLywPdIvmmpfjhX2+hl33rL1tOAdNDsu9c9py/+iU18jCzHsvxEI/q2qGwMFbucznuPx/l
L9UK/c8oTf/LcCw2W/h/fjS+j77Gv12Fi3Xgz8fj5Vf/OB5DVgEMQqhTF47BTOjH8Zjm5EWn1zkV
mBwOOBH8MA3oTOMMvASM5BbU78+mAUEKwGPzTBU2Tty/MlyzrMVe9vNXZCETOxx5DJPvyeJe4Oc/
necYtOb9lDbq6PbFxivTbzKbrE1gJzN4iqXK12Mu3TGwXTtzfg5V1DDRlbeqRLqf6Ze7axZvuNaA
DtVcJFc910L6FZpmA8fpm1OU925+Z9nDJhw/AoL7NLVuMgHkujduQvZJwuh6mpmNeDtY6b2rPGz/
U3yoJ7sDl9CfGsZuK2mCIGpScWm0MDbMzHqZ5+AK25sDGU4UCC3VR2jNqCHekd4JCyYuxiA545nt
vsZ9y1xaUEgprAdCpi5dJPYNSopNc6UrV1ESD6vSxPUw0IwAmheDwHXZQIiqRbsJ+unW7VP2v7bc
BXTUrCn4uHP1LMN7VZm7IOzsNYTAcjuARjU9mqXz5AZu4YFHSrd6dO0mx6rDt5XUdbFSZSYZNpQP
hVewRWdVdCwG+z2tmEZACQsDtqsioVWn04U8TnSSIMgkF2kA4BZcMlyCIUAmCO3VMJZfgxLJiG4Z
45LozV2eDvfEBIjPN07pSxtuRznRvOwGQbsOBH+00UGLq9I8U9KWbWe2Nre5wtkA5fe73WJRmOb6
k0z3MMlFZdL1j9Ee9tOIVKunUm2wix20KGVD1HUklIl8rfvOuXA/4dNgkAkcdxe00V7l5H5XcoRc
TChGbWG7D5tSqYfYpbVjgs6zs9xxQ0fTqyLp62sSAjP0hKdojB7x4rH3ZOKLUbo+00nEJrwf3zMZ
X0eO/pWdN0VT2G6xgVhP7sJ1r3UifbCZDTe/RqU/tEOPLYW5ZDmYhU9nz5UdGiepmXsx07Aqyvsy
lMfCXnZ8hvOUdtRFEuiNN0LvbrCvXQuBodesqNBwlb2pUjDLTYezIaQEmA0Ih2Z3Dp5kH41rYyCa
J6YbTvUXg070xIo15kuiJ5/RdFAMwWTVcZYfDRCr5hRdwMPf4vkEwOW49+wzSEuDGOKM1Wx6QYsT
qLRNGEThVlTBZdHQNuKg/EWzIuJBFJfDKWAzTdP3uA5fHDNPiXHYWM2xHfj4H911Ao9kN/eEmlaG
RTyjJFRK6rHnIxw/lEM62kkd7QBnMqVjyDDPOZ2AEP3IAJU2wM26BsIdpIO+JkrJpkPYx37m+9JC
31h5wMbXEezdtWG7W9suURXL5HmItKsGfXllmeVTBnuMxuz2XdoNvFFqVHxcloqT0iR9WwKlpGba
wVzXBKjmRreOouZUzuydm7q8Cia3hlSr37URm1fhjZfm0usaVNCGe6oH153i1E5ckXBt0KwbZdbs
Gv+LvTNpbh07s+1fqXhzZBz0wOBNSIKtRIkS1VxNEGrRNwfAQffrayHtLDtddkV47oic3eSVLkkA
39nf3mvTWEAlErFJcRyq9t5tmQkIHu110T2MA8fENmZ/qdXat4LpQj62Ljkro4eMnftWT8XR6stz
UZLIidHoNmPCYBbZ9BaOmLsZBqINZRS3Mo4/ZuHciDAv2PEytBoF8rtclvYRGF8jAbtdFsZ6HHtB
FdUd4e/4JBMynQZrQnvsk2CEURE2A01VWWOt+953g0ZjzprAzm5d7EPzFMYnDIQ4bUzAzXXurNvF
bURkCny06nC39scyweobwbdbqZSaRlgqTEaLc6kCvFthZYqVja8o6ew94TTmK761GwJXCm8kLig2
iMaOA80x9qKHAaNU5SUiKBfvVIKJyppSd68WX1UhI7LdffWRYOhYpYv7alh8WCrHIWNhvnUsFvUd
Zq06TX/JsW4JD8XtzlwcXc1M1Rux5WqlOxR8YvsyFv9XvTjBnMUTZi/uMOWDWY8Xx5iHdYwCUGOj
L24yc/GVqcVhBty1CsxETZwEXX3vhf701mv6kzfbctf1ebE1y/zdX77aZqa+8wp0LD1pC9f3XFSO
3PXYbXcNv9IpS/x533h1sy0p7k28GAexgPOi9Tf0UY8k2PE4531Dr6uht5tQseyuUtsNMjr2AiWb
dhtX+J4Mx6DWeCz9QGMVDilKberJO3le7q/pvUCwKONntutb1megi0IeJ+1MjZpIu/ueb/LAtRWk
6Dw85Q990VzKBbGdjslLukC3ywW/PcvusZHiwSMjhqE7eZQZiDAeUfdYFwAjQPH2LW4bKVxv6sZh
2gD69iB+Ayc/GQ0I8BoWeLZAwdFyn0jwa/9Bjvw1PYBE/K9Hv0d0+Jv3fzL18ao/pj4bBid7UOoi
DGOJPv1t6jMh7f0+b5mOAZ8TXfvvpj6T+gj4e8KkTlLnr/vrTtUgJ8vygH4JQVrg3zOK6ixq/zT1
IUG7YEvQ1h2iWcyE/H1/mvpqkUnCh7p/SDI1kPRTzmYs3JdMQK6pWSmu2hlrziDFfRFOVxHPRqAq
SEFzDeSDKkmIaNwppas/pzqrWKkZINSLcYvv5sUbU0rvKGZa6ASJ0d7n0wLRLD177/VWuOs4iu46
cPiXUa+gb47xvTPVJ2sEzOebHbAKzWvWUdVh19LGAYUSw2YSWp/TWJtBTTPf2m9LQvwtUNomNL7C
mkBnEY5P7QiKv6QUbpMY5otNLhWftADyG6YA3mL/vWxpG5jajNbl8aWuMy7MCMBQgrEdjdgUO0N4
j9QxDXvV4DYLhf9qdDQPVR1QENqHPQ7afm8D1tXVvVquOhgsK1j813xCQ/e9AbVd0THbsrPtOe7j
59LfutozjqbNs8/hlGmbHnwL0rihydraHe19msRw8AifFiqd1qaWKaL9tIe3tnOsyvorHSlfHlWd
HPjRSG+6AGmQoyGLOYoD2fBsMiJ3eJ31KH4NSSDdsZOlS2Nq0KHSjuP6DOkYxmm2cmIw0GanHchc
3qMSNlvSw2I1W/rHENMEXZWZs8HXhrWVhfsqw5N1lj4BlKVpVLjqQ/eH77Qq7kqLD5HdxWGsS2/v
JRRYJ6P5kdGchU+WAWcUlIVpiEqTVxoEIBaV2dMxrTEtrMreVA9Nkr5ooX2iQYeH30AcjdliWvcF
zWn+kB1Mu/lkKxPfgBgZFkHYDSrif2uO6SZaQlM+JQVk59YT6bH3ufNJzXudao710wQXEYdKuG5l
1rPSm8xAd2a5yRPzToEp8XUmlW4oLyRvdKjN07wCUvuMz/JqmuGtU6bGUZrQ3vDheivdb7cpWwor
9lu4smMZLIIfhsMngmqcS0xsj7V+6aP4AFX+oGsQunTrwcT4Bj0ZZHeikNwRFsKjaBicMryEKxma
l67KIaQMI5isUvv0qo9QlBe7NH+0TouBw1n+yRtgEgrUly0VycWmrGA/A8ZTAZ3vPHE6Ya6FU8W7
rO+3FkQzH9IC0CBOEgZEy4OT5RrkWkc/wEV/bkuN63zuf5Qw+vtCf9bQg9dY1C/EbBqoixntbSiU
wahj/yqrWBDDUMa6ceqznAbIN3b0y6Mc2Svieo1Ck2FNam5MoenUErbH0nKfRdw/G7GIgxyRbF+0
rbZOhzw6iqq/dezwGrWAJ72O1DtElY9w8r8HKqbX2mR1m9yOPpMed15ezBeK0c9GWVh7V4XPrAhv
iAB6ATsGaxNhcF51syn3FrDEk565R1crrcADeLPWR9vbc4KGkT0mQcWLNijK9FM6edDHMZ+7L7oA
63lDT6lBkUdb07fc2XieAV94HpIMZaslojRdKEY61etRQ/YcyjGlMyQnoNHMWELGO6lo5ppFCHcy
xTgZGgKCGtO8lg3AdKMuOWZDRK+UNouHYQDR3pRtfvJdvj8ul0SvLPtqWPLEJo/F9Gh/uq6kXnAe
X5JwYTzW03DkstO3/gA4r21GeOJ28tq1hBndciC2w5nbiJybxjT5anfsWqYQQ24YGahgAjfxDMSf
mGRU7svZupa0LK46TF68oKNxqieF4raVd9tToEqJBkuuam5OBWrv3qQMYV1w3KWInhJDe2Bmn0Kk
0nTxz5SAS0RXhoFQ9k+VcngC1nmMdXlsverX6GqvaYaY72PzswSp0cmfjhO+szV9t6wFU/OXQxPQ
Nu8WjLPnksLUNoNNt1WVLfOnLM1A6vJrHIGxyIZmhjh76tLxzfTmsxWDyqe4veaOIJ9NGQ+rcFI2
wzReNLTfdU/MaWkq42QgckoawWnNWfEetrhfpvpXz+5zw7HZDzgqhUsnyGsNhgqATR5EtlHtR1hu
rPx81Nhwwi44iftEZefBcc9V2z3WUrz2qYDcWnR7pMG3yKXypJsqb9NqdEZSRPg2pnTLUZLgrbLQ
TK8mHLhTmrGnaSbqHX2wSxyA+pL9GLeh2Ohd7ru1uEsnXx4n9ibrMbHMg48OvQHX46+xs6BHzpUb
GE6vU0AwHouxi/bJAp+E1PrW57So2F6551PERplQ/tDTCLnqRxNequI5mJoTDbIWH3TUcUvTckru
KZg/p7X9QF9lS4EYPIg+a4+WjZo51Q7P+GphuFDWtkbZari14GU20uLWqyDfcjmFm65AYfdo2tvi
nKV+xbDqvcvZF2E1fIZEDYfB5h9buDwJO3BfJ7dpYXQWuAzj+SaXzk3auOUTS2+PmFrE7qXIL9mY
P7txBG5jqIYDLq+bqCDTElocW/SM0pdu8Gd2YLipbOmY3Enpm/RL+Z5amlzbml0HUe/oVDc2+rqp
p+3gA8wyMZCOyR0TBS2+Kch/w4YEmYXOXeIOV3ORs3QCfis1EnMYC5PuQ67suhtu9SQq156R/ZqN
xl/xP6K+w6WxtH2hdxAWyr2md8dWAgOZ0mHcN9kwY+8FoDkT+dtYZqQClvvoRY1HJE5jiUCgi++G
zwFBG5dZSmQHEh3pGmI2/54EC7lqWDdzJK23iQzLQ0tbQx6xrhpYWGwkN2SCFHQ/N3Q8iCThwrNS
FWim/sN3dlqPKoUUG5fnuQopYfVoXpigwdl2dJURIEagI99Cuua29Zv3DjecEh4lfJoVGM0jS8SY
BWUVH90aSBBdV5AS5bdljBG2+fDM0wvMUwdiVCVD9DaPOkwkn+WjGh6NVBqPeVaMuxz7CQodEkGX
q4ueUweRDhcd2W1d99jdRDL2QWZrd8Skad6oy68utr+ixG2CyhNf1I3YgT0widozSKgeitcq0et0
q1wpKDPkI4XaLDE56C9OKkmO5OExjpLs2aicYlvWfs8TkHVjo6goZLatCeszVlYQRMA8z1/sTMwb
k0Iqsp99evT5+m8rXXscJmw+q9oBiQFo4JN7P/EXdStU+5SZSFJV6FJmVXC6X/KgrL+Jkjt98upZ
lPaywoR8C27Ucjt0GJqHVlZRXUPFHORU2sdQGo9zYdx1rXPuGZNWcKFueO9gTintsZ21d5bA29Dr
7ruueHNlvgn9Ya+VZN95yTNzQEq+Ibr0ZrhWoPVNf34Ite7kdjZNs3wax35AqmRl3CxKYrW2PZae
UwKjzyjnlaHm16HRoXZMlKpooDmjxL6lIdY6VT1obMluuQ2TBy6Ek8wHpMW6/MGiO18dtrbr3jdv
3bJV24QQcj/73jrt5Q7j7gPx6g8lJ8ZpX+xsMVl3+UR9JRwUVvUWX5bypvbaZ3cer2Q/gb+RYgTz
AdB0Z7N5dtCBGlvsfLcYuUnBOZz94slKIxhUuRKBmHtwuYgRJj9wpfU1nOUU7DVHG87FURjtpmF4
zJPkVzwNfG0Al5Ir1V8KvCaTaN8wXJIUGh9SN3cP4GNfZ814bXv7kRTG3tfTch2HPLgjwUKaEpV0
F1v9U8eOjdGve3On7tbQVVDXrbHwQolyNjs97/0V8Ii1x5/gIi2R9OZzFI00jpPrcint4HZVeRLF
xhR3VkVYVAMtKsPwh/vQvYU7GoqVFRp3aRju6Kdjsepd1bxEsu/DEc5sQ/aj7KmrqX+sED7NsqF1
9M+cRkgaiaqbrJ/FTkbhzk7PGC2qQ1/ahKMLatDk6BUbh9IyogPVuSTjxiRc0mfVabvO1vCBN/m9
PauL51m//IEMLK0+QHMPQyI3sDTITif7ouk95C1wCiIvtSA22q9oOPYNUDHd2E7qkVT7ajB1hBRO
EHZzaxg0nc9Qlbslr6wRffbdg9XoP1aFTiQt4la/l8XM+AfSPvp2e4CVtgaXLlLOqqFciN+PM1LM
wxYiu9ZqW7PSgtIGKqw0SrNYfjoYTeiLQSMjszai8fnKC9BHLmFYbW0PTm7ro7caHA5KSE9R8gvz
602huA2qwtpN/ajWQJ0qanRAXnO3Qp+yao+7bAVukmGrSByYQVGAAQJiew/qh3D7JUpSjqDmus+Z
2Ln7BKLsyHFrjHjmRwE6fm3Cwg0Sx706FZb8xiB9DdHyG8XmumT4FvmcQGFaBaNbudRbx2DVWz+H
ucdW29m6qX5Ms9Db+jHulxwfzmbG0Do3iM6E7k6irs/NUibW6GhrrB84ImnhreqMpyYqxyVG9IXt
mWXqlKanPJuiwPPhw0WZXfH9lIoEU3lHcLXe4zOauPjNQ0WXOrTFTQ0oaQMv+D0bKzwqkkZiNGYC
Bp7iLgMNw5+d+2zJJLtdyiKEAYgLCzfeXhXymrfZtIkIp7mZ/6Pa5hBHJx1wJXZsf+P61s61Im9j
dPC1iRfqO5lZL7r0+QK5LkfNLNtWAIdXhZF91UNz2xHl2Mpqujed9lqWfXvREyM+aSM2MqOKnyKp
n6vpK4pv2JFB3J6fnc7/KHMbAkhxk/vxaajUBesFWxnpPIVpkW76fNq5ms1Rp7SfW6qUnFC/wUWh
Vn1tRCuj1T6Js7UberqTbdyztNbT9kH6PGDl7N4kjqPWveJ2UOtii9nxaBtkFwxYv6CWqtsmcr8m
iRZh8lcPHChj5V0SN3q2J2tlTggMoRbHm740JH1hWY4gy+53bMB7wf1S/mc8hudSK6FC1nsChIAB
gI+Usn9EAriNxg7Rt+KU0xz7ymIjVTsXyVQNkyUekg+ufJ0zoH/Xqv4sSelzthpPLPGWDuJ25ahR
rOMm47bFqKwo3KRJ/DtCMRlsqdZG5uzk2Dz2mvndcDum1PKcFt0Pbvpj2rT40HUNvqzpPU6F/t1R
oEcrQzDoMVHZutpHnExqOae7ucYHmuJgHFq5cLWRLsSYPyGPYCSx8OwwvtJt521Mu48O/aSfM8V0
DVT3Kc+WYuTRg/Femhtfh97fRi0tpCnDQ+EkXGu5FfhJLva/f4gxFLN6SJ/1YeYzT666HNtHnagb
N5U5olUBUZXSXUn98IRa4ImW7Au8hq4HAz/4JJ0afW9rFb6aMHygNpBMnuwP7H8OqT0MG0JCNshd
FjQF5eBtozZJVli0pPvR/d+Jhvd/2bL+a7/uX1Q4H1GPda4Ld1j8gwpnlQ4bAAFRyOZs4ANOs82/
GFv/s5pfUvT/Wp/Fexr/F5/0P2NdLa/8Q6N1fvMdxxU21JV/0Gid30wTrzjIwr8kX/5Ho9WXzL7P
f6Yh2OmjB/yPRku5kueY1oJw5o8X1sy/tZpfdvx/Ws17huCX4/ewsToLCNN/Fmn9fNJylQgWMel8
tEj6MXBPh7w1H8h83hVj+O059NOlNlKsj1eSE2l+sjjXw32Pl5gLslnj68gJwmFVVBhQmqoHZbLC
iAydzVjbrDn7PahhTgN7Gh/bhF2inF5UGO5jwZG/sF2ewzYo+qL6niNrxfYeN10ycrjXise8ALdq
cPZdSgx8QnA2WULnzAW2N3X5xAx7F9NaZ7ausZ50fgkfIPIKkC8VY/SdKM08Ow5oYdJ4q7FkLpwY
3WH+UW1kRLS/OWrfeZ26tejh3cP1OmtoyApO87ZMjJvI8dSeShKx7nweqSErK/IphrOr0+ZhVM0H
q3v/hkJaOLS17j1E9BGuFH7D/eDoBs9CL1DxoO5rxaoF7AhSHB7tgFDzSCk8zETV6sU2K/07A/Pv
xjWwQDkE+VZiLpyVi8a15sK+yTXWka5RmKw3kUoKGMCrKXN/JG01jI8BP7t9woz5plmVgxqabV1l
4EHw49ssMZ65LxibELchr8QxBgi5JmQqH6WiyZx75HeR549JWUmMiFW9GZKWHoeILWUsViJp0w3u
qW3ec+KKNBuBN+SNCcuLn1t3UTHt6PIr2EqmPy6tulpostQW50QUJz0XD7Vm78hfbPwoo6i3+zV1
ydnrou0weHeNYN2cq5NT95sMSP5cUQtF1PdrypHdWlj9Xbzxbe95iCBd+qJCuTDABcaHIdSewqLc
izzakwwJObrMv0KfrbHWvrMoeBgs5yHFBhLVyb53+kPVWLtsbH+PwQdWXx9iO/rwLKkHuoVZrLer
ZheGAw7HaXhx5HBJJrp/O6PogCxEaqd0YzoIKq5gFITOdmYAJKKQbayOipV2vowJZnRr0icKupig
IpcGBt976Wr5hfvzfYC+mxX46LypeZV0L0Syv8V0cEw8fy9hcK8dq3k0VXLvaXO+HcFxDhlWhK75
4QHz5ab2hFOiVluDnx4kHRF6CuURoGfANy5fy+PMwY1+vqSg76Tsr9qMtTHvqcuxaYBZKVxugVEb
Lynb+43h8SUaecBSCVSeKyoJNNFGQa0nI9t9wqChjQM5InPLWpLqZZbQWN1KJ9mGXcNBOqaddubq
o+1gDHdlXrOaQKixWioym/KVhy1X9UvMyrhWCacjBjnIdew3mrgQqCosGNhmfRZWfTeP2o7bznDA
uX1Xy/B7AR/dUad26Ez7Xvhoqex65LqYxuF2bOiBTJD572LllzyuSaslZnlrC2z8ZcoBCRi0tq55
1O5MnOvrzESeHerhaAObmnirU2QDTvszzUoCAIeptVuXVQXEj/6gGY189JTB2xIrkRwyAAP4gc1z
WBfyDgxoFlitRDHq6ev0rPcc07DMoC/lvUYFtxa2mBwQOIXh3TZLE3PScrBvNVcgRc36p4qS5pjo
TUGoF6cMvTONe7L9lAIMr8uZ58sheWuTJnxIM/WUtgKVLZafGAF3lSJiPI9Qe3yGMt2jq6YKbVQZ
9WHbzYVlyVFCP8ZFcC+8+KBG7M90Ix2rgfHLCh2QmsZV18KzS52syv2nTmOzP5gxSzgPxpA/GDcz
W7wgbumWdpLhZXTK+yYrmaXmMguqwUQkqsndVr601ggGvItwnDAXWavMBeEaF0QUJnwy7uJgF0aV
bCgS7RkGm6sS2WNbARrpqcjZ9rok9DgiJuh+ep/bUPlAGeIumM0PTRt/EW56M0vnZcrb18nW76Z6
oJhZo4OvizAOmelSXaSYbsHg9xRzA43w6Km5NQSW6l5nrNaPNQB6DF/JZYxwMTk93weDUh42AHzC
DL9BTJhwPdWNe0MfjA/DlqR3UU3RLskzCn0FZUmD6OY1hQKAqg0EpSwvGQD1W1+P5UpKjqSuWT6S
fadlQ1eckmqaQrNGu4cPsBi3u0s6smDifZ6IXifUGLC8K1qF7klZLG4DlewZipu9VVH94XlzEhhS
D9khjS89FIsnS5TFMZVTdJ/mqGfjkvIcqrPMsa/a/fDd2lyKTiZRJ0LzZ8ahbXnhUYecvsZYN+/M
wbspI/WcleLD9+t3pYoHsG1IXCbn8Rj8BycdVnFvacMOKQrVw+/T0H/GQpu42r8eC38HPMELTP7J
5p4X/jEVur8x1lE7orNnB1vKn/CJdf///zGh/IaJFoOAY+PMpELkb1Oh+5vuOKbJtsIysFMuGeW/
bu51RklgqfxN4KctGxLUvzMV/o4D/Hu/JqIZP4fl/TKyGsQb/zwUNgZKQakoz86xFA7qQBKfJdxH
0XccxIxH8iFrWVS3s2aDliMohIo0zPLCmQ6mjkJhaQ9ynPe5i1emVGwenAhXHxIpmNC/e2//2enG
XBJtf/tdOd8QqgOe6PEeWthV/zG47Tu1HodzJw6TmxcP0gtH2DNIA4XWoFVPj1XcOxt0/CVgE2M3
WGoHUju9TQHKafnMk4pmgobHEvkPmogybSktyOlZoMcgWlr0WGi+5d7wRSf2RtB4QNlOziqtZF9d
n82Jh72gHUHMRMAS+hJmQXEC2sXBxyeQErJCeeTmPcRceEn1ZVhUZiWaPe06D08T57UkKKlmGO1R
u7Wy4lUTMarm0t9QkGDohpggC80OaUzHA8IjzMSl98FtzYuLOgJqkN9V1d2BSei1ncP7ZGmNYGv4
5I/zCKwRPV8t3RK9MXx4S9vEpHP07Dtyov3SRQEA50Vf2inM3rh0RFYQFOE6eK1w31LKLEJdpDuC
UdguDerAJyhVe53yC2Npwai7CV+WG3oUM7VfQHKIqFGawc0M2XHp0VAM4qumqdUxomRD+DNs3FlY
9xoG1n3N4ASNqGedsfRzoASEu5rKjgqTAUjD4aTR56FFdnPSafjQl6oPLWZlBtwJZu1FNGzZLYfq
59/rQSTAFFbcBGRyfZvC1Fg1bWUFZkcSaagcUgVx9FxkAimd9hGEisvUGqgraTvad70x1fFpaiMr
vmDZ6qjEkixsE+Cr8Gbx9Tp6A147c7P8VPgz1VhVd5nJlwRtzWLLTavs2io35cnOkQaF8yZiL/Y+
umFzzPCZMSSWjWrZ+tZvJMjwltIB36ziOamfZZUs21bPtGj5GN+zPC02vWNfRGETMkl9nvzIsX1d
+wfcxXSj2K2zJQL/hPzz1ZacjLSmPRkeskyYevfeUD6nnctqDIaVhhjoRKA7h4YqLcsrk5uUT77q
sNcaS/CAukL2ck0d70ZDJxuVmxIDKYeYaBrfHR1oi6jo90IsYU3XmzPppXBEMxYvSR0OYAItd+tJ
KSnUcT4ht5iYs2mCk3WkH4cBS6XTi/SB/FDFeQcKScT3YBX10tqqyXifPVykFuTeII1wVOuLIDLX
yLEjkBnNaK82O5l1lxvfhkJniqJ4vM1QCldjwnNZNOINrdWpAey0NN7o7EMiRp9+nvajtM6tBcXB
/s4QqxMPOG8Y37YJJuNpfsAWeszRW3PnRWBjiZNwZaGC4ixkWWxS+xGR9rDlu3LgDhNo0LZDTXew
G2qBQ2CsTwO8pp5CYw2b8EDO84FMJ/i5lG3QlKRgy8itgv15ikrvPaq7QMcUSTwW3wr8sn7x92Wb
vmaLmcBi3vC5XEeOWPH4NDUnkJULhpPilOin1sKrylxYnsnanEjrgbBJCJV7I7cCJcBRhLOOpSA1
rwI4cZH/JBx0i1b/ET6UptI6xGP9itLGBWnfleqtkOHJT4qNUYdkStkvEEjsbGLrZiUp+bDXQ35w
ExPy0hQgKKHgvc6d/yxtdZi96b7EZuVbcuPoXbEb8dirjuKzPPwqIR1b/bPrrGltiQoBDBDy5JBV
zo52mV2Ygy9tLDxgyTi9Shyh2zjU55X002Wni1heDNXPWAvCOMiCeQ4/a0jdT91W7DNV8wYKO2Jk
cYYAyDK8fxOjeJQXazY1LAJaCDtx2OCeysfHJI5H8mI5X2ehnG0L9nLnTvpLDN51beYZoR/yzngy
msAdY2eH9u2ufYnjO2lwUxPqdOmhSg88bTeqBnZl+elP6njnzJNBmxs/edgeyOTIyP0VFckm1Qoa
Yput07p724vf47QCxscKsa9ggLMyUmwrDPMp9ZxxZXWDuMsZ9Nw8uvPDX2U3nHILF9sgU0hSsPlw
2ihTf+hCeQIYLTeEL601thVAaw2UmxkiqjXEuCNwBiywWhpLhycz4ug5OMlFmzPYoiYIW2ys0dYz
xUuRmKTbimKVTPZ9aRNvq3F8CTP7NCh7D9gRCw405kuTZpTJVodFoKSnb0Mtq8+iC5v7ODjGikNI
Csk2/FJ6XGzo8inAN3b2KfTm+ahl4zGaK9BBssofYFaFQenMmJrh9qzjWtzYvv7cePZdE7E1wOO3
auvyBtn+xW+8y38mT7F01Ln/5+S5r97/axEl//fgubzuj8GTlhSw+45nwb5YgNR/Gzyhi5oO85Rg
GkIo5jV/WEb133S4obTTWTZa4e8I679ZRpfQF3LkXyfZf2vwhKzwp2nO9RwLbRNJlAY92Lq4lv88
eVrsVFJ4jtGxtod5b6C+rnGNPRlZfNuDpCt692Ey3RBbDwEHzZPY/GLQUlkjd20yfeaqOzvZSLQy
JgXtFsa55Tilm9kRZ+mLZeUHCCLH3JqPzKq34ayd/Kz4GvXkFvf/raXw8iTTuZeUJePuuc19/OzR
WFzrAgyoY0ExTSyAWxkDAFGI3cDTBPTqO7cu0GtaTa9zVO+nrAQPVrmvCd6KtWXF5kZaOmgqLb3J
9HDDthI/hpFjngTik0zqa+hVjBOGjrxR7LikxNlMyAtZcf/B8x0j5lDmLM07BrXR3sq8+5hq9+qO
mKLI/tfX0ibbLIqQZU3Un3nM3oR902B1U4C7SrKgbhLec4/V37R+KLZzyhFS1voJ7eBg1sVLCHYT
fleBk8BuP0fkBDrAajz00bwfp/aAvRIj7mzwJKq+7Tj8GpI6/rEGK95GWdfTteL3d1YyHWtDYeGc
U3c9yTeyMT5zR4gHrswfcZPjwJMCVt8E88jAbZY0AMAgKteRhgUjx+SAJ+4GW09gKjqv88TadhUz
Z6nPP2mkFausqA94Rg91MTyMiXbNWu9q2oQ+yMWd077+pRvATXuvLBgQqTmuyfIn9BMToY5BJDkH
oyjRrNN6D5slXpnSO4hQuiuVlUfZxA/YOHioMNb0JunSXvIjk266tQAN/cymdqnCRzW752bybmlZ
Y4wvd7Y3XxXzuW0dsvlqDqSyqlNcE+MqFZUw+qFwjBsMuqe5cU6DhnOv7ldNfjcQUWja+c1RYlM4
0cYMD/ASEL76k9RrFl9DIOM2gHbqPUeF/qlB6oAbwKP60M8pFaKYUvN7x+fP1aZQtAOipVo/GA3o
aAPhdNd0RzcOHPXpfOMlDjsCDiA2ze08v7jpTeVs0uYxhszpkKJ/moxXJ/qh20ZvdkUZbaI8SD89
wdlFflGdaiVmYETHlkBt1MCrC7ExcSCkS5jTRTbvpRZ00b0L6JbdPAXJsOtqcbXAP5h0/C0SikcZ
NREcbd2w0o4fx3jbyRfjWaEERmm8mdKLnZ444O4Gb607t5Yj1rI9E1Qnhr+I+WBX91121+ArFJh7
5KaHOGp8us3jjJvJ0DfyCzqV7b517MR9472t5rPZLku3k4y/MkZ0b0w2vZldHOjDkXMbi3yXLZMb
FAGo8wIdy8w0LHoYb6n7Q7T0D7IXez13jsT7HeCQjOCYNYs7aJ9bw/hJfe2BavcXiB7rsO8AOgBz
IKqN0nw3aXznhI1lmivJzM9mP1x6AJ9sVkf7hIqMZSjHfu6tUPe3rc9cRz1Zkl8HjOE8bVnjc+5h
/+H9qqGrNyLbdvqlBHrqP3vWvc24Ohp7zVbrqm1Ovjls5VDfseonsoNUZY+buZqZijDMpz5uSygN
yaBexGKVKqfA0NpgErwfM3WduXbwMJP2rIBr95BUE0AfBn681B7Q+tIAozg6gBeOSHkbY37zSIQZ
8FXTEaOaAZIjbV8kV7zQ91r32uDbd9guq+EW29xCBii/mmHXT/Wm9M6dtVcxcRTOwtmJ1aruDluc
igw/oXPI523mGMD+Ixxi/XlSS4Baa8nFX6PpCqwYEXA1VfpD6Dziq94OtkaHvXXDMGvqT2J6H4fH
Lr22xXNttcc0ZG2cLXlv59cwa7up6Tac7te0ITN8p6y7uVE8z2A9Mqqe6p6WjRCzFHGETZwQpxvK
6tNJ0e/AalC0SdTAah4MLWjQILPxaoqRnOXaIpSNOslIpp8Z2NnJrPNoIyOQr5Qr9C5AYM24ccUN
SinEnHnXm+ZLUnC4KLwdQMcJEbQ/F3kyMCS1+EQq7y5q3Q2wsifTqT+AvNC0zPJD0FYwuOEVfBN+
yhnVNULKpX1xuKmNAUdqom9VO35mEcO2FfJORZaq4ZCW+TnhrBmgHPNskabgnqp2kw8wkV0QZSGU
Ra891d8qo9IOELOjdeuE1s7OCSBaKoGYC8p1uWkGY+1zXjftpXwQPsp/s3deu5Fja5Z+lYO5Z4Ge
3MB0AxPeKORd6oaQS3py05unn49ZlVVSpEqaOo0B+qLPucpSKncEzTb/v9a32CmqanOFZevgJ84q
QBQ2qJxGORfCnrJg1ujIOZ8webbfUV6D0IlgQmiBtdCycq33sDXivnjJVTKWiWqKNrGqYxtErbFJ
LK9eppZ/h/j0GW3xSar6T2IMxgXY10uDFEGAHAtwqrcjs3qiKGKFan2FdBpBo6F+U7PwQjjZqzBK
bBTT22C+kC6IwU86q8IiQc0i/mbOTuGeHCtAkhUMvFzmKx+x77wEZIRqpExnQ8vRXxUpR5swtFaj
4Z1YSqovfaW8tLRxZ5sxUaCTJAMJBAXtuIzWfh/QkSxQFGcs/0xC0GEqctODEip2705T/CryUlLD
8vxZLzLS1HtWbm/EbMrfMdadCuknGGvkNL0N0bWXC6uLvJV0c+Jkg/xFG9p241swKQbi3Iaq0Cli
IZwKrdu4YYHTIRstEm/k94k8q4r6LAFMyANmkh+dnQGoqhZRX117KciP2hDfxgwltqHnCECwX6ge
DdmiNHZup8en5Mvj0ZjcGh2YUHAYqBnbeHwaJk9HOrk7KmKA8NQoW7RIV/nkAMknL8gwuUKCyR/i
294ZG89rzY6vxWQdGSYTieY73b2cjCWwiwMYhZhNmsl20kwGlG6yooSTKcXs0he1QusR4FcpB7+B
9ISFRXcUVmBcLQg3NnTKUdXhNeUYxxkMB4w+WWGqyRTTsSXJ0oJ6QjUoyLmwzrh4aGRd9ucQDa71
IkToH9s3odqdu5PxhuhdNJw1PWjg2xreHIFHxxPMGJyD2k3a2lfGZOSJJksPfklziatBnwdWc0ez
dAmJGyEoTqBWEQ36UsxB9mQTolJ5B2F4XNSThQiI5A1OURTduIsazq6YVkml5QIAfq3AIBa5/qyx
M5y5k0EpJ4t1mU6mJXeyL6Faxn2NoykelbNusjhZ4aBdoEujWIfvdw2PhXoJjtldz3aVU75vkXRc
gdViV3kwpZluk0b4Z1wdBbF98OTWrs6KhP8QFdQyqbwHpYa4aurttSNEv7YtJO9jLB4A66O0MdOb
TLrKSZTRt8DxsDZNhGaNXROCmgqYqyz6FD5HfB1BMvekR0ysr90kbss07MPjMZDXrmyF6UYBSIXQ
CPl514OpxxXNbujBr5WEjVK+LpMiJCfXsFjHKp8AVGKeYLaNMzk6TLuW91h5k9EcCxrrTYdMMFFU
TF4G704/Fiu1pjsS5gDr2uFGbTr2nCGdbr+2W/Ti5nnWlN4VSj0T5UB0QyunPtH97IJg+X6TqdFD
Hnc2UvoqX6mhzBYcdtmUB+4T/ZmN6IzupFVxC6gVz4reegtNi6hcdYBc8HcgdsMKBbY3VjjDow32
T2lvSdJ1MU0UAcIKSFLiJk34ZWeUk+BO0nRMgmyvCarVsp/2JYnBMg0choSTyl2VEZs3gmHENgq0
4TZSWu9QptENaqItDzWay2B8tKo2Duaa2TT/3xCVf0vrmDpIzzlUgNAP6uo///cfHaXFY/347g8A
dNhdXzSvhNq8Vk1S/wS8Tn/z//WH/3r98a9cD/L1P/7X40sagoyuahDE9a/H5IlL8VVj59R//Kiz
w2/+PGCL32DwEa0jDFX7vUnzs7PjwuhA9UG7R6WD84bEQca7aRBuB6jS4AjsTJl0Pzs75m/W1Njh
fy4/0PR/Bqqc1F5/dUvo5GAFnca39AndCDr3/flaFHh6NfpOWzcAw0Sjp0UjKa6GqrrIdfeOu7ZR
O1fByWUtnBjLlVNn6YqDXsFUXsTs4N1iQ/NDzt5cyg/6OMfnfj7XJHQyLCIyiMNyjlRqZQ5SUmcm
3Vr2SxI/pSRM04RQyoNpfE/oMXw+mjm17I6vg0BCpQFGoZ/G/99fhzYnuaFQ7HHbGe3IXlqQF6Ry
7tGGG5REL72TdgtQEgJtqsmGSECaovN2XnRluA57N0bW108Vc2i5GjnUZWsDZEvlQo4dLpTRuUiS
s6BwnurRn95s9yTX5QEE01lg8B7XJMLOWT9xYDjrHkU8qsJ+ZaKaXtSldegcZoexrO+SnLASqYub
kgaP0pSbXEu2w6DmSzMsH7rKuPUH1k84AckcLAU27BYMg12wCfW8bzF8QCcgIJUEEYLEwexLQ7yq
nX3QjGDfswmmcs+pa7q5DVPJQk5kAsodckUYwh5n0GuENFm0YPC9IHqi3PCoNgoSEV3hWFvsai9O
N0VRPkSOWS7jsTtlRdDofHTfkXhgTfEh/lVxDr1hQH8BCGldWMW1LrNlSDlpRqTWcFAKuXDU5ntU
aM+uFpGZ1PcjIAX7otGt18qG+R/hADF1lTitUl3aZbCP427vS4kKiOJtRqne9VDGOHa0IMCCOG8L
VAK7EslBo4DQUGlb2Y+nqUsMtGTDYsQCw2btcXYpYK3UcY+4yrXqy1IWydY27W1sa4iEknYK8750
s2GXIKLchii716OJggSpCA2zPP9OZbOaQTSYi8QbNq1R7vCBbdTJlhUNHnSCztLQXKqCojdNFntm
mGmSspwprbsFupyZi0Tk2PJKt+MfIdgRSAGHlljDrVS2kVgEjnUFkJ4g2rger3W/tRY2j8FiiMfn
POjwTenNA6IMnLZgMhonOYEduUStBlZHp1UBxGOkx8WxGBNMytlQXodheiKTVM5cfP3m2IwsO+ml
NAt8NPQSqPhcZW4CMi+pH4MsC87apCHEo7bxv/pmjPqqsQ++BS7Uh3gAj3JvSXuXKhCvChwjhLFM
plTEVlSgCBOm8AErsgMegkpYrWN1o1tJdA+XpVjrTRrPglBb942yahWOW9VDpiD3V9EcemMBXB+Y
hSNuBB+Ybg3y+FQPh5nek3RiVv5Kqu1uKKzvtMRXIlaWjYZxF83avSVsDJL6WpcObuE6s5ZOkalL
r+DOmWqy0pvoNAyTe6KTKayj+D4fAn1CtEnNWZhFALmwSBCbacTGt8q4c3IhkfzSqLBkcVsXw01e
NBthFZdMITc1wTdzpQ6uOaO89EgpdXCILv3lvVd4Nrr46J7t1g/25LrRKcslwsH9mtHzU+zi0WtT
zrlIFZ0SkNmg5QEVBskZLlJvOZFPNB8dfng3nDqiSXd+hAlwEM3elOVu6BGa92l/modA2Vx9vKcb
STCFi0bTdGqyBGr90c0UmJtABDe03qYWb4PtZyDQlyVC29WFuekwvR+aMrxrBOauUgJc7BARUvej
TDojdiVY+7bZ418sn5LaR6HZ1Xd2STxE1dpoq3UrmBspR420yiiT+ujXfH9N81jZoMlDpynjRa4k
t8hXrlMVHbqaKwszbw7YwyC2FWq9RlO4UvsecbkHcTbdJWjk7JokAUJ7VAMdOPpM58Rs9K1XlmdY
z3csnfuSrLY+KYiJq3gEIOHgZ+9wvhXpQa87fRNUoXZNq5YITyjJxLGJWz+EkzkYtNJQaT6XvkL5
jKJCpsl1ABvFH/yXxjYGDnXJTVuMV5qZX3pNHWJBm9Klkdo4Zn5nuNq3QAm2he08VFiWYNTY1wPi
H64r4u8IjSYn/W4eDYlYmPFwRaN32Zbt985W9p5mr7pEO8QOJxTLpGrX6+M8qPIJNkMRjAOzsTAH
b0NkEnJCpkoUXy2VZrCzbu5tarbxc8/HrlM24sTu0MuFfX3wlerQxxngHEHLPcIJWtSBu1TQwS9V
DzNu3Zp3fdc/y7xfVrXjQAyiiwvYY95V8oWcVvWx08SGuGa6j9mJnfLOozTsFqiVxZTzRAIIFESE
8/EaWFa/HMsY4aPUN5VrVht7yDdKjszSiMa9DAmWY6eKTElXVr1ZnwUDNz3BIQ+XJzxtMj1DGgcp
CraixdJymZdi58NQZYLN8k0wTOkNcbDDbbvISlz/hUZRycy7qRkVPUUi3ke1etuTJTlPUu+Zlc8/
mL793JpmijfFK2aQG2n/AwBaZ2I4REOWXihGKBeCCNZZYxrNovCqKzfqXkfPPcW6sPx8qzFJZd5v
uCxTtchxg7eB9O1H7sAb9FnsBl1aqwq3Ry1OlTS4SoRcqSXEKG8kyJeUox/j/Y/qyv4UlnI6ifE/
bn5Nv/hzb26joJr2v6DyDGFacMV/7s0J3TN1MG/sQMHMC37nZ/NLBTzPLRRE4dEsVd+qrghwBZWi
q6qmGqDOnH/U/NLNX6L1TPB9eEgMlXOCTtb1+01plippBODe33UhCcacjQXpcJ5YdXVi4bkjiyql
hPGat2ZzCiej3yYhEcUB3O5lGAXB2mgo6Gu4ql8iOi7nxdDWOxTMIZXgTKcYV4cbxU8j8o+883ow
Doar1Dvp18NZpcuNEVTBYzKOF2yorqRTo0T2nVnEXzxx26yguG7lC1e2Ao0XWUfCrejZYzwmcw9D
Xx1FAJ9M+1FRc4IriyZdtSFW6XaIml3aSO1Cz6r+PBdwNzErZo8qgWYoHIrmECOCgSUQmssKb/wy
dpE9WX2HiryalrFgX8sKSYGZrYWnhstioFBWesO+IsIJOeiQrFLTXidCe/UN5coFpu0oVrskE+YU
i7aKgYl5QNp6NR8TlBeFniGgpOozT4u0XBDZdQJW61Sb2mf51EjrppYatLkel7RF1BAsLJPykTqU
d8aPRtykSrfozZH2hEB6atdp9O1aojD8kVp24ZQvmE81pvT0FO7hypgafhUaeJUOID0hQKiFqy/s
Dm6qQp9wYDc5b6bWYUoPMbUqOe/6/i4Xw6oEt2tP7UYzpPFI+9aaaUP+BDP0WjoZ/ssgPjRTu7IQ
NDzoX1KdnAtRwfsODzi0XzxP7EN6nQhSdqChdgY90JpeKN3/XUlv1CjVU2tqlg5BQ4ON/mlJHzWi
n5pOjVVvarH2gRtQ04jFZRWkaOVdNVzpU2nB/lFlsKk3FFPhwdULUNtUIqaSRDwVJ7C1CoxYob2o
p9JFlVBwNrIIFroCY42uQbQQLeIWj+qI11Brdfxhn7QwJ0jaTZaNP9STPhsJrl0Wp0ieT/MeuD2+
mPikll6+1Mme+97jDYuL/r5BvMDTmN6O7F5mmlKOSy/VXpoqfYIDUyNIodGHO8Nd0YX+Bl36TsLj
hoMDvaEZ7OfRVzZVVU5BgnGzzhAqn5pZjMh7wLfntn3KQTDDBa5lw0lnmvaGBsl3a0Cd7gTua8gi
c9fE3boZhYOpn5KYZJ1u4ZcTwtZsZEtVdtSGKzMI22UTJeOyAS65qXJjQXzTWRTq7da3cJIYErSi
HcgBIceog3fu9HqRu3awSadlswuydq8p0pt5k5aLRYX+LqXPUPcI1evM/KR3gpck8uF0d3m7LArz
xmr07IJpJwx+P7j/z3pjs5L/fTHoBNvXv/7PB0zW6df+Wm0o8xhYqm0TLYMLH+vNasNKgs7i97BW
1qE/VhucX1RA8OMINBWmavKTn4Ug9Tf+i81PbMSuuvqP1hrDZEF7ty9xWV90h5rThABzKAYdrzWy
YLYtId/41joP4OWQuDYPNUjPak3NHdqyxVymIFSmy6utQEsxTxXXdRBfekAz1hEkx2RImsUozK0a
YZrQfH0Lu3BV4p0sKvaA1SDNWYHqbduNgOi6MV6ZTnKbRvQ/nbrcEq6KWT3QNxa5aBi5UWqkCADs
rIg3euzgPcIGQ+oQdlIRh6ec+whMk55YFEJzz5op29GGMjETYMYWtAuz65wO0hytFYgUT6lAF4Fn
8hSnugxHhSZaXVMaqQbdowNBonPBerJFvJWsEUHfW52DKSi6t/R4j9T0pM/CQ2zTwETdQXOhEt8y
R78KivxKx5Hs6vu0j081r6VkleIzgNhOXORMWM0FYRlXmVM9GOQnqCZUf6Oqd4Me32bC20hXfAOh
yFmicqcoPn0P/RZ0ftc8ayETeYWeYWYV8tHS8acWvf5UuHQfaafdJTEk1qyOwO6pSyunSxKbBOUW
1QMpfZfCnfCwYMwkyrFZnjaEweUkdqSldjnIeN9TPZ9rkNuVsXvtk+6hG/Nrp9W9GdRzRLFJddEU
bJsT2Xtz9N81YpBobzfaSeMlJ5mqt4vSTq7VqsKlDjZNlze2VR2ijjpKVAQXaeM/ZRir4Nmfx1F4
bw08E3YDYW1E7BeVhAEHMQmHYXvWcSZfRH7TX4cJKQr0HFNirscr6uvOSk0jMitSc0Mbsl0pY70O
rbi5HG2SLmXobxRPDgngFURqNLdL4sUlPFFUbYAVRIHOhfCMea+29CwCPw8IqNU5xUAqQQigqaSQ
m70LX7Lw6QbC/AXK6sfjmoMyKXvtLQyOBdzhs7o16M/Ge2QkJIImYcmJjIitzMv6g5h4Ly7t5cKa
HPhAe6fHcgq7F/jd/UPumuESKW97XpSWvRbqeGjpwbPykSMiUTMsBs+4L0dEcRif55ZaAr7JlR4n
TdJs8sykk2xLvGjG6GtLpR/xdROBcp6ogbXRJSCxNCLvF02u8piXo/iepGq98HOH3D61vrMkQRMN
7hQW1072F5lGZvMaJSQtZDZG9ncCC18tsCfrEMIERWB/22WEIUorHsgbGV/MqfCBzJD2CDo/Ul4L
WW5JBRjnQyxxl3BUbzAEzXqVl8/qLfD9TZDAR8qj7KzNOiYTD9yrB0LJBnmT8EY9OKpcMvFh60ff
RAAmfHVb6dIrDV/DrFAJoISm4qxxadpnlomrzxl4dkkqrS8omWb2PB+TpuW1btJDGqT1Dp5u8S0a
imAGGQwGSMDWhBRWoGZk6GYdPTfQErAdYmQKFFYb9mM5qRLXhexa5D8JlbpeTHvCchjHla85+N+i
trzzVSJSr2q/706GajAu2qw1c3gVZnKDp9s1oXGpSEId4lAXqVswP4zcYLS96tZNnL1UqrU2lgne
e140JOV9PcXnBJvcrZYUTCHPBA0e1zQP5qh34NcFYDcsts/z3mwBgNC7SkPagmlkXdQOoM/cTC56
XdJG7dVunenqg2GV9oxuwn2FYifsCPDVEN5YONTgneUS6SuKhkCEWwQSD3pDJK/ttztBCxuZAPr3
wotWpOFRJCjHnaHTI+7r7n5wGgPNk0dBxjuErfXoRBQ7msQ/6WHckr5hnGWSanIBc44ZgKomTNXn
JCgguorrpCRs9p8fZT+Gub9tIP3n+jU/fUxfqx99pD/7Sr93kv7843+nNtMUmfX3O4vZ4/O/TsLX
5tf21PR7P7cWqDhp4lBz+d0I9G5roRuIhlzNJkCe+tefWwvxG8deuhi6hudbtdF6/rm3EL+RFDWd
iLH7/NGa+tlr+6N3w/X724QwQzsueuAbwoQxyUWnZpamTd2XN0UPvzY6qy+zZoOHb+8EqekunAhz
rtcoHFhLSWAAuskBYXExZuN6GN3ixA17+6LCyzurSKA/MyT2W1Ttp4UdVzQXKps8wkpZp0aEHGKo
4ARnKgXvvHbdNfv68DZN7rEyi1mR+izT8XCwTBrfgRuZtw0srGgmkzFaKIFivjg9HX5zlHvfiG8T
T15wwPxmDP1DjmQdLMcZsSbLXM0OuG52uCw2jQmGEBz4ofPNUzXWYUXh3pCpdyZxLPg580EAp1CJ
d0o+icRk+lrH+CrHHu+rBcbFM/tHQ0ZPhGNwVkOgqTkFB0S//e5pORAbFWV34TXFTFTunZUUzbIJ
7ZVIFeYHwqVD9HAWlngicQktLUtxMerpvgqYciWiQKoC6Jqc+8QhdIfo8J7rWWnGhTScb0io1nlM
VdIT7fnkiEiy9KwO7QfNL240hNn50K6CzNnUQXPedsN15Rf3cU6dPclv8r690bv6NLcCoD6Vrq5d
IBozpWhYeFLiMeso3lMaeSIiCtPReGfhqtLb4aFIkUQ5YfotCdSNUEqkPgr+FEQ6MB2dH0XrByZ8
uTQdd0985kXcVBLrJstzFaXxxvVLouVd9KYbRVZrs/bXXVSiJ1HjnRt4En2G05EL7uSTpEODGTeQ
EJ5h9ua0mNPS0V/9EAY2hmFubrRVnejCHfHq+oUJXgS5aKHpSDwTd18N2DHLKLhplNGaYw5tZ5FV
64tKtvhkNirKDJoN+FjiiZVUoPgdW+ChnrYpyy6Z1zL6losSCmFNKBTwu7NKoWre+MGrb+EWcZXX
aHDI5DTPvTbbp5Z0WQ/GU3UC1vYmuDupowMAmXhHHM3NgCBNU5BaCKfdVZIuWlbal2IwezC3+Ft0
N30EwUYkLoADnIIKtnhajJWbHmTuPTNBo8xqurNSGBsOvldt1zT7uEepGrbyJqts9ASjrQGlgWum
O+QI834tSEnC251p9qk3CnSXcI5arQWkKqiR6x28MEVxX7yORRzCOcj3gXp7HRvPapmfVDHdCBmm
170i70e3gaNiRTcKCenh6KGqoPSNlNn+DuXaXEd2taui4dHVhq3UFBRadr33rMw7WC2wrZbjhiXc
dJbpnUdpiX7WTHIQoVbNTq9u74io4R0z8tN0ZHZcElZuzErLexg6rDCSyB1TT9EsedEpsoyWvYrr
PUpbyc+tLEb9nRfFynanGn3llbdOBiXKSLVq4j4NoL649y3BiaKbh6dCiR7MFCN1PCVHq4eeWvTI
PJUo5Xnj1wdDJONc+MbTYCkX8YgjxBo1yKeCpgp3BzOfki9wUXorN0I/huZnPoipJylQ0Tm5/6A7
ozlXyPleRMmA64KAwEOge9el1lb7uirUGQs9G/BU2Sk0cubxOGprhWzrsKseIeIhxiLwY2YWxnej
gyyBU0NbEInAdryycWMHhgVQXD5kbQryqek1SvDQcHjS//k6/bdij3dL9cer+X9bPYjD6fvvF+p9
+Jr9a01QlP/rUj395l9LtYU9AsuFLRB5WCziP6sABpVlAk1VzQUDY5msoj+rAIC4KTlTW3YcBCM4
LN4s1fSxbZ4RG/UCxgvqDUdL82dL9S9VAA1Xhy5sEOKmxlDsFt4u1ElK0Sm1h3Zj+fEDkBGwIcn+
zUX5Y3fwlj80Fa3fNkDcaQjDUPnMGswa56jQUKFdtsK4aDceXc+yQcrtUOQl9lz/QkLy8UATxAZj
NQW8o4GSrqv0Ngt5PUo6jABLZOdAHxH+vzMOdxKpjuFwYORWv71mShuRiKIm7SYuu27lMbPSirfB
GRsvn1+5D28OuzzCr4mqxa3zfqCmj2n91Xm7IfFsWajRjRTF1edD/BJc++Pu2JSpLEIgeaaOLpqs
0XgGAXfHSLPzwqpuTJ15sBqfVQP9chk6r7mpPxJeG1BMEWxdiLD8/CMcK3H4BK7Kt6MWRXtFF0ff
ks0UhKzGaTa9Qmh7lu/69ELG2VUybP5rA00SpDebUt0o2VMUfrvpyLyfOY2PzsbFD4ROQGbF8vPB
PngYXQp5NJQg6bu2ffRiOWpBAg6N/o2BBpi4kMSw5lnxe6/vbzfaH146FGUY/vFMce3efyMlHqUe
ZwbcSr5Qn55oLCU626gSncW/83X+HMmYOldvrp0RldLseoHeAX/tokz7e/CX7JqK5OLzgX45OUxP
A9Olq2FDg1I//fzNQBYqmjLIOaHj+OIeKQjz4bxPQTtxSnr56vPRPrxL6MEJpcLf6FjTz9+MJlIP
D69s2o3SiFPd9wn0MJt7lcrW5+N8+K3ejHN0HnIyFcVpgPjCMqFoUaHpzHVLfdM0262dfvGcf/yl
iO6i5UwSqDh69KKibJOsQSGuWMWp6LT7CkBU5pRfcOV+HcYh2AGoHNOgCaji6Np1ZS+lbaTtJteb
Ra/cNzonrML64sE71gXC5gPfyJmU18jR3alj+/YOjbouOhfR0xTGt9DUZKloOLXtEw89hMZWMkzO
/umtej/gNCm/eSTUGu91EbKKFETDr9DYoNkpo+cI5NkMdO9ZPbjt4vMhf53nycsSlkEEmzudwo++
I4UhDd2V12zCSfOoloIsIqgS/3QQ/mWHdd4yXRZh8+ipSDw0HjicuZC585yb7VyrKNt9Psav89E0
hvgRxI6GVRy9vOaoK0jPg3YT4ceS9YUeP5ENc5B+9V8c6GgqBxJnjuBwqeMZzwotvYQWnDtc5cbj
51/o12ecZw9Cn6DHT4HkeO9iRxxnaUZw0VJ9m5MuQC3TvwM58MUT8PE47OsMzRQ850fvEmZN0dCw
aDbsAxYaXtBKrD3F/2K2++D28G3+GuVoFiqynHpnzlVTcRtp4qFAhgM5aemTzPlvXDfYNZYLHBAy
y9ETXRoiYqPAziXKIXzkWXRTqtZjUjbLz8f5dV7l/jAIZmGDCEq00e9e1joxvBH4KqK24bS0v6Ny
WERqPSvkma/o/3gfK5Al039zLJ0vZhzdI7uPc9QBQ7XxgZEgXQWWkdrxmeJ73j9/GjB705+zYdvw
7B0t61ZSE7TRJRU5cskzX+Qu0bTvte4+fX7xfp12xNth9KM1nYjvInbNoNr0AGohWoGNCCPL/eeP
wrtRjm5R3EvXHNKw2qgWu8fYwd0JYLAc159/mQ+ebYZByE1Zk6nneDXKVT/sR41hpAYPDJl9D6nM
OvUd80KShvr5YNMNeH+kma7cX4MdvUiD0ofjQBlgg9B43uFOKcx44wePUVWusQIuDXtV0zX6fNAP
v6HDNnmqrbI9OppctcESntIa1Sa2Ypw94ZQgVhgnoxrtI13qXzyDX412NMM2NlIVv9K5bfALC4G2
8huKjIUfiS+m8um1+eVaTp4HXhhq1sd9aIOJoi0iukEWlsW0NLaK0iwMw/hiU8Tx7POBtKPHnbc6
69F1sFnuUP45wseiy5ucwd+m5kT3DQPrlCNjmETeuFGzr5sQO/WwdTX1EXbPjjKYuTaoY0G4GCD3
UNoam+rMo9aVhZq5HKh+UXu8LqdyWBUUxC0Zz4GB7zGcSmY6eZlL3xcQoCL8w5O1zElhtU1MccLM
q1PHrOyDG4DQlFNJLrTCfO2oJac/ynXpVLgLs+wmmkp5mJiavefIQ6Pqe6GWN0nXQHHxwAGp+QHN
OsU5a4L+DGM/86gW6o18DKbyofQLaqdDehIILwPcrVAYys7tGJcvmUXxrGpMMr6Dy1QSm9L29h3O
TurtYEPJoQ/cHQXyK61wacVqY723RwTTGBTJD41Qg8dV8aD3VTsnyAgLv2puIISVuJ6J8XSS4Kaq
a4KsdHfcpVa4QjoBFWyszZOkj90H24FpD2Zcw7sgu7UxpbF2sSpIl9JfFal9dzT8tn3S03divmoU
78JxBgg+ORifpiS0q0W5E+AksOriCfPU0uvh5STWpPJNm3MvlFsyjc6rzLlplXRDXMLKsgAYDN6J
aIalbcA40CF47tSiam4ImCm3A5z+OTEP4aU5kphEA60EqRMmycK3E6z5pRugl8/laV2JKrqMm8jZ
dVMsBDhqP19QRnW45cR06bTSIoQENUCdvqLI7fqtXMTo4mayUozLsVKDrUhb8+CzvyyXgCORGQ2v
AJQEAERC+4Bx6vZZjjfeULrRvG2lpp4ZnazImwxJsA1IfZ/nveueBKPtvDalBsCyJjkF70tICBFR
NSZH8PngWS2PU2tLJGAGxnNPp/us2XQ6E+mB8sH2MIMBP67CPLDWNtFrGO0K9xEUVgQiX9pbsng0
WKmmukzJElnZeoIMji7mxke8QuUbMPfK6CN5OYZOvrbwqELL7U8MPw6WddadKAMhRhX7+QEw+nxQ
BEl4pTsbo3Ztjfl3LzUB9DtxCcMBx+7gt9dGylPbhnJPIOQCIv4ihgsJ0Zsm0Ei42TnVmPg+Linv
O0G0H/Mer2MC6KJGewhD2FhEODfm2NqLZYvCeucgoXpxtOqbNEgYiJTLmr9s01i/IO1mV2D9mxGU
iwBB3IDARBBoned6uzcN8BAWj33c3QEW/cZMvNJL8rOE/ZI56kNmhE9N612mFg34TnTX4fSHWqcN
oZBQ0ZTFahy0B90c91ZXkLdbX6QKERM9Z1M86cp6lMPSqnttzoSZQslCKZBrzVXc5Pc+AShAIg8I
ivt7QnWyBQ0AQpAbxC1VEWqzCssfwBQ/vmzUPtqbsFzxd7TDlS56vN6mPTiL3q6snW9ho1gGQWuc
F1UQ0Nw3/G2fZsGqKDID8hvcyx1he/6Gcv8lH1zTDkYw3IxgM4u0e1V0JgSZ+CuQyucZ1cM9IKJd
Nwaowyv3vNXcPdXL065DDVPJul04bn8X+P2401z/Oi+ou6QOroTByc8H262pfgNDHlVFXpj90A1z
2+KwtxziwFrmKOSuqH5UpIrmxqpD/r1KedW25VjEd2TLWes6K7HEpDnpxhvNFcZt3RQkmhYCXCwJ
UfPeNkxQXp3YEzBKcFFbKkO29lHhglYuLDbbZem7G08jWz0G5zCGgbVPYJjVU4pKCFw3L6+iJtbt
b58v6L8ebdlF/LXyHddevSxvxtZoSfVyhwejo/cU2/Ix9pjl7Eq97NBWzkOcRF8suObH4yIwmwIi
OdQcbSRaUE4+CaLNpsjExUADqSNMhhnBQT7T2OlMgxsXKjRG7NQ4HRO5LAx9Oxi3wHgWWRhviVNY
jVkC+aW7QIc1I1F6bbXlWgUNBpetWVXmsxhhJuLL1nrcYpW4KPv0wfCoMg4dKU4J+FWiAdQC1y8U
fBYgMonnMV0wtzVOhvox8oc1cDRScgeELHj6Xc3YapiV+h8hvTFGJSf6YlP34Y6H8/fPy3K042k7
L/MScH2wv4F09cbGg/c3wo6xRPDF5urjPc9fQx1t8AejsjpAPtWmTf2XzteQ31TPGo3GL271h1se
au8mW5TpxDJ9jje1jJ4NTVCMbBlt9gI2r20bfjOBXApaq7Ucvxjtw2/1ZrSjXbGHC6gN1LHalBIy
+E2KQAmi3ufvzIdnljdjHD27IiXookvxmUjbXbY4fDrd/WKn+OFz8GaIo+fAK+xwYKGsNl1IyqEL
SxCi/bjMRKLOZQPv5t/5Rja8aMoMNqqM9/eoibzW6DwOLp4V3Kt1tzVKZf35EB/cGLwL+E+QmxpT
U+n9EMyJeBsHbkysbxuQzKp26ij/xvd4N4j+fpAUBlJqQBFnNmsXHSruzvWWn3+PD27+uyGOLpVf
S01mI2eSwCkOHrlVsCQPnw/x1aWaPsKbN6YlsgSbJUMQW0PUh6Gi+uuIFEi+ell+lCaOzj18GYTq
tsqZDjjC+5EiIoXoHzScvuMWB6nVD+RD+c1VYOVnpemdWwmCtUwoBIIOGsK6ZmGBSt+AjXowXSxu
QRNgIHC3Sq1jVU2CLWXzpzzBnoiCnQA+pfqi/vHx1f/zA1tH5yc95GyjF3W1SSDxSKu5Ef+XvfNY
jly7tu2v3Hh9KOBN43YS6Zn0nh1EFVkFbzfMBr7+DtTRkcisfGSU2uooQjqH2gm3zVpzztHYX/Qz
Tt/9fw9x9KJ6GCvHGNDKdspyhHFteYGWczt0XvTFWfrExPj+5v+CYrx7zHXjVKCGOHQSS8GGIPHZ
6SyG1gNuHi8luoP/4K2as/Pmao7L5PHxWauiG010d2Lb1t7Shf2U29GlWetPnw9zoiyBekuf+xhE
+DnHnnaV6AiLBOJmG7Tlcyy+5bjOGmLTFddZYbPRDPKLQX99PuiJ6fL9oN7Ra9HmbT7YgmtT8pfJ
7EpC1d0bxa1+Tmn7xVAnXw/a1UjKMO7T/f54G7u+ho1ZU3bpnKEhH2tAcp4lb61r/fz8muYp/vjb
nMXxzJV0OIC3fBwoCdLUDUbiPVJVAbdWP9WZ+Rh2PQG1YQ3Os0ifcuJS/sKc/3+7eb8qEMfD0ueg
So/An9jAoylBt5ua/HjmaXUIDrregNdtzWsvMXEbGXLn2cN5waEz1MtbaSty9flFn7i7Hi62Wben
Q5X5rWaLwEYtO2CMsW7f10GJBLy7rA2x+3yY394XHWW9q9voHpjgXOvoW4iIW0qQ6HBUIWPYRUvm
hq9acAEB5U/fFgZySEmfO7DU8I8fYtnL2hNaQo+ASotGmNrYEPPjvX1+Ob/dtXkUury8kTr6yeOq
cB6EHgp12ipWgwdOmgetFWdm/NWO8dRdcxxunKayYefGfXwj1boZawhV/dYrs1t41mQAu81+CAMV
z3X3HzwiJipWJjYkHomcHweTADYSr6R6n6FH1EYUUtZ1L15n6Md/cPNmzBHKGN6G4xMQGJ+oEQWA
nWDg8CES5cWrdA//hlCWn4/02+LFY/plrDRdW8f0cjR16KFSG9gCaMenVDFx8T8qvfXHFdp5EI4P
9EXJVqHz8fG+DV5LShXO+i3ewlXF3ndCpm23MxH8iwnq1Fv3fiT940iao+uSPg/9opbUeXogbBAw
+nthufr8vmnzs/4wJ/26JgsREg1yZL1Hc1IQOJCKEq3fRnC3F0WHDLTDcbmI8IPgYiyvaMJmvm3b
iCZV56Lvo/NEwTVg1aNBYYy62uc/6Lep+ePvORYi2CEeV1LLONKQzRIkWrNsuRsYQ8rL3lPHVe24
e3BwX8XTnPj+mEjQcOm2AXJg1mO93xe2uTpFdvZrMrkmIo8c+J3E5jpMr59f3lfjzP/83cbEc4ax
h9SDzkJe1cljNvxwcGXWzhfb3N/2PzrSMZUCK40sRF/HGxIvTOxU+zWMR5jDZN3i1t9PZXUoFM+3
uuqLfd2Jr+/DcEeva6VYfOXVrMzKAwjfP1zni1n4xFvBAMz2iKV+cdM+3jYROwGVdaPbNmbqsd8h
8V86dbkNUsOvRuOxcJMZH9wlX+yJTz2uf49rqUebHzK+64HiFceF9gGt8prYF2+hJOk4E27/fAqD
64EsBqGWQVDy0aaEJAkLQ/XAKU4FpZoQgSDaxPY/f//+mgmPPniGwfGuW9xQ/bgV7bVo8e2Sc5wd
0O52lfE2l4ToEhvB5+ztskGo27xNAF/CqA70ZF+ZpNrnTjYS0xvnPk7vXTYSlRFKA3tbwabTLEiv
IekjXpqKe0m/FnNUEU3rxqAPHSQqMYIeji6R9C9glYuNaJJpZVM8RzofyUeKu+aqsQDoVoWIV202
FtdznuGSQyxxa+1I+7d14ougjtPXNA3lMg0iZaFEHaq5ApDsQOghgDkjO8Dnuykq7Ed9D99npADV
VYO9dxrtpVNw5SilCTwpra0HNkFzTlChrlVHM9dOK9yVEZnVLqAOvqwynRiLyvRF5NXnvT61ay8O
gYAUAeEzjcAWNUCUXUSCMm4Rkwul4SbEq1BTzw7kI3ms9UKAv4LdPuIGJ+InMIGCeXFTrdQxVUHW
lRzpyLeZihqoWST3FH+/0acA7R4ZxiYrzG9MxIU/Etjte0IE+3Esh1s3z4mYZSOxD/vMAw0m5H1S
IPvftdXQxrStkl3VWaVPW4cuGBvdpQOIaJh4cdtplMvM7R6NbLrtSIFyBti54FXAlMTE8KShE/sD
ALa4ar7JCD7v5y/fyVmJLSHbKN1kuT5aP91edZuES9lmjXKZRuQnmzBYBPyLMM5em9R6+Xw8/cTi
hoiWpRr943wUP1rcptz0Go2i97a3FHuZhW0BB1iSVqV6S8xpN/rUEPvlmoD+gp1i1vfhRAqx6Og+
dea1RYHIr+qEKq3otcvCc/Dhdbsh6kkmnRx1WQDywNKg3pui/vH5T9fmKfPjZ4oDmEl8VtvQNT0u
4iZJHqWaWvCZVl7q4xWjeQq6bNGP2OZ7jz4bKREvJklO9NwBknjZNZ55vKGGk/91bvmvA9xhHftE
/h19I3KEzP0T6m/+8G/1t/cPhFDANdGnzFkhrCB/q7/df7C7RuGIxI2d1ewO/1v9rWPuQjPqseWY
uUYeu42/TeDaP1Dk8M7OiwDvLO/FH6i/513L+5eImctwkLuhmHZYWI7PYu5QjV0hlW5nGoR46nIZ
0reNFfOLbf5vL+s8jmvBG8CtRsDK8Zrier1bBXHAOBMExNTubnQ73I2Fa/hmIzdaWy674CFt7mAv
no16coNnK/5icjleqo9/w/zP3+2swsZpSyppQEwGmqyEaRAr7VkL+kvXQEKKL9ZRHvhvdxaDHnOK
bqJrPq7q4mPymmCS3c4Ys9uJHL6p8XiR/vW2Xf31mN7r6k8OgTCcchKJdMxhHy+oCTsnz9Sk22m1
tQtId0CMeff5EKfeD+ZGzpwaz++3/kHZhT0BdW23szrlWqUJx6p4W9LR/+NhqH9SB6VqhUDxuPIQ
N7IV49R3u9IZN6qGj7rXNnGqfTHM7zeM3TtmC9wTJumc9ny1794AkUQgJBWuJtMhveDlP0Pb8MX+
/fc7xhisKSa9NZWz5rzivBsjCxwc6GA6d/r4InTqbQatUvuLC/n9Vf44yHyh7wYZM+iHHKo7DEf3
YzKS6H4W68O2Hr7Ytv/6/j/OD/NAM1ONw4KBIO3jQDrJypON1mSnRuNNNPUHmLyc+koOerIOtrpW
/ciHyF6K2iGYveL41U9zdmPlXeUk5y6IL3xxzeqnIUp4a031ZkIyg+bUk3A7XuSBcisG+2cxKdSb
inNetZhwN+sBu1eyDnRbLrVqIvgkrgZCKHPi09orTXQesmnokpprs5xNFhWQULsnDOYlDcodMcmA
7015I1TzUJYF2f0V4fpumi6V1EtRsnjYNewr6ncHy2zOkjgIN5+/ziffM8po2lyDpYpytKvwutAr
tTbqdwE++CK7dNyv4ktPvgDU0PhYeCi/4fkMtakRVXTdLh/D3ZyIBuBkDaMItPft59dy6n0m3Rkl
PmsN480Hr3ev2kS0YNVmQbtziruxfQ2EXAfGF9uw48Obw/8xDpBZr44J6rdqazAZ1ahDRti5Ddv2
rhohLJPhn+Scogh8OAi+WQJA5PrzSzuxKpHubTPl/NL/28elO9vmrSX3rt2NcUUUZj6tJ1VuQzDF
eh2dg9R9Cmp5GRv6Ki7dFyvSbvIi+/75jzjxruDcwEyEWZrv7LgLRNyIMyRG3O08w1myM55bWhef
D3HiEb4f4rhv0wNH1tSe20t6/xLhkOEJ0vTbL+ak4707D5FrMAmomd959LgfX5TSzOE3o3LZWdzL
orqX7bSUzp0B/btC9Pn5JZ0aDKG0R07O/E4ePzkvHoj1klG7a/poXRr6oe6AaKDt0n5oX1V+Tt0+
jc0W/XOgSWy5Pl6YpcaWPqZxu9MI6wqy0i/s9saSzhcf2jwpHE21xmxx4Owzn/Dn3eD7D60OmjTo
E+5fH3ybchJuohA0zU8NoUxFflsB0Uadhi/u44l5hJMWtT3WXAiOv9Ca775uwntGaqXsyyy4aGrT
LdJxDne7bozHzx/YqasjkwCPGYaUubDw8eoMU2KIzXhg+ZDe9yL+lucE5DaV8PwCPkVllbvKjcKl
Yidf9RtOPT+Kdr9eTvQ2xxJ+pFxB1MaO2EVZ/A149kWVpQ9aAqXk80s89U5yEy3UUGx1aeN8vMSs
ymrVovCxi0UGAaqPtmSp3ivaWPkYvTe1anw14qkrmw8BZI2jsEer93FES1Lv7BJN7Dx0ZWAxtqAB
91WV/ifzJCFRLm8KfFUODB/HiSInifswb3e9R+JY20GSKYF/3Nml7hPl4sfWa0UNp0OpFNuer6pf
ubR+a4zNk8v7X3A0uSjSCB0RJe2uiCtfrdUDbv5lhHlaTO0qsoxdB4eLXcBlLr+a107dZGxORFlw
Qps38x8vngWrGsYUnm3eGxyeY78oN1ryFcX21IdIXAc+Tx23p31c+RhrJSOjj0c5AsFM1HWT2qum
/T6GX/VBfqvnz7cSEKiGwGWeZX7983ef/DCOegXuWewK4Zx5ItdWVpVulF5HCEodyE3sO2DXO6Ui
gqm0f0x2uA1H4gxK+dVTtU+s+ybz9z+DyJzj99dTCq1D8yx2ZPMtFXChc+5zHDgSqVL35qVCLoy2
zlc1GCNCBAI/MuAxAEuvowZSF+lA7qT9oHMvobaYGycyR38kKFIfnHGB4/8CwDGRv3W98qA+ENAz
3JRa/jQM5VVjhbemS7C7SrBRVXnX3P8rUEBQKXRrLYMhXw0CXqU9jKsidAu/lcaFMkhAky3JaLlU
cz9Rhr2s02dWxUs96NUluYIgZ4PiVQ2zp84yz+JWe3SFd5j0FB6SrHeKsL+ZjXnelQCATEcI3xCp
iuaaBKAkjn8YCoiuAg/GEpwlWRKOC8RXaRHotSQUOMnr51PW6QcAfxoXM22rY0dBYoK8LTuz20WN
DtgZBkhYEtPWeChHG9YqEDJ1vshNc/fn49Ka1VW2sITvHx+OrdDMStI+CEyw+4c6yy8NqGO1PYFK
mq5J7EoWppBfnGVOfGGmxYiktOogFo4nsZyEa8XtIWQoGbARzrQFwLlBQ/QxsbdFq/bnl/h+uKMZ
K1VamdsN00Zhh0BXiYqENkOZPJDnBblVC6sh5M3Lwq9KLScvkw/cmj336m8LbeS6M1mvaXYekVnL
KM+fUk52vkoeFIFif9j9YC4xOetyPmBhmCkKH+dGVLrClXrd7FDehlJeFsm1GTmXUm4/v5knNsmz
K86icIT3xdKPFqC+JV2w7hkHzg2VTONNyZT7z4c4Mc3jZIUQY5rUy3+b5g3VtXM3ZIio0ldUxmtk
CQBrJjLiPh/oxE4INcK8EeI/5kiIj/dsEHJIqtRrSPtQz8tSY26KCA0smzctCJfjpM35hAhb0FKu
Ph/51Cr6fmjnqFnVhkNCSqjJbXRu4XpXZQLCj7xB0F2d84jCxJeEHgLx+3zcE08PbQRdcdjUHCOP
TaFeHg0xrZhmF0xkC5KLhEr4j0egegTNgyAqiuHH33YGCljS0u92BLY6y0ibkpUxfHWqP/Fl8Zpj
FEdAgMPs+BwweGpfAT1qdr3YTaFcT9UPs4OwU37xJp4eh8xQUgNhsR6vikNuU2OhB7eTE/m35Y0N
aiV1bmxAHJ/ftROvPFZGx0AZOjf85nCx9yeOcVJKCsBdvUu0h7DYdx52AeCRnw/yq7R7dK6ZRW/0
VtCjzXPF0Sg59CQ1m+pdXds3fUXudFpBMYk6P6mcV6IuidgC/qk2CcS92fDklj/KeSHNrOSH1Q3J
ktzMbVZAkuyGb6QgfY/b/NuUlGd5H56DB3vK08lXAv0CW8j0xS36FYn27lg2d/opSiCpo3DtIosy
55v4frvUOUGagDHZWV4jKGipzXiYbMVbdInxOjkk/DeR/hQZ2biMIzy7o9ku9IC45iyyILy09Vp4
HkpG8xolVXhjNDNYFiZ0U4WNT7QvOVeDIGXKudVCE1RFtEuznE6rbm66gjBi0yNs0zFuerUecG/A
pKEduAGmckvvYBXqJLQKNx23rp08VvhMyqwkIysf7gVaMjhb2bcqYO8TTHq4Foiz/Sazn/XR+C5D
p94yHfas7zrBk6NL5GRA+uswOw74Dq5pTDjL3ku2SYAgMq0iQWY+CVfS9JZdHHyfcHEs2Ibddib5
YW16BjrzqSu1tTcEz+44HRAk0/5yGsev4ubO7KNsJUW9T5VsMxXmMzamLfr+jLsjzkVbHWZIo6tY
8NBSchjq/rL1Woay4qVhqfcEIVd+OmDrShQ18kcKRgtaY/eV2nwf+mapNJ0DpSIG0cu2Zl2nFl04
giF9O+YpJVk/bDWNfrGe9t+McDjL3eyCXKYdAVFrL3N925rOkzLcBlm29pp049Kw9uteibYedLpD
mSuPc/xA3WmEMHcjHr3hzh7FKrLJ6rLr4skdwQeaMbGpekYPtnfVjdZ4kitpH3qn0lYj4qAtItHx
OkiD76Hsd4VuDhDI5Zui6NhcCuKdbIxTUB2LSxm4qHjrdKcprN+C1m2r2i+NaNctCVyg6ZJLvSEn
283cczuMu21OI5M9+wz75fshkSG5pGgK5i4Rfu3Sl8adtTeJJPeFRvwXhis3aV9CVfHjLl06JKfR
OteWY66cJ1KayzgrXiwvu6RR+8QulhjPsdX9Rs2exFC8GBn5tyTVa4TPk4qt9gtZ2/eOETxPaf+g
ODGbrEA+6FNaLfSye0yNYR9I41CBT7uwlOyqavo1R7lnbRwGepXahT45fqGnKM4GRM9Zt+qdcmlq
ZL1briIuyL/BiheF7iLX9W6h1g5ygmG4lU3PEZSdO7i8NVHEVzYZqpxlxjfMCJt0oBoVtQHVjZJz
Rr0xrfpKKUAAqhakyq4Tb24WGc8kdKQzS8Zt73Fs1hcGEW6+jG1Ug7FVwFCm/S96fC2B8t1W9GRJ
qi+XXI72mWUp311TwTKTPpqFceMprQGJhmqsawYtmMa6X9gosuOqvosb/goHZ72CVxKtQhAhh8ki
2rOspwTTV3FrDcGam3YxobHgDjJ5RHlZrDUHuROeqzetGQCr69DfSX239mqo7MNsAr/SjTMotSl9
oome6ljstFZTF3qvkxSaip+dZsINAbK1tKEKrZPMQww5xnuK0ymoFMeXEl7imGmPYz4ECyQN360K
AcY0a0ySCANZp0ZMDLxAPl/Vc2B28Z2RSRILzGSjxApWLQekHVH2G1UWw30klTMlSAe/quTGHWkL
mIG5riLzZtDV13EOaRNy+qn24hLxxop30ltYg1TXnZdem0302MCK5fzKjzISPI4h2eaNjAYfYYC6
wUDTLFCzXmBd4ldZFg3E6irUMrIgUguqbmPPhGvQ83o1GQsSBW9yXNtcaevMFD3ox7EIF3E/ROBc
IKk0YW9R2IgzPzWaDKXJ9OZN6Zus1PisJNSCv9Sehqa9DCnkroyxhJ3sEBYnyi2UhSshdCCRNC3L
NL3DK4rvtHB59R0lEwuytYB9KM+2ETZLWYrID0ULmlnoA33AxFzZg0csfWBeakp6QO+LM7gUtp8D
J0yQg66NMGnIyS9JhwP8G4yWttRl3+DUUoptpDuL1CuvFS+5SKN+74jmGkTiOgrowoh+BiOmsW8Z
5lUTc87EQf6U1Yq5i3QFqy8wIQCW2Cjr5E6MyesYi70cjW6RefYjlg7OSW5NcF6ujO4yw7DgG6bz
VHfVXto57ZOq2+hqBxzOcc6aKdC3ah+zK5pqyMMV102o90Vi9+ssDULfgCYAAFphxkDKGgmip4eK
rD+ndls/6oDgAFSoEJuw6o2DejbGuUvQYlfDFk8NAoKRwiQlUYULPIxLIe039NiPrW0PK7dhvZCy
J1bUIKglDG/cDvWF4rRvakBwfg+BW6AfWlLkqYFa4mptB2U14bL2uwFQcG5SrEOeo0XVsB6c8KfW
qle6EfCq2QVM3/qGgzA/1c77+d8BNcnxnmjE6gy+pvR18nK1OGwWBRIiPyCRcKHaA3P6cKNlEr4a
Mzw0p6lZ4El8yByTsIXQujIzTWxkEVardqxusIPdwBGLF41j1MQr5mclPTVTWOOS4mqzjETP6aSr
N5PZPxjOTNkNh4caQ2hiZc4i6rInhWzsRdXBkYsNPvixOp+cdEMfBLZFGB4KGm4bXUGhQhHa9N0s
VBZqiXK/DbaZXopFwBvIBEWGZF9e8OeQ6QaV6ckD9gMCo82u08w4xOSBYuDs3gqTjzQppB+qKXvU
MSBComXqT6vX3GrWYx1QW05e1NnjW2YXgz6tnGnaZq081GZ2IUR7lQgCOxKc93WinfUicX3HTJ/r
hLDQFlVwKXDnkz01vjVectOwOgIdwrBcKA25wwSdW63K7BQOBvkBBX/yMI02YZyRDgoiiLejMH1i
3IQfOIG2jmpimYlqvtDViGTKYshxgrr1pcfpfN8anQLryNBWeWwNG5l3B5fSai6qp8AiiBnb3lMf
VDeBN/7A4X4ZJZgBzEG9o4hzbdWdvuC9H1c5YbSLSk9ImKWeuiqtwlhMlXImsaj+HKR7HhZ0RCSB
3uukgKNs9/wLjsxvdBIwNyJGhdlZZwISNHlK5mudjimA9+bQ27XnDyMsvHlPFeRFeSkTnZT9QG0W
huKdIzvLVgMGWw7JzQ+rt9YY66ttB9MN2GALU6qX0EnYGfAVaImfOxZH3EZZUhJMlrXuhfxPyXWm
Ggc5gZsfUwRDZFQy01rRiF0UnbHotFcn63dxot3bOS+M0KNu12bKC2mgMM+V8Gc3jocqTR9EVvZA
pTSb9Sq4URqIs22QwVBjTj3IuL5MCeP0OXaPWxqd97obJIeBdSEA0rJQgpL5okieAbl35+g+ORFM
FT+nVu4j1avPol6Bdw8WeqFmSnAoHAlnpbZvs05eQSc/qxMA3VaS3+a5eqYNYboqSj4NLr5aNkk+
nA9jFECTbq+cknpumM3f7uAW6yAjINMVcE4ctIxs+TFej51x4wTxM2nF3maYAC8nw/jaICdgYreX
Lq40ZH7aRZoX3ydVPaugyW4GVU/nWf1OKwjeT4r8jQf4TW3H5FyRru3zVyD6UqKLKNFcmqBSdpGX
34ZBiby60sQd/OTgYIZ5v0zLGNwNKnq44Fm7sUqHamimGMs2IP2D2QCeikVabd2eZQ4vVzTh8tQQ
8sLyy26SkpU7DscXWUTkkit4dQKj3tDJu68GPWMhYkM4DeFVkc7wawVIXqxcOLF3ji8VZ/9oECJe
bUYEBmOUwCOeieEcfu4MQxwSNbsLW1tdQ3UBvVs2L5Ps45VbeP0qnNrJb/XWuFJNZUYfsok0spta
7a469hRLjc1qVujhMmv0g9KCYpyK7obUJe+A2jH0ByuwzsyIjqIsI9ePg4BwWKaPKdKw4uTQA00o
hwCMnqgCI1XUtDLeGIl3TqRbQcy/fVkY1VXlqVexqrzmRXCdSNtdqlr8c+w5rsWp+CGmcu+g1+eJ
47dLqzlIT93J2kJpaguWJcqGZ6lXyTPVUi7HoDprPUQJNRkQnpM/dcJWDzjdvzUjOy1exVdnNNKN
5xUstTHu4XQk6zpPonijGOU3p6pvIQRUK3eAQYFT3ddiJFHE8DyGRQ7azDW2WQ8htJjqCwjAZyAY
08XgAo6zM/u1clsm5LAJ1oMun9WyPc8MTgiBcW1ARlpgX9bXli6JP9LrcB3XjnnWlHGxG0lhvixE
MKaLFqL7vgLY7PdTPe3Gtj0XIbhCo3N3n5/9P1Yy/jo7z6YYAmuonLCefDw713lB4z1C1sP7slKG
hxTGmxh3nh79UX3wnwPNmhssRfh9jiNkOBEbbKBmaGasXwpc6pEcv/BmnboWfD7kMNCcmf0qH6+l
N+AfWnU5D+FtcjM7N9IU13a3zLX64fPb9rFe9tfVENpHc4aKJMbQo05wA8MrzjobsRzysYHZ2YjK
619D/FexOWOD/6WhmynR/6Q/z3yA//1/2w5mz/OPE9Ce+e/+Fmza/0CkSKAhaSi28UuW+bdgk8x9
0MTk6lMU+ksJ8E/Bpg60R6WWi+JvroMjdvyXYFNX/4GwbZYYIyHQqci7fyLYNH/5bd7X03Bj4eS2
EVoAB9Jonnx8EVWIr4neu8k+tfRnxSOWx2UbmWtQv1K96pdjgd+op1m5SqvgoMKIGqhIxIG+qttR
WwYxrkzNjTZBXB+SwVt6drYuy+7HWFRrd7SeYFDQ5yyLb05W7pWCg56T7zp+0AJWRLENGm3XDMYl
LNTFECbagg7Bqg/jXRb1F0plX0Sxet33E06glh06+ys/bagT4b876G2L/IqtqSz0rSHugonfOJ0j
z0HjJatlklYqlafsxmnzGO5bfGsoKRvZEeV/HTnbKSyWNGrzmUu5q0tj4/Ajusbcc/b16aysqBst
hEx9UANrxYJj7yKmz4vl1BPr1LbBJs/aH6KJOR5O4lnpOnWRZumKA37ot1583gu599LqstaiOzye
j1BjLnu2QB3VRdJOYciZ2nXsTZAHsvRAOtZdZjhbK7+rWJzCWV2jsLdo0tUwKtcF03rh8Bj4etvM
XBUqW72C5Qq55dJOwp1N+p6dstZ2d2rcUMsA/FHE4ozk+2drDCm91VsrBgpMcw6lvrDCRVtaW7bN
u8yDwxvIdRbl16013Y3yWenrZVMWGwdjg11OhCbl61w1lySO753E2E+ufkmm2X7MG3qRowq6Cfmj
vUYVgeFhOOSW8TrmuE3tlLNe9mR32TaS0y5zeB8o7A7s5FCxAnVy8nE1iQLISnNrymodu+beha6r
TP3jmIqHLva+O3l/g6ADrwOc4sDdsNTsRE0BB8YCbvoRCMpIN6ffFCkNRhxOXTmu23HcIFRe8JEx
iHpX59aVmz+oUb4xQPPJNn+TPSuv22900S8V47tWeetf52Bc4qx1cIfvhsaFPyXLRaVoqygcNomR
XzTZD0HSVpzLvdCaC3Wyzzz2Il2eLULTIyWLBCmSlBYcYDEIkljYmyzMxiR49NliCB7MacuMsUlF
hN0MVOsEXS5MiM56y8RbHkzwCPVNxl5SD8Syk9rWzM23VrE38Asu2rxeZKZYjb96ftJ89vqeMoPF
eJx6pB3jVSLYiqfsQ5jwm95axY3CUym+93361gxsSaLhjFp+uXAFhzHAPAiqz2giCQ3AQMIDcgMf
39oVcVFgqyibEVqUG/atrhaVH8TJXS/BwgyUO8c83LuktEplwICikOBLhDVMBWKfiLELsl1NySkc
lWXlKBw/fgoiiJzYWBq1pMHdYDKgJBsZV5p3Z4LHHsz0lrXq3B76TeiKtScPSqLvyyxbUA+DhBft
1SraShJb4REfigLh7fQKn+cmLF7ysr6qO2p0+oKj1SLVbuvK2pndnSWJ4NcfKZI8m4G7jNvQr8OE
2EqpLqwxI4nop+I8m/1LhYuIRhrfzWVJuhpVjxKxVBRhioTlw2EFxYo2PTgUD6TrrWTqpNBrTciU
Dblv1iHXOWn038mqWnMuc8GFGPrGTPFXRcWe9CzfDHgHLJ6484P6MseoMNy2xJcbUQg3XBL9F0tC
4Yr+XFjRtalSO0CueEWidbTovXBX1c690WG6B5TNKVDT75WBDZ1eVdu6DDeNbYEVCPbRBAMwmKt6
uTn1Z6Klws22/lpN3ZshdjfhmNzFpXau64qzMGNXWXakuHoymOg/EL5V9dMtiQbzhYFitEFYlUb6
3IfyMjACGx1u3+912SA6sCiwevVwNXWhumR38Sz5v5vr19QjqBZj7fSR715Yo7FqVHuLkpb6q/T6
BVBgP7QHNGIOn6iYniPgRrk2fcNODjfSRe7bZEykaoaXyW2N2f81d2vHfsE+mhznaWKDPioPhtq9
oQZ7EbF8i2I0EGqahASeDnsCvWA8yA4yE6qAtYqDy0f1Y/3Vk/rv7mdurn2y+/kW/w+vxUlaAX/4
7+0PKd+zZQGFhoU25N9+Fdi5SI5JW5232LiL/+VXYfuDEJP+Px10WopYSj9sf6gJE/3PvsVGbGv/
yfYHiRLbm6PtD/kW5KprZLCiYpr36e/6cZxoWUq6LNvLZrzuci/cGFXKLmTMZ/50ehWZIlqpCQ4/
RUuGJSfofdUlcpFV5EUXRXGRNxHFtElvfKWnS1LTUX4M00xfWc2Yk8VIrBB7nB+5gCIr6WquI8Uh
jU4x4eVgyB2piyw7O4vmryP1BwfGDx38M0wz2ordzluuWldaZ710XokTUNJ+wFr22iQxLt40qzf0
FfZxOte1KvFCFQ5KkQyeC3R+ZKsVgOdT5YctZbMOrenKDoMbqqJ0E2Url2ZctRcYABXON7rBwdI2
l2Vq1jun1n/EXn9tOmm3VTzqh7rHrszTphUkctThCJfWsqLvBuregVFr3PZJtXXFFC+skhOvE5DZ
0zX2q0MqnZvFzHO181ahzwRzNrcYoZZlet4uWpNFwaAhXYo11Z9pkeKBWdvtDAb2WMhmghuR9Kzz
es4EC2yom5yndnDOY4sGR25auyptLuRYH7Sc3gGwHYyI2pLcXf5LsBys8Za8qmiBnWqdyvxnaLPc
uvH0VkPxDkRzaxvZvaEVZ1oJc30MH6lIP6tjWayUKv8eGNN+iNhSGJnVbkxvctCtRRPlRcotUtpX
tAehNgXiPrTMYuV5LK2Qna/G2HSv04Yi/NDhSVIyN1nGZb83pKedWSrVcG0Yy2XT1m/jQCM2mVcK
Uh/KhVIYflKr6TIMzH2EznoxRIlY1jSvRc3GuyXAfKUAjFjEUfs6opdZZexz2YGV/SvxPVhO1ZIG
aV5TfapV7JU1ZHCKGWjfmoLqg5fdRW71PRPeZT6qmh9J84Ly8yW8ogzZRnngpbAP6TDAietdxPLx
tLEUoIaGtB5rIdkb2DHg4chmaq6rJSKpws+blrQh2f7sTeW1KYDNmo2yCB3lwqjTM7Osr1vPrdcE
XbJpp8kRx/dU+x80lHZGoK1Suz9vyuFbK5KrtkoBE5nGVae72cbLPdVvHC7QGKny542p+h3gZRbp
bq/l3d7tTAdiUpWtB8JR01G+jU0WgK5j36cLMt3UtEpwzfwfe2e2HDeyc+sn4g7Ow7msUaIkS7Il
W9YNw1Nznmc+/f/Ru7tdleIuhrtvT0RfdITCRAGJRCITwFqBSRUMEjBLeZQ8r9pbgfSV/P9Fm+tP
0WD8yKZ6PLZwZ/H8Gb0alfTdKaZvY2J87OkoPkwl8GZMKH+D/HNrFfVN3nT7Wpafqlp5iUylPA4D
JFIeFb8b1ODlRrLjXW42H2K7p2ym9/5+GgPzKgcOcJeXXfgwpHXicstLt02afAFIu7yKB8O5KtjJ
e5D8Yg5Qy/kc69FTrEgzjaZ8y5Op/D7vAWFtLSneKim1qKRqtE1QRs1Oou1zYwGNtymqODokknzd
JoDvVW3yOs3lKVnPuTq1dnnTydqzVzBh7tE30I4+xfoK/qeSlytQRWGUl1LYuKkN7oZR+kJjJXbv
ZU7TTHWZenLo5xs+q2V200HUSTPBB9+J3TruRyjIokPGzYwnxl2b6M0uDJme13uLRBOe0z2R+BiS
Qzv5cJR8BofNwXnXxexmqmvHnoQ8rnhxTivSZpOs3bLCj6rZ//BrRn3qDC/AfWhil+faF9cD6M37
DXfCb35bfGBmyLoOAXXb6WmZ7wYuIJFDIXMM4Enw4WHcB0XVbwqj77fcbNkj9ghBONeftnH+GAIs
r89XpDRP7+2u+WwpzU2VMpE0OvEVda/31MtvJ56e95UCkJQcvFfC5kvTZ+UhmO9xOiBCu1LiOXPg
Zsytg7wV8qnuXSCBvp5wXWTkYbrpVbByGbhzgDI3v+vzHfT/P8hw6EM1wOvWpZTkf/Enzf/ur4zE
+M+cPljm/OLBSyK5yl8PMvp/wDbUePYDNo+bP28hfz3IaHAlq3RpMXRA6zitR78yEvU/TADaTIdx
l5w7rPTfyUjmfOM0H2HURWVA14I/hBEKMqfzfCQ1fCdhEj5xeX5my02dT2H53i4YbujWRkTmp51L
subc6CT3adTIhi3WSdzkibZk1YAddmsfTuxPMXn08+x/D5WS81FQRyVVxS6WDI76uQxLa/Tca7LG
lQ3/mhm5fRT9sSJBPVPjrQghhctMtU9KDwLXfLqqsoxjXLK3SRPpW0o4x8Gh8tnrXUXFCkJcxQFZ
tsuuI43aE83pAblPcNMPcU+BmgpBOQ1/QIR8gGF+X5sDaMrg/IYOiBR5nd3SfLLrmuZA9fAaGtgb
U89vqtHq4Xgb7/1y2mm+Tumkzd57ufOxa/1jnBh3dU9KVNfSVVmmD1ZM1T1K9xG50GVDnA+MvLWD
0NVaBJ05jjV2AM7mGopqcLr1H1Fggs/7QQJjb6WXTTl3n//KM9mUPF8C/MKswfnSZp2sUoVkaWtg
JTa1Z971KCyhOB2xN/4Q73BZqj2YZfKm+wyskc2YZDcJhoub6sYAfrrAqCrQFI9Q3q7hr56n9m9/
n/CyKSlgF+u8EXLvHq7Z75sG6DoosK4um31NDJHhdBfNk4aa7rdQnMff6f7ROWiSalgztviIP++j
E2PrQq/tAOEPnJwoE730ub/j6ax7rp6lz6rzOTmu8Xr8nMP9FRn+NJ1Gh6JCmQV8PEGnRAmqMrXQ
aU6jYzj+4oDOpSnVyl06toew769gU6dTpQFpUh2/xJl1vGxVZWlX08/8108QpwxNUAS0tuQnNPMu
nNiOTZMfKrbnBI81k7c07mRNfhXxW3jjzqAsVaNrpzaDlV9yHpHf2MIQyieENpjSm6pxixnuJK7v
85dMBRm9DVfGVhcd6UTj2SIn4XgsJL+WOwQBKrBrpFvSXWx92azznnyzsGA0QNxL76ljC+EYzPm4
UJWycVtGYL1h2EBlMRVHdbj1spV9sWi3E1FCWPZj1detClH11O4cqF2Tehv0zq30/bJKizvjRI4Q
hnzFbw0Nxhk3vEuOa53gQo/7n6t/8nUhiNCf7YWjXKBFelN5kKeYd4lZAKrf/EhUSBhMuiIVQ9uW
yopa84cvrZSwBSHcjdJidjtaXeytnqX07qrqduqUH7ylJVCC+/cJPaUrgWbFmiL6Zt32UspFhkPE
fGCKKoPT4vJyLW1sx3EADtZ4+FE0EQBODWywu6hRu7Dh9saHcnjypOAeAPtt1NcfmX9akTdHRsGQ
p/JEgLdfK0hjlKq7Y35MLYcXCmDKne4ADu6M3HCr6PnKVluwJHKhQGSX8VYhjilMeeYF9BRxLqT9
loYcXgN2l1VbkyD45uTZodU7NSHyNlWuJOu3pnFm1zfsecQJ5AlFVkmHz+NRn9ehCvVC7rZQCkv+
Y0KXwjy6JjnKCnrcW0XOJc1/P4l8WpIrMNAiqSI3uonklVr726DH5y1Gw9CIAqw4DJknMSQkipG7
uRV/mirr3pObG5Dsv01jcW0ma9Noi9qciBPiuDpKOiQaVu4Svjd9neyt8OvlhV84n881EpYm1tTE
SFQ7dyfrMZb0vZ1IGzN8twnLbg/bc0UBw17Dfn97PM0yQYYCIwhwH7FjQQ3VsHAqDZlBtK2GH4b3
VTHGlcN2Iak8kyLOFLVhEGqVLeeurA6UqYy4eaki5VPUDN0ujWs62PogvR+U0AFE1IrdYpA/pD1/
lHoQCXi+eWlpsdSN9E6Kh4dKN5+NJF37kbN5z0PK+Y8UUoKUPlpLcjAFQP5y9dH33pnRdQefpJ9u
eReAj/7BkF+5TV1e9mU//nsFLMGxJFBufR+wXrdKaPqOp4fE62ler6i1vlftp8vC5vPlko6Ci7VD
ynQ2hUgausdNPDyH9ccuq7e1flCa7FgZOYDp/QpV4oqLzXBZp3GgqfSsNAeFjQqdyJNlf3LklaC8
JkHIf5Q+yoquwr0Um87i4WC11TZcm/17m/ngHrYKyAlIHBZH3bkaQ2V1YEiEdDQ3vKs5XZm5TABS
+6NX0LXVVPknfgE00AyqwzCZJS6V1mpJl2eFS6NHTlHCdCNd/+S03U02WOkmL+m5u+wcb5OTWcNf
EoWFqge759kXieQf/f346fLXF/2cLi/jJ3bTm/arZHQShSe1wlVKRsh6wBV/D4Pjz6Ptl4SfWd/J
gZNb0EwVLRK0HFpzqpUVLQkrq7J4DJzIEIIES+DrJAGFW2ic0HF7a5BHrqzDojufyBAiQkjmUtFA
Xrj+IO8Gbp5la7wfszVkG4Hq7L/2oiwxAziDDsSQxLlHBznlPZuOHnfoqVokdnqcpDQ75H5GawP1
88hsips44cyxYhMU2zz8lgXZnQc6dtgryZ420evJoVMzCU360BsotI008DZqOrQ3ji0dQU0Eusm2
eZxOXmIrUZi6yOnet3MwUopKZ5QvHY++lb1U1vQQ0de8qX0purPD/D1QEV1eHxV6D7g4/b4rniou
OHospTEceRi4Mbv3k9Mp+7yT74a8f808eV/Y8W/fAUHHOjG0EDpazW/GTJsNbX0b2ulnvqUxvXNZ
K232CzG4n4oR7mb1lHZlmAXssDF1GH2qFKZqYlLyOVQAm0oBIU4+gsi894Kx3wxa875E1xydG2N8
VXrmPpQJDNQk2GmZcqWUNE/ZJqNRI1N9uTpdU4V6Khl32nr2+FVOeCeoffNRT+R7vVez/cB8I0iB
hzoOmo1HKev6soZLIQRwDYqtZCw2SGPnDpvqKe1Z5bzBi+DGDKjXGtdWmh4LIFZ9c/9PhDEpTOgF
bkocW+ckrsxpzFk0w9la5heLCmdPLc9ZW7elM5n6p0qjnuGABTZrfRK2JkvL/BTWAlcf82+E5w91
Ujz2VfbF6ILXxOwfjGK6aUN/DdZnKdyfyhUuGtwyw8RiKMeVmcJrKOa+tl/LT9ZTEK1st59AS6Jj
mj/r+vPNkHT9XEPNCdsB/pLSLYzxwZGiV0pRXyQbwP2yHK/S0AECt5gxex0jPPZ9TNmSGampa97n
XvFSBdCuyzq9ZKE9bNTm3QRxYpDVR60a9/HkMc4neRvGHfe+ZtG+rd16DKPx3L5nLJdJpfZmZBKS
4W930v07uZP97TTPHWLVyx7zE2Hgkp5CXCmY9GgHcyhdgIZhh6TJDihE7XOt6Lze6sxpA9v1fjCU
d05UX9VaSLk98qmbR4rrOd6HKEvSvULuMsX0aVKW/DB66ec6DWTOMabSRk++GxuTL9NQb8Oad90a
Bu2G2JCJqTXU/Z/8sW+0UZhrBiULWAVxtyk97aLwu5VuUNvaTqFerQ501tsGWCQDP8zjB4JerM54
y9syNG6daryqrCcfNF4Iur6ZciY9jqZ9HanyVu7im8ikEemyyWeLXvqNwlEJ3UEWM91SuhntY1XG
5M64cuAv7hIFjg9QQX5yCJ/7ru0XoaSN7BJldhwZD2qg8POD7ijH6ksaqO99SdZW1FrKAEj5QPmh
UcbRRIqAhFETXS/D0n2Vk4e83efqSnDTFg13IkEw3NAocTR6QelaHhOQOi/8ti0f+iD8FtI6urEh
kNiZcUxHrOowGkgTXOuY0jHqSps5KX8jpdIexO1t4ZVPXjPRvGBuoc8Efvqj33jfQo3pobh2Dm1u
MvesStcRteudmYI/3TOWNMo+7Qwmc2OpJX81giI8BJF/FSb9iiUXg+uJnkLoscw+jqrMJ/QEFNsY
ot1U2QiVIIPAo78Ns7mdsRzuZK25+geeeSJYiAVpM/CME7OE9/t/+WUhm8i0Ng9VCJDcHSNrK96+
6BZUKGGTpkcLHvhzby+kCXwEkM0pVPI83z+b9e6yWRY9+5cA8d2uoAUFRsOkdJnJ2QNldz1oznXm
yCtiVvQQmQtkuW5TWm8hwCrfpeoO8szLaqx9X9g+fgd+emykwBQEn0rnyvJXMp3F74MqMU8EKCqY
gsI66EarV1NVuk6VXsFPCZvpl8saLF1nabT7W8L8C06yjjFUKjMBNd419D+qNv1Rt5Qzw+bOWeMK
WBMkuKs6OkZQRQgKH8vhsb2ml0saVt4CF72KkV3KljNir3iTGfM8NpW64sbUvtJ9souAuy2LlX23
lH1yDv4tRLAYUyAaZ1PN9bj+CMzMxrlxPubBmucuS7EtcGpsjclPIcf1ClWu/KYrXLq3P0zVpzC+
8bg4dWvLsuhhJJt/yRE8mMaoqIarqnCnG8jJP112rjUlBPeFL8BU9ZKPO4fwZj8cy8O/+76wFDHU
wbESMV1egqLBqcFcCcPt39bErNno3HUv/+TFg+jE3sLlzOmqrIaroHAN/91Y/KgezEzejMEx+3FZ
zvJW+LWu89Kc7Ou8qytFUhvutuFOGjfF68ouWPw+9VuuszJoQGKt0ZBocov1vqBHb2e1D5N6E1bH
yyosmv1EhGAqIFyCbJjwnqq3vtel8cQBvpIWLDroiQjBSnGfxzQiDgVBqWdwfCiOTfcUlS/SGh3L
4qM+xXYD1i8L+DPx7uPZaRACbli4SdFBUj5Wn4raZvS6N777KbA5Us8MxuhrT3He53tHg6zbfLps
z5/h702WPKOaUh1WTUvM5B2PB800Z82stN8Exh8qo/nOtWEys/KZofzL0hYd5ESYEFj8RPabhOYY
d+wYcvfzLa9xBwkc18tiFo8VIKfBpALsTRav5yNozE6cjdi1crXoQCesn99xEbgsZdEVf0l5UzjV
Mq4Y9sQj7GBeJQbwG326+3cihIBfq3EytBKKMJDdPwFTcvnziw5ogf4KHaIsg60muHrQ+YktyV7h
Um2xt01FqyjJbuQUT51XHsswvO+rfJ8nXI/xiyr01sAGl/ba6Q+wzyOSqhaWOin8gHGGYWCMRJ6H
9OODw5O5Hmkr5hRGH//7qnkqTkhhlWlKi2TecHHEBE4aN9pT1xi3ujq6baTuBybfYLkvQRkp6OkB
XWPjFVJ05HkfTs/Ify7S4Vbuh6NfRM9Jb7xYXX+n5sBuRxVkPHEEJoR6FUWQwhfc3YPSGWe2nE+F
Ht9UTGlvbG2lfrLk6ScKmUKTUAk2SlKCYOKGHTNB0pBf1VxhpEpl3r0uj5fdZWn3AvbGFKpCjNfF
qqqeRb1Vm1ivnnUpUcpMJEBfp2KlOrwsyFKhp4HchD6oc68IEyeG1EjhCB+YPg2xIJQg46ZW1jp9
FgXxike53gDvUswN68TjOSWmx8pScyBdzJC37oFHSq9aZduZt6oYZ+cHw79EzdHk5OzV+7CJM4C8
uGwO5Y7ZemYaSkBrkVTPIkejePHDcvzYFsnnLGRQL/dX0bp/NpNe+hWzQU5+RSjB5TLyUuoq7afc
t3dDQeu9Fxq7Kqg+DVVFP6PdbnhndblEPtea9r6I5Aen6/eQaXy47E6Le58CPe+nNL+CB3f+WzJm
vWzPo5mhNLdG/KSNdKQzzThCnrSGIbi4zjTszsU5m+ZUIY4WYIKARIraRsIDog70yLuhzT5f1mdN
iHC4AYEA9buGEM2O8VovdBlLO0S9Uq6coksHDzWZv7URMuisYoyjnrWpqGKp9uMUrmz0hY4dYyYV
+luC4KygLfmm9XNpWP0GL5jwBtJ2N9dtcOuoGm076DlAIzI+J4miHxkX8N2+0rp/oCrEDpCtgIfO
7hECNrhaTSTZ9ATCibfRD5cXbMmOJx8X3xt8Wg1qqeDjmh7vyoyZbsAL/50IwfEUydZrJ0MEE9ug
lThrJEFL8f9UBcHnorYFO2f+vl8xslQeNTTQgnFjtGuEIUveDWoBaNtEMNUW27qjUWGYtaBNbKIh
ujqOEmjpwYq1lrX5JWP++0l0Sg1v7AjEtLwCCbjPyvJrYpV/OKoHcOXICO3ltVmURn8/ZRODSrol
5B5+LGdg1KFREMTDzpCbP2TvY2UlzU0ZrMW6xcDLFOPfwgRHlhnIiwAfQtgwvgPP6Suh76mQFfCc
Gf0eGwBsevka1MV8O3kfnax7LKIMgCwQ1Y9aEF3/K9VtIW3IeiCS7ZAIEpvJ+97RjnJKa56a3+sg
Rl0WNSsmnjgniotvFoFvGFAndPiNVYdw3RkfLElhEh+FZ80VSaaCXNx2xRq3weLNBox62WDuAwYq
8XDX+nZMzZz1HdAsp+bpRQDflNkefp8XEjYGnwdgcgJwHiHced9YjbXNw+YmkJLvBiPEa969GFWZ
JXGAZQGKEBKLc/f2QGExyaexeiH3H6TOfAiK+HZM9pFPn53jHMs8mclPdpMGIqaSU5TlObdaCalL
bg8UNpXSmS7GEpv8wK2QecilSzEtjt1762P9EK1cjNYkCKdH7FGChdSSgx2YOyD9QFbb0Hh82a+W
4tGpGoIx9SlSm6lDiJLc9vYuACK3XklDl65HDrjTcLBR4GFeVDho6UtyAOrCVE6huYljvfbKQKIC
Su0mTPJmMxoBI/y6eui0od8BrhbObKcre3XJj89+hWBOfUqTPm7x44IyH+2MCTAXh7GKGT3bkybe
9oy3J2q53/+2gc/ECgb2kjFsgABu3OS6nrbFU2qvvBatmlcI9xNgpe1oYV4wF7hhFsdW2X3skx3D
v1P6/rI2i1YkjwDbWwV5++cM2OnZojKWlIBhX7u5UX829HzcOH17q0REAVs9egB2BXIP8XRVbG2n
eRcojDmbI/gDVlStrOiC684TFn/9lDcdj0Wm+Y7R1O6U1kcem+7yODlKK5twTYiQeUhdZWkFK+ha
jnWvomantFtDXyPT/om+LcT3M2XU86AWdE4a60Vbk1pX5bY0/FeGRfNdYs09ClO2Gar2XS1HziYN
8/3UUZKXqvCPGITcbZvXr6FcmNvW6YsDDYbaQ2R30tHpO2rGiXOwBvVH5BO7E3WAya1LvZ3cTvoG
zAcFPg2ORZNZo3vd9+2Htg2jrewA+OL46ni0J+264hgH3Q9saiWPvis8X1yHBHtgj96Zqj/t1TnC
ynOsBRDpOeqGd3n1UNZA+fXzVu7nTd2yu+UeSNLqZmppTovmfW/Rir+poja7M6Jm7/hxs8+8/jFP
i+wgycWTX2hfsoIRz9Gsvmpp+UfkmFeAXXS7KdAZiNe18tA30NQPenRtVYQUi/nWsGaW21G4/yhK
Yu3qpsv3Sq698/HLamgOgb3CMLG4AUGqApOMjhkOBOEGZpRpzpWVLqBKGh8DqWj2OvoAhB/vy6CW
j04JqoyVxPEm0wI6vczgDs6NlZ256KgnP0JIwzwwu0EZCkn66vDYdvVMbYLRPlze/4tSQH1QaM6k
di6isHeB0XkV56xbFZ/7+Lp+raRo5WBdFgE1JH1Wysx3eb4TOFZlo2gCHhPypxwoSKWotqa+v6zH
Qjo1j4v+LUQ4DCLmizUrwFpt9KGa3nXTQQe9D9QcsA1DWuSSFaUWLulk+3Rk0uyh839CGAn9QFZ7
Q6ldsKaTB7/6bod3tm4Cf7u7rNii9U4ECXEkdYKpH/WpdpVwPxjX2rCZhpXzfCEvOdNFWKCiAMdT
KeTajdvwUHThp1pNn6WoJgcfN5e1mZfhTVQ80UZYJtUMAFaO0GaKb9Ueeq2Hy99fthZwcPPGIb+d
3eTkpmTYaW31wFy41s0A6GStHqqkWFmR5aX/W4Y4jweqRzbZPjKGadw0M58JfOkTTRLdHQH+sj4L
U1c8y1AC+VMhcebOpy1AhsaxdlXpY0VbSI4DqNkm6PeatJJ3rNjOEDyt7/qBCU4VvSQmeA/dozE+
X9ZmDllvVp9hco13C1mlLHy+OqavWlZW2bWbxiCJSLm2l3t9TzcwoLl1DSxHSy8SO/ay1EWfO5Eq
+JymTmFFf3Dt2loI3sLWieIVyy0FH0IoaJymQy1dpPIMGIssxzqv3d7+MGg6A0jNdtK15zqPr/0B
nCzN25awvF/Wa/GYOhUrODuknxKQKIj19227i1+tT/Xj1GyzzwAHOtJHe61xbClO/JJnycLtuPDb
MC5+qrltrpLNfu3VeWljnX5fiKnWWHe5T/LjVh4txsAtba050YyrDh6P/kMBfvllCy55/KlAweO9
dHDAY0TgUDxlabOFtqcz1prhLjsHA9/nTu/wYJ8ofUEAt6VyA4Ht19yUj1kFFE+TJSNDCeVn6iTX
etSGK9F2UT9tpg/liRAyCcGgDe1nlhNmtZvQ/Vm2760+OK6/gC26xYkUwYoZaXDCY1vtmu19DRQL
oFE6yC7W98uLtWjHEzGCHT3Vio0Stgg3TpT3Q+x/hQ/6KS3Nx1GVb7qx/loa82jh6uvE7NVi0NJO
5Arho0h0XfPHpHab/LE2DlATPA2ReaPa/nXc/dzYIBrmKlRToRyuHGeL4f9U+LzCJ+dZEuRd1NSz
bUv1hpGgR3+wX1XAMCkIHrTwUe4AouriZ0YYnX+yOU70Fm6hwySFBqCJtVvW4Ehke69soDPxVlx0
KTifKiik2gWMpZojI6V9jiG2WNFhzTWFHDprTEv25w1uAFsIg80HRx2uu1LdxHTyrWiydLhxTqv6
zNz2FioZvqnK6ahxukoVHFrP2NIYus84rqv6wRqVx1RZcY7F3f1L4E/fOfENPR0NYLvi2uVJbSNB
lROkH+T05fKuW4zJJ0KEEJJqUcXLGN4/Ba9wN27jstt19btpCsFXd3aXhS06gwEilQoaDdgygjPo
UlB4Y+VUbjjBLqL6G1KJFRHLh+aJDMElIkmzo8K2KhdAte9Jm2+8lIo08iTnS2u/Mzpn57XObuyT
Wzgv/tEReiJdOLI9ScohUvOAYbT6Gzgr9onf7Yo+u3KKj5dtuewdf9tSfMrWVOCoON8q13ByrvQj
jxx+sDWncq0tek2Q4CFmGBZTkPi12xnqFXzyR12rrppQP17WZzkUAlek8GoOG514U61kvUvlJJjj
sF8+BE5/XcxBtzIJv2MSvSiVcU8n18HOTWNf92vH+GIoOREvhMOgnN8abalyFS2gLFt9i0vI0ZQW
LDPnT8yqb8P/83/kD/89XE6hgpZCCc8O89Qf04WyeG6XRmzaARD0vB3RCbTpP9ZfBvMl/HTZoksa
nUoRzu1WnrIEmLvG7V6c+/GjvE+dlTVT50+IZ+epCOHMjkZJcoYQEXBk7quDdNO62YsJnPTr9ALy
kLrxIG15COvNawkpVDBdmR8u6/g2aQAqZh5GcphANd9U56rEKdWuVas5A/o82PDKKpX9NHa5G8l6
sYtb46oAFTa216osP0vn56qfSxb8RQtT0x8dpWJYIDt0PCWQ7RWfag8oYh6SBjb9cJUaEbDaXv40
WmEISGFqbpLaDDeTBaalGQYPrexfxU0qbVt1eOdZpktzzRb08aswAmDysqne7mN+MHT2wLPPdMxi
+7Qd+3bPUGLltlr+Q82rbVxD2QQc9/6ynIWNfC5oPgVOzq2xdMC5LYjAttRtnbHcGc3wIyUSD7r+
XS2irZH4myR4rNceot4eL+eCZwucCu5DC2ByvXJLXebpQYP6Ym0wfc2IwqordjtocohuaQlOcgou
YRPulUBb2VjLYkCRtTgogWoVjpGp8sq6kXBr2zSv0jz6zNjRo9y2K9OR/2Op/pYjvsjHdt3DkYMT
R0V27IqRos4P0/8hQegGduTO7iBizIqdYq1BLLyNTfNS/RIsHiolKJ4BlJCu18ovCQ6f4vi5Ph18
by1IrdhSxBJg/iwEcxUd50tSGNH+1n+w6Xq67PWLvkeXPc2kUAu8eQSNGgW6sain7zIffvRF/jJV
v50OYrITCcK2UqqmCMochOegeSlw7uhH1/927eRchLCBMivUk7gdyF5CJd95Q/JNhkKUDGpt+Rfm
6M4lCfvIdCCh7BuUyY38uYdu8FFJPFIYKxtdH9SFtLXdjpiYzMGRIbMrM5bu5TlsGo0GW0vGI4zX
QVfSeJuqb38AfAIgfSpfXV7VRTc9sbl1HlFobPL6oWnY7mb+0Piwi47KlRVEX2tJXRG15KZc5HXV
tlT1LZRCPlSqVDYl+Vxa+9dUxt6pVvqgmam2ImhJp1NBguljEJCbsS84uOJ6LlddRx9pJtiorbwy
+rmmkWA84EdRqatwWO/esTfSdA/s6uX1WRMxJ1onEX+SLFpZh7pyB93cNCG9OaG5gaxnRcxSlnFq
MiEch5lm5V6WVe4YgQXsT8r9YOvP3YucAXzbKN+gXRr2evzlnygH47puOqZJknOuHPQZtRolKfbL
LdnVleneDFXezHQwCC9Lms0k5jJgff4tSQgtU2zS0OYHlatGwVPF5K0PgGE9dtXtFNj9IdNKQOcU
MAUvi11evV9i57+frJ6lWUnEKCmrp/npFS9mX+ogrW5zYGsvC1pYP1CdZqB1Sn6MdwuWzLRmgsTU
yeiZ6Jh4LKTrTBkOlfpN7dXrVo7e54b/w6f3/7LYhTMBscZMRz0TUotpfljR55Tmfu56Pf0KIRPX
cMdKvz8ZQmvaiRT13Iq6BCCokgW5m4Tp1czHBjfk42VFFhbqTIRgP733QkhbEREP++Z+UseNFK0N
hawZS/BBKYBaTFcwllTdjVNzMOVpJalaeBo4t5Tgb3A6SG0lo0ZUa4ChxObRd2C0TO3iucnqVykK
4g0MYzOjYHcTDIrbJsraFPOymjyZ0oYEioKY2Ule5gPfbWVuMo7XUsfVIc++/v5q/aRbNxhIwt2F
3MqOWatQUjKe2eU7b2puiu450FZSxyU9ToUIXge7Ri0lIUK6OCEBHrdZmq+IWPI6E+A8WH0snjdF
U/mVkcECN4uAkCgPo2PfBNdN9vvYcsTWeYsykQQCnPgoNdT5wKzJkLmmtZekjfF0eTUWjls+TxKv
woAlvynAy/pgZIbVZlDDVhtpBJkcpCSJ7rZY/3FZ0s/GcSGMn4kSTnYj9XuqK10GU9GxsI9Ss9ds
EIWuxvw2UY6atqs55vmPRrtsB7FqZ2/Ta+VPjpD/+bixtGynCovHvh4klWE2mVsXt8pVrW4ta39Z
0SXfO5UgnPpm04WGpNWZm05baLGnlc/PP/CSGYXTfmT23cszFJjUjRm8TAXs3ju7vtPMw7/SQyw0
eyqzK5GMIN+ExeuYlc+Xv7+yEmJtuZR5TwuBpHaVK6c81jY0QSsn+IqpxJJyGALs0c4SoPi9ph1v
cna0K1drffkL+cmpY4t1ZRnee7r22UPeH1Zx791n9g5Wx8vGWlNldrqTZETTu6iPfGRMO2hX4wl2
FFfuHxrr969xMwWLqdo2LKFvLoq+AgFXkPaZ2/8Bn7ymbFXveFmTxe1xIkHQJKlys5oKwkBR7OtP
q8nUYkA7+fzsdSeG8pLK0itaQV3nG+xyWbYxd2pxfVmFhZZhgvKJECGUTSkTjlKGDm2/L5R3Mswd
X3Tz6IxHOVzZhYvOdSJqdowTffQopYXaRlQ9uXa/d9z2O6ViZst/fwr5XCchbAEq0kMXiKBJqilS
ebuU5t0ol1aWf+lR58x2QvwCMjEIPAM56rAr9Zs++1JrULFBKP5FVTfhU/JyebEWd84vA6ryuQEH
O21pAMMhohweeANamlQ/aPp418FR21ZrDdBr4oT0pmyoxHkR4upsD79vgV6w2Y7BJl1xjIV9BGGk
zquyOSfvYsM4ROV6bDOizq1oUx3V327K4kZ58nVhlzpxUnulXhD85dcA/Lf8JvSOa8DwC3v1TIiw
V9sJqha5QoW2gJN670OaAk/j1eX1X9hAZ0KEvWoo5hgkAMq4AeOz/j4FeelZjfa+vzdhb7ksa2Ge
5Nxswm5V5TQwUoDAXJ2iSVfvC33fOw+m0W52rdxvrPZ7pRxL+2rV7RYO0zMthd1b0tqv5BVJx50M
u3sJGurusmpr7iZsW6k0OqMb0Kze5I/V6+WPL2yak1+viq09eRlAfZqUmWvcQsvYyA+ptrWlu+b5
spjL/qaKVw/dlCxYuxGjvcBTpD+awwGe98syLrsbKft5uLHpBPUzBzsp3k0+wBv9EKWbur3pfLde
q/kvL7rNLITJnBSsaeey0irJvVAlv8n8fQnqYnjQ1soly+r8EiGowxkAqI2BCIu60Dv9M8/tZr6V
QI5afe1f9rBfooRrvGSHngEMBh42biBC3/WvqbPtnGslfj7kt01I5yEbJz7m9UqauIB1PO/aX5KF
YNeFapWGLZLbV3gyKv3Wsb+WMGk8wu5+HMCeowPlS0LvuTQcL3vLwvzDuWghBBpyaPSDw761mN9O
v8nGrhxo3fgR6s+FdvD0L31xZa1JXfMbISQOdtAxa4a+SbZJZtK5/Vq31JoEIQ4C/5fG9N9zfFif
ws0wwY53WLHc7NzCPehs0YSIV8iFCtETGTHYfdo+f71O3No7tmvOseaVQtxrpUqqmevFVu0+/l4q
K+FiOfL97Xpiictq4Z2XJQzlvIvtfehOzzNLy+8n9aemsoQ4AUFpAm0fQrSrYDte/34zOj4MJu0M
PmDTeyT4MGWfzJKmDF7VXgFxUIuu7Sz7YKaw41a2HxxDtXi8vPiL7nUiUXBgjTk2CjIJuY/8aFYb
3f5y+fuLi07jlw6ysgrWwXkouvytxUPn5FtCcHF8J02KNuS3Jnvpym/sTQ/XbbdikbVfLKxBQWPw
FChO6k6UEks93/lpubusyJoIweilUespiGO8a0TX07jV1qpua98XYkaVA2mpeXzf/5IEx2KNRWHx
JDtZByFeMLyjl34aZVyb9Whn2cnXPjIhpBssumKnnVMFd9kAE+a/M5oQPiDvrlVH9lKmXe27MQmg
yfn6rySInVahKreURfGvuH3fjJsqvr78/UX/ZTwHgAZ4YKGXOk8yQoisEm0sU9gG/esRksaRhvk+
NA70m366LGrpiVCTT2TNLnJy2ZVb2CdMvUrdaJD7vdkX0p0nW/tED27jyiyOZp+pmyLsGX+KGcmW
wuYhqSH60sLpbioAnS6AuFL0KXunAmKJDxkre2Ax8Jz8QGGb1ZWp6WnapW4h/R9pX7ZcN45s+ysd
9XzZl+DMiNP9wGEP1Dxa8gvDsmVO4EwQIL7+LLq77S2asXmqOqpeHJKQBJBIAImVa6XPDrhdemL5
g6JuBOz1MQfIDHXAMzvJwmssCjLaUslgpnPrO7WRJi5HhhmNSt9AbRyQwfMDv96tn/aWlAtGXXSD
VlQYd+fJfkI2tqMbFuYv/m23horwv3u0ZHcspkbmgJmXUcWIZ98YNOBGoL5ABdCz/zxMAE70y5T2
0YlsoozT1KAzAwpljjV0QGnbOaDsHczw/LCtRSxseiBIhoLO7+QLRqPwRg5WGbnQWRsMZOS2+P3X
Mk2oWvtlYhF0Uw0CWxM3yoiZLyYOpCytfXPSvqjJS1wgEQRSVwhysjsIhks/oe5lSuyn871cC5yn
n7CIyy7q9soxtcuIcySCzcdCfqofi0cp8Rqx5SaErLniqbVFmB4sDnWvCdZEhQoq1CZdO7RtvVbw
DDeP6d5h0G9W3OxOyUQXUInnilms67oYlQjYS2XXQgd630xjvos1AjimeuNY+UOp1NclSpl82k0v
iHTvmSb9US8DFMYQzzQHnwmI5SrFY9w1pte6kAzGo999EidT2MZODiLx5KZVmou0gtTvoKDStdLy
r5XQLJA727qvlZgaCAU/06x5sc34hrfJG5P8KxRiVL+ZMudGBVjwyejV57i6tNIDSAfoQ1GMImQu
dIlyDpSeq7bvoxjCJK7A5qoiX9HxQCsy1XMcehjUNiwz8dLWTYgKXSiaTlCgwzhB+PWd0SpHtYr6
RKzyMW3orSjMB9TiH/TJvnQcwES1jF/XDipnc3nVtvbBiZWwgsY7kvyQxJ7SUDHSwGysFhhk0M93
Id4UEghPpVAunsm+S5CcZ9et0yBfx5XArlzLK9sMtHQCRKRuawJNWLCgxUhBvepzMbWTz1ot9pzc
eOlqZnlknA7cMF9tp4XZ2rjRnOkzj4eX8y675USL+KnpRWnEBlZNZgBJqJYgeBnSO4aHuvN21gOA
DaAYdkfyG2gxlVZKCR4yIjjszjDHoKW78xbWdoL5gfE/FhY7YpMoJSSktTKy0/E2tZWdMmpBVbp3
YpPUZ33Qfpmaf36y+ZLGNGsXNFTYdHR/1DzbyX233+jP1ogt45lqoCOKQHAObl/PD9VaZlkHHz+o
RUD+P9O+fuyAIboYbGI91ICy6jq20msQyIUkT8FycVDSCKeBnWJbl62zkStdPbacGl5MEpgvaU8h
c4yRe8yKPcoleZvu9eKmzq66rN8D9n5wZb9HHPGd5K5s7tuWY8EL45NmiUDnzsZuu+o1JyOxmMqy
GvO0w9Nx9Nm8bO9u7GQjY7LqKiftL2ZxKIlTaR0DVAGc4hqNg0HSq+4v7OOno7rYdwqIOymVOszi
TvYuyXDXq3wdDHfnvWZrqBb7DWN1YfJ0RmRX2je3hTCp23hxrvomdzfuaPMHL89Apx1aRCWIOAmV
oFATRDNAUWe+Sm6HK8XeeuHeMLMkHxy1OMHpEZOT8Qr649UVmZQ7KWciwqw+iK3c7eoA4ukIusIA
EJAliRvgZuC+V2gdccDQPLUH04qhc/VgjtozMBiH89O1do4kJ9YWh7shH5Rx1CpouinXvQJ1b3UH
npDuuaY8SOz388a2urYIKKBfbZiSNwD99KErxX7Sv1cQE++0/Xk7q8vppFOL+JH1qTtRVIJGmXmh
lI5nq8ep3Vqzq6nG06FbBIXJYnpV4PwYZcAO6VRcJKRAECrAI4ESv8/9YF9Knh9QjcXA2+NS8F1Y
zOd1FwHN8Ha+x6vbwEmPFwFEKSQgYQwRE5KHgS6/1XnyX47pvEpOdjO1J23itLBA5U57zosoLf6S
BWTeZ9cH7/diOesQnjNR4AEdvvKS05Abl1rxp3lELZRA/jSx5LJ1jL5Ahriro8oAeI5YASdGiKR/
AEzp+QlZX1e/LJGPw9W5cZOjMKyOBrkrIGJXBZb9SdPTIEfRP73MtnSB1peWaxHgOsFouKS4Ve0a
QGLArCNTdiZwLHiK4251awAEbxD29Xzn1k8GgKn+x9oiyGdxT4qx4zUQslcQsXnNtfghY9c1K70q
GS4Y18EIgWKgadwCWc5u9lvMP7G8cJJflrVxxI1icq9zdj2iUD9n9SuJN6hjVpcVpAfApTLzVi/z
BgZTFDNHPI5qAJsGLGimbh151zoEPOfMVGaAIHvp9SlKSjOwESOXfJEGyecou8m2shHzbCzHzILQ
qTGrnFmQdf7oi1B8B92ghZQ7r25B1jOFeaf5U+ybR7JVUrDWm1NTizgEDlSwUs/PpnXxJqsCqoqB
Ub5MluZrf772EiraJ72aP+UkIFmabJk7YuBkuh9wtapEkOBepcRbcOm1QD8TbEP/Cnh9VN4vfC6X
MYrGUU4CPPFO9odBD7gapun+kvVHUz1Y/VWchudX2MoOdmpyiRVzIeuK/cumkTX5oF+7LQrjBnfJ
80bWlvEHK4sgRVM4JStjGr3Y9tGKr/X4ycRgyosCb6ymfsetLQT/yoL6YHFx3BhTDQlR1aURvXX3
W0yXK873ofHF8YIzaKk2yjxPMbksDilPPb2YjsJ9kFuom5Ul9cHU3M8T56s7qjilhn4Udq3uRqP6
Plmy27NUR4rEkjdaKtkxM7aKm9aHDzdjU8XBF7vLR7NQDjRBJJWWUfksoi3NxfXh+9X4IqiTKpNp
Z6PxIaiBJE7ubPnAgJxW641deKsXi/VEUT/hQAKtjMyee0OJDXErzbdhYYlRmnImnK4qysiZcgeg
pOoirtSn86tny8Zi8QD4QLROoyVI1s07IdpQZ8lGFFg1gXQg4rbjzpTOH6d7siaRIzmOJG8PRVcF
goLjFlnUqiNDYAt4a4TT37gf60lnpp1g0l0NFJ2HOGLGO7MO+m2ytdGtd+aXpfnnJ0vGMlA4nE0K
jRTq9/RQ6Ru3wdWQedKTxWA1g10hfYT2ZXLLpDdIf7A3IOpr2WNUbCEzDSQnAZvcwnOlLbo6sTQa
japbHwxmJWEyQMMurdVLDGTYQrnGs+paB+EAlAVEkfq587KJyVxdqb8+Y3mMNccmZdxVaaRxNQmU
5rU2uy8i5nvdSoug7Mj7eVffsrdwdYHbr9so6HZObu300mIuqFOqx1a+I0l+3tTqLDp4/4buz1xe
uYhwPBnzFswwFLSt35rs3nCecvvlvIn13vwysYhzzFJ0WY8wwTU8lmjfKe7xn2rxqRo2To9bfVl4
S2NUaoqjA/ajLpiSu7j1BTLSG535AbJanO7gk3ifAVbAcZ3l6a6NY2NyxoxGg5mwizTF+73LB+nJ
Lhl3DaMP1HIjNaVftIZclHGd7McYz6ZW/lJY0z0pMhT/2lXj107f+HlbXKdWrHqE6lkwDOauBV1y
m+JxqTQAvFPYEb8S+x0kGSEjVzxAKd1AcQELdCGPKKK5JNT5LIr8rhEES6GYUAivjm+qOrwy09x3
IDEKOjm+1o3NvEmW0CxxZBwmUKG4GDLQhHTy26BMFG8JTR5khNxJg39TUoglKzLeW86Y+LFA5jtr
oXqq87IMVVx9QlQ49h5o6V1vypLKd7r6SuIW7hkJxQsrMd/yIZ88kUOqonOrOzryb7XSX6l8HI90
QvkEQm1xoU38imXskKGiPRwNLQnBD/m9UsagtxTXN0fymZr6a4sqR4Py99S0G68U1jdNzSOjLY62
eqGrzeBpFghqzKbQdk1XDoeOKXeOnCzURgy6h+KxK6Xqd2kvDtPU6kHeg6rB1aobPJQScFC6GeQJ
pjqo6rL2jLYbPXTlQjUGdleqrQDYFqfCRPbdJV7ev3HFuK1detnw5sFwEh6ohfkt1/HJKsimhy7L
AqbjO53C7sEmKiYf5JZIUbhuv2/yycFwjhhEmXwmJivwdtGbvjqV4DZtGs0voV8QDN3IA4Vk1DOL
ZriT3QSOrYRr2LydAeKbThL2puMEI+nHSzvTQlc34oPKteJLIZPvNktjP9Xd/IrbIE81qMhDRQUr
dsrz+zZvrTDPMnmAprcWmEnymKVtsVMn0d7ETCehLaSzo3ySfj2UbUgUWkA6QU9BO6q1B1IOzC+U
zAoN6J16LpTkIcnp3GlpYfhDR6cnavRgplB73c9lGoFDRXrEZU85gdpb3mVqgHfxr4ANJT4IVtjz
GOefnKp+67RWXE690/tJTtOdTrm1kyAQDyzmDBcJLoNaPDyWlIFHXezLHP8uyd5StDAf9DtoHx6n
xtwzyw3VOD9QNZ8CavC3Qh2vDEMZfBBZ3MRqmwallachA6+mn5Qm9wpZOEHcOK/KJJ9GrWEen8wq
qGOiH3kN9FySFZE7oVCqNLM2nPRRO0r05a5o6Y3TCxlUjaCejLXPSj9O+w5VGztLAZFy42K4Uajm
U2hUh6qbPuVD+qnSON6ntIkEMfQpQwp/hjhkp3iNNL4JjT0LFzNNurj7OhKzPHZGRkL8frmPdTy1
gaVT7BxaaSGPrac4jp2gVCrIbbhNe1MlWRXKoj22VasEhPIedH3acRokCKjsKbt04V9BX2czJcYI
3vJ+ckLKzNZX4CooO0wr5IGgT0OVxA6sit6C3XhC8bIFcWe8VUIAwJJeo9c3tqI81E2aeXGc+1Zi
3hYkSYJkrB8Scs8hxWTEA0pAUcIgTfVGp3GHTJz9WYwUjpPZ0L2xysR3GjxzTgBr+4VKbZR/5/uR
yhLMmbF946jiWRjNVaFO+kXv5u8y5o9lxx6dXiZ+62IlQ9xYg6crV6pRWz5Elb4bDoCkumXVdy3I
1HaNwMuoYYg6tI1c+DEWgmV7TEQJn5XKnOaiKppXXVSDL0aj9DKu3jWzQEo9S6WMDX2VBnSBG1J8
bfgAJuDcawsE4FmSop7FKcpZpiKFXkUaD8gEzrz67cywn1bDXdm2b7qw0tC0is6ry9b20laDGNJM
J1wV7k0XywcsQAebPPiG2cw87BJO/AQ6P0EfT+9O/A7kf7crZrbiypTv0MhOgoYMb0qPyoZxcrXb
cmibXcolD3pbHFwFLt0OmKUutaqgn2rgQHXFwR7VX9Nuzqg39EvGujpom/hVFWbhT5m8qXB8iiWi
UwV2Pd6Ub6VuPHMFddcTZLdnMkG3Mx5yRCGvBvENiitQ2Ra7421H428y63dTk0QZWIVc1iX3VYxb
hl1wHNKFFtm40AcaWDwo1XkkhvyVgjBGJ8kd3pSFW+QeJNwvUlBT1NJ8sWaSAqGbDJuK4zcZLW5V
0JT7OGoVl10cmw8xNKSvi87JdsJoD0MMvtpZ5bikkoYdhI+nkrwOE5i2copUsFNUd7alPxgu/cp7
TiA2Et+C9+u7AbIlqRW6nxR5fdDT1rzsCQjwhqwBPfcPNdqKUG+EQK1NNXVXOf3XUdJHR+nVsJ9F
q/LCPnCV5Ifa1L61s8YaXjs/TVOV+7k97FCOCMj8rGVk94L7wtRab5rF66XMj+ksZ+9C175r6JWT
yDkIOJ2XWUNzwSb6VIEm1bMzRMrJTA712JWXqJ9SIzMTF1Dq/VRWVgTW6tpDCqjyUzcFQK9QixdI
naISDTfzoNKnTyTX+5feZolXcu0BBfWFZyI92en2tVs4n1hPx1DHK6M+ongxb6wAz/x7s9/lGXtW
UcAtv6WmGnTdQKNaGLWXTAR8ESSsUNQLz2iBY7L22Vzv26j4Q2mmngXoQErKFwLRIUSnym9ndEE9
4wxEVeVfGaAH2YxB6ABGEHhq72Z0QjrjFOxY3Hc/kAszhkEHmGEAqMFNMPl0FnSwaJAD9uAW1rtw
x5dqxkPERXXtAiAB/eobBYAJNyb5rpsxFO6MpsCdIlIb2l0L1c283O26wHYRu0eieBbl99PUZQGw
Ba3HUu3ahUapZ5e9vjchXgTAnQCbDnmhXblneFTGqdwNIRp8qQkrtFolvpr1inW/1fpunyvFd9Fa
1rFEdtZHoEzCzrWLqK6Bqqm67MXBKiytGNi9MnscnIH4lNhNkJLhtsIZwhd203hTDpGfTg6pV2Ud
uxxK8dhqCb+wkuZaVcDgknWcv3YQ4PaoUzx20L47sAEU5CamEgscezXKvKtAZlNxrDUdWnhJS1HG
A3B9PJlqZJlu+gpmvxTPd/ktrl0HiYgBRvfipQRldjAQ0ocdB4cQSfpnPjUihM7FBM4uyLSO7lxh
m2ca3pBYtWvG5K4e5fNoy3qnl6Dc13Qz84xJq++csf+ktUMcdnqDZRynlRdbHcpkqxSbTd/vC1E3
l+6IrVYyae0motg7l8Hb+FC4HjWtGqoH5X3ec7h3ag1HXM8xVbZ7QUDq6JeS5p7bltSr8qEJmXRV
vxcl8LuT9jUpoANdt9IOYiNz96pwYs9ueub1Y0/3E8XeH1PILUz6UASKpeEUayZ3AKAUz7XKcVDq
9DcJ4kgvUcYU2yKEtBKpP7Xa8Gz0zgNAt82+JMpFOeSXRlIe7VZ7dDs3rBoVGBHu4IGjztoDG/mF
oUzcKyU2GKlZj6aEHKLBKg7dEEvdQaKd7LmT3eqZgGX3uiX9w3yCpT25GKHmhcqL8SKvUMwG1AxD
6QfwnuQ7VXpowTbYjGod9wK95/rOzDaeuNbq+T9cdBa5ZaHaTc5rSaOuHT7b7fTIub2DtsKRtDko
uaSPa6MvFDWEKOKBNfXh/E1rNX/hgqrOcnQQhC9xmxOpHYgZwDwQ/iCyKTYuvvNlcHmN0yERBrZE
vDbgQvcxPZLKTFV6A83nkE2rfZtbGEeQO/gcoDDsY2yL93qtPycGl0mENm47kSkwWPPhRj+U22yn
c771TJfcRdqA4lgV6zEskE8T+MAKw4Nik/CLbKewUGW78/Oz6h+nHVrkllW3H4ykgbnJtkFbC4iU
EaNQrCvbZK9OVhpkkF4v5hDXz8EOHAGXYkr/gpecfsQiB02TJCNIBdOoHW8Mxe/b8Hwv13IKp+0v
smj2CEYJ3Ub7PRn9/HNpfXb04w8T//9DSX//z//Bv7/WDfaTJB0W//znVfa1q/v6+/A/85/9/LWP
f/TPx7rE/8tf+fAXaPjfhoMvw5cP/wirIRumO/beTffQ1qbDj9ZBqTj/5v/1h397/9HKI/SC//HH
l29lVgVZj0vt1+GPf//o+O0ffxAVT2xgKT8Z69nIv3/j+kuJP/a/1H/zvlTJ+t+9f+mHuR3r747u
QmoJCrJQhzTg0vz9Xz8x/46idUjJqZpu6Dbmraq7If3HH5r+d/wqMoYQajVUUJL88be+Zj9+ov0d
NRfmLEo7y1LMlBf/GYLbf62jf03L/4Vl0gabD+g/8CxAzBnXj2/8GEBE2Zqznjn2PPrgNocxxpF7
gJqF0EBadKG6zQbf08cX59/tLdJoPAUZF8BnEFgCkN13zSYUVSp9K3MOpO43UmnLnJ2BLDgYVNA9
naCIZEkO0rs9c9ROZVFj5R4IFyevzfRbVwyX0LnfWfGWTMO6PagV2yjdh93FYHJ1LDLdkCyitdco
hfepZ5GhXG1hSJYx+Ee3UMCs4T+LGIu6mP8HtlDBWqKzCIhc6GM9nfjvvz3kHO/osvVFrIi1VqO6
S1hUAmiaEUd4zO5xBQPV2hTSfnpFJbeykY/86BWOsbQ5x6+TLD8SStDFsdAjQ7sj8ZPly/a5tu/P
d2xu5HRjWRpZnARU3ClbacJIZ72nSBGUaoFn5sfzRn7bT5ZWFj6QFjimOwQ+gF3yASgHzavm8RK2
+jp1PTKQdnUL8b4LteyuS4nUGXx42Hgq++2JdvkRi1WWlfkIKXB0dfja2+M+tpR9paC4O469PH2p
uzsX59KOjxvb2Kr/YzJBo6VC4XyOc6fTSDoDWqJFzCKRVfuOkAAMo9COBPpRIcGwCRpcXwc4VJnE
wWH1xyiceM1YMwc03skY1dQCBfB0BD/VnwpX/3HMXyYWPbIboo0KSCijxvkWW32olFcOT8E2saUg
uboCUAWvA4s/M14u3AYkL1U2mQaLGDI/cYGj8jj5nXS8JqnD8y66ZWrhHL3OBaEFTGW4PYJ8zJNF
GvY5qGezLUju6pI76dXieJoBWmEJCVMjciZeEReDZxr23iQiqluigT7ORKbtS+Eqr03H7wWVe1vh
2QF4+cjoUh0XmvL7+d7/tjbAGIIlNQOeIAdiGEtcRoLLq4kcM4809pQMb3m8dwd9Y4iXnrmwsQRi
cJ0ajkFzHvF0mrknnYumK57Pd2S52H7Y+MGEDRV3iNwsPMZitqE3cclBodQfe6Sn0wwHVhrGs0yw
vlVy9ftFA6N2Ym3hNCgJzwqpVzxSoMusaWBMV57VloWjWnhpyi8Va/SaLdYtbemqyz4u/IfTIm+U
ruZRCYEyv+eOCGqCM4Pl1J/K2rzlXXsAaTSDCgLpke5Fbtep2RtYevZJoV3WmrywJMv8bJS3Yq7S
IEO3dybjUS3pA7EBxpXCeSWTizpKG2noxjhYLN+IIctF8LETEAX4GBXNrHDySsdEpdWNan2CTpoJ
6YbzzrDqcD+nx1xyKqRaPjhxTjlWDUUaOilT5JeqjfC+bsSA3iPUjI3feLT7fpSgBW14NKbKq0MJ
kigYub/SkV82Zo84iel2NhbW2LdIsKahPjjHwkw3DoXr0/HLwmLdKA0UiEBjyaOiB9k0aoX+y1Fa
rBQjzgiSvGjfKOOwx9LkW1pGaz3AmR2KY7jzE2s52W1ViWEagcJziXPfsZcWVbPeMGxtSfOHnp6X
Zr89NbO4GfPGqTmZzZgdEq6o89/ryUszWfcMpirN9BkSludnf8vk4h6MO+pA1Fbl0TTdEOeKtajq
Suog/15r39KtIpi14HLav9ndT1wNMpO6miOvFXW92KtsuG15l3k1Hr89UogtOv+1cA18gquBWv0H
nOWjNU6tztAF3MJpq4cCOWpQ1OwtXYYtCK6LPPvXdfzDbfz0FL9hbsloQOy0Mguj55Fqqt3e7BqC
U4XYUx1vpD1wOuX47fzUkfXh/NnBJb2B0PvOKTjoptn3nj+l8dsxBnHZ8IVt9GzdR0DRapgg0YZA
yMeBnMpOBRgcdlpGblttgm4ywjyuf5cZyznKMpvLxta2iPHXYp/ugooTJl08yM1r8sRZ7MTsJM6g
AnEpiMew3Dox/HZvmFeboQK6QqBZp0HQ/aMBCDCWADb0AveGpDuwTkmCuDS+oIgOtYqZl9JHu5Xp
wc0hZJhpRY/aRP15Ywrn5bVc8affsFjxsnZRR9JKEamKeO4MyIzPT8sxra94q0COWvvs2ONRgXZb
NRrQ5OzaY0KRDf7zNAofx2IRBoomtSCYKgTEItO3eMyeerZVcLQ2n6ddXSx+jXPR97h1Rq3ZHfF2
TrxUAVX4+QFdNUIMZPPnHA9qoT/OKe6BA5434DRT+Ryrl9qfpzXAOJ20v9gsE8tSqgSqEKgl8UfD
Y/75z19b0afNL1aa0zuQghjQPJeP40N/BJ2ITv7C4ejUxmK3LCE2bKsD7gMmyoid3XuTbISLrTlY
HCEFG1qnBEt8pObB8ES+nR+ita3Y0HGTgFiGaUFG7uMM9+3QlWYNgea3otl3YCfanW9/9esNpHls
A5lApAM/tm9USdHwPhPRMKK8eLrMki1A/IaFZUK/MNkAHFAKH7X1BDiIIijouEGksBayDQMc1zqS
VSgMXTiSCpRKXoxURKOjf5aZ/U2FpPEwtiGdle1zlt73TrbhvOv9+mVz4ViGw4cJrBnolwGZTEBR
cv6X5uaXhcXcCIOClMuCBcfRrgrg9Ixiaxdf3VRPRm5ZRchGYN8p2PgjtbLnd1eg45RPtVW/Qcry
vdDoI+v6sJoBUdK5B59UgDJ3kMK0zXtsxXin10bdU/nGCXpjaJeEZzVT7FZv0XEO6VNPfD/v8hvO
Yi02oZolSp8KuLzU689tjyNZ0pO7guePNfoM3o+35OW8xfX+gPrdRe4KnKFzHDzZ21tAAVGUZ+Ks
BBAeA3c0TT6dt7CadECq4aeJxQoowCOiQUSQR9QkPp4K950rvYproWq1eP/Fi7JAqsdmgCSowXnb
c9O/beonppcLoQbUKiYaj+qYh8ZA9hNzfaUQgcbwom1uET1uDeZiVdQ/B/Pi/XC+I1uDuORH+TVP
ZfJJBX6pUS9JY++kQXxTSADe9LsO7A/2sCUROjvAmSHUF1Fe1aveGjs4iDXsmHUdB7ZxpyobO+HG
POkLvzd+zVORNWHKh4vOAUIsN+0SOGDnCyHN1oBuzNVS8qDObUeBYhocv2qe9cZ6FpUCWGRhOBeZ
KR4nKULHVsXe1bMjlwT6tcS81iv9foxVn3Vb0W71cyBybJsG8scg3fm4DvUpNbMBmm6RCFhwd955
ttqef36yxqciH82WW5hCbl9Dh+GLhm78dyYWp71eSpCWVDYW2mjFftOmR91AguG8kfVFACwHbj4G
5Fx/kxkedQaU3KxhpusvvVqgJs/uLgi/hELIbiTupd1cV+7Ue2BTfDxve9VDT0wvlvYwVWnvNImI
KvWaz5Zmi3Xqc7U8tJWydeVaqZvA8fanPahFf5wztaDc0Wd/UHNH7CW8cRxSDp4Xd6ejc3mt9V4x
GtLneK0yVaD7Gtt4F2nz9hf6PT/e2po+a4Ms+m23Xdkg+IgonpSnxEoyz6lA+96M5DAqeuIPfb8R
C9a7/svk8vruCKsf4LDg4WXutcl1xUsLC28qpSWDeLCSwGrM9pDiChhrX9M09QtN7sqC/JWd/uQz
FoFv1A0IBBqdiEj6GcouLH06P7JkdVmeGFgEPdNRqnYUFY7/vAsBT75KUY3A50EltnZAbY7mOSry
tyigLBx1J/MSpZo1rjpOezd09V86bqNe00adjg6NyUV/m0EDVeKAW2Gu3ipdEONEfL7Dq/09MbDo
76SmbjyauGG3z/ngFVuCg6vXERdKh6gyQmHH8hWpR2EZKdMBVX7C3Es1C2vwDalb19oVRUcszBMz
iyMFQGoFSsVVDBNjkYuUAOpEEpE1wNGzO62fQhA/hU0HTThAjr1K1FdOPdzbsvlq1lO1B1GU7Te1
+wb6g6/gI7qvR3W6tBPSeHWKQwruCu3GuK/u4CdfvFjCbZwlTpdyEZVXR6j5HIz78/O6Ghp/tb+k
/ysF6iwSgfYFhMdAwDQEzHnaqmKfh/W3Y8iJkYV3ovIjLcEggus+td71AVD3Jn7sgW1RXOtolPSY
V/TTf9evhb/qlmJKO58dyj7UmQ+WFCkPFJU8W3Id8wSc69ti7/81gIn10g2BIM8VLm2amniVBcBj
QgNrK2O5ZXJxJCBt0aKECSj6uTjjskpLL8l8JGWVsdvYtNdWvQmoDiqtZh7TZUVmDtEIKowRYdS5
UXL1a1e4L+fnaTV9CFXBH1wAEMJZsi7ZvWmqzYTONPzdNKpdfGtzQBwvh+6py/C2m+/PG1zzxVN7
i8EbpW4o9QB7OiprvBqO4TrEN8Y+6GrbHxPqu4N4PG9zbcJObS4OWAQlZoKUGEYTBYRuBRKdC0ZC
w/icu8+ZtUHFsbo1nVpb3Ap1h7eGkcD14zZ9GWx92ultqgasHdyAAoeI8iZzPwCsvs+kDY7dAUVa
VgOMABL9fTAmVbsfsq0nuLUAD45DVII5hjk/YX88EqVlzyHfg2GXAN9q3I+Np3RLfGTVW3/ZWGaE
UogPdkRBx4FDrzGnfyFUnnRhie8UeBnPWIIuCCvzH4FfCmVdemILUrTVi0Xkwivi1PRiNnMwEw/U
c+d9cW1DOe3FIl5REJnIZETzlumPAu/HaeO1duk59hb3+6ol1LVi0h3oQC/f+VODMcEyYAmyZ0FB
Lb/l5/OXLiMv1H5/tr/YzHMVzSdjChyB3lVvNrYT3gO4D2j/sbNHsH4w31LnksIypX7XUnUvxvQe
+PuZMAYw//PjurrGT75m6eBc7W2V42uIyO/TXMWHUBQ/oX7DSxlowai8ZG4cGLP585ZXHeanZbK8
bWTZBALfNuMgS899HVK3Xcw38qCrJkB+B04VkJDgBvdx9SqyTTLM8hiNlgbBa9SBVMPhfC9WA8SJ
ifkTTu65rhxJrHTxGCnMOVjxJxxLbM8xwKN53s6qV57YWcRiI8ZrpiOUMRpc8aAO417RpwNr2yOS
Whv186umUNtk41zugpR0ceyJRemiqsUYURnkQIO484a6C8BdddDc8ni+V6ujd2JqETSatqzVVLHH
yDVFQAuQCuNNIna3cKIr9Koa1B5/dWnhCKztyyQb4AhZIXCZIfZ11uCI02ft7QQPx0Omj/PCQ42x
dNPm2p3nz6pxQtEdBp0Zu8YF0Lbez3f+x6Xyt0hw8lUL3zFlg8RCZrKIZxTQK2CwdG5kBw5Ulsa0
49A333HMfaqQm/KMGmwJrU5QnjY4k2dNioBSIWqETBRI7mrQCnk4Ol6M0kZFYHOnGuk1BIfA3SZB
djYoRihH2/FRYxhy1bqmlF+Yc8lT04CWvRV57LGm26uF9c0s2Qu3+4cmz28slAV4TNOvTOUeV2TP
dLPjWE0BKUrmlUSgLBz6mf5MMu5NQy13RNokJFMudyCWwv1VjKgAd6adyKDMDS7n2gNh5BgYGo9D
VYMkbO6oqNxNiI4sqdn4A8TQuv8l7cua67aZKP/QsAokCJB4Je8uydosyfYLy/4cc993/vo59NRE
vBCLKDvJQ6rihH0b6AVodJ9jsC+x4Z0tow2+ismzz95E40cyGRhHMzAM5NMydqJOf8ScvuKUpbJH
2ctG4Jz8thM2YNpW2xeMHgHxs9ve+NWwhPEU1JNQfMNf1zEDtAoGmn7hYOG+fmlUV6/Vk+Li61J+
iYeqHjWCrwuMMo9PhXESIM/Sv2Pm2P1veki5w4v1FqOAkFT8AL6FohSyuhXvany44enZWOYmPn6O
MKSLaag41RX7MK/zB/8TRAekFyqQ7Dei1CJ2V76V8iFHt5s2N6KB3PCls5nnTKWpOWAseMuFp5of
Wtt6js5ZaoO+7CMMhM+yPCMttOrO7beyVSSJtWS+/Poc2RcKhZHthUWDr2PKn+hfCjCM5Xhe6XHP
Csfwjpq9I4LnPzcCkHED5ghw31hDyZjzxgZaOys6sFkZTkqeo1SRxFevWqBaNvi8XgQkrddatdOk
97Sougvm95Lwe6E/AOCcCKdOvpnlI5ogOVOEgTUXWkqU0hLzDQyL6w3WMf45lNq5qvNDADaDKA8d
PJdhPCpX7NyqXSx0lBKURpOxxwtqdyGuyL8ASnt7k1YNY/H5WfzCMPw6E02L2ebLZLoIEG70fdJP
aXkfJkAZUKiy5rjLxZNiaBrygNRt3V3M9jS4dnr6ua2LaqkkI6/HMKt63naokZJDKXqXiG/bEtY1
YBYezgFxD1in69VKSUQTDEzjrJXW9+C6P1HLuKtoqrgJrJ2zOJ/Hkyw0IAk5DdRZaGSpHSJ85ve4
ZbtJNtwJM9/j3ylcaHXJ5tkc9MRwTDFJW+KhcbDL4xRL5iVfEec+1cVUKpLBqjYzJTpQEikVcmcG
0AQ5bQKKpBaaNSYf8puReJc0AECAn6pOw6s7tBAmOWgR95lezsK6YjrmUea04xNr2t1f2MFCiuSU
njH5rckRTkswzIDSfnCyHGAKTXLalrO6PQs5858vvHMwJo8MAevw3uFjOt/G/PbTtoS1TGchPM+D
Z5iOkxtCkhxv4RMIA+aXJPKqT4fxBUAWHYYQtuWs7ctSjnT2KEJjqMEc3V1SgOkeyq8Alt4WsBKZ
8UoAeFwgPAJ5mUuWzO1y9FPApwA0wjtg6mbXT9FBYBwlLhxAloAxflveikJX8qRgU6YW4LgpajMB
a49V5nLxS2OqWuza9eRKipRDG7Qj/b8KUG3lZyPp6pvAAN4BMEKdgb1kWl07Vj/hX8alQ+zujCe3
7M7Wys9GXro5DaaL71l/bpRXv0naShCwVmnczFWpMTn37AWQ/PvttV2JGFcSpDCL0X0NxVvsZeed
oeFgcceyetSGB4Ufr2Q/CDIt0yYCNSS5DJCJrrSNEHXMHKMJzTQ9edW4M7Lq1OtvVpNgWr4+gHdx
W7sVPFLjSqrk1UgvuFyPkEqjaGdr/f1Ay1dtKP/pa3LMKn8fZ+UJWJGnkfWRYzfRifD+yFWvuiuu
f/UzJI+Z7JFVQ4af0YJfnKPVGkIEhAG/IZoxFyPFYq/v6vtiyx4D1BdCc9hNEQzxzurswJmycBdY
HLfWKf+yvcrr/vkuTfKczC6jbpxL1EK7BBzcIaEOYKPovC1l3irpomADUxaDGICWRX6TLFWvg4A0
ESw1ACBZ1ac3ZRIoRghXt+ldhPwA7eWVFVoGFAGs/MnO8/t2pN9Hj+0ieKFTlyqwwFWfWMiTDtVl
oBuxBsCXSwpAC+S5HdBlQB3zXFi71jROWidcIM1sL6NKppS1AfIW6fqI121BqxPIT+9LLGWSkpcx
B0F5YSeJE2vZJ7Rm/cfFlRJ5znRUOA0Uj3W8f6Z4nokaHQDB2Z3hfW71+r9ZiyU5Pq2EjTsepFEP
IGndqQ8bVWxRGOQ8x748MURFEdqgvEOz5egIK3K0DiBvdynmycO7hn7e3rZVH0MkFgKosxiOl6zf
NkfSEhvdpJYPwISp2VvJc/h1W8aq+b/L+N2FszgCNVODypE+d49au4gAG1F/yJ/0XyKZFDa4unIL
QZLd19aIJyQCZYDX190DdW9bj9XoZxoArAEwJo70UjzCPEYS5DFaV9DAduzAClSjG4Db3l7r/kaR
hSQpP6NPPeSWXyDOkuETCmQnG2xE28qsbvxChLTxplFpcQQoHxhy+akCRtkYdEA5UWky/9IP0fVd
jFzpqXTA22g5jDmrMsDaAPApagFSFh4QJo7AynFzQ1OchxXbZEtWkGlA7QbIFI6R5K5L7v3B9dvn
lP55CQsDr/8agy3FO70qI/S2QIoZvg32MRhahxy2t2jVb0zg0oNMAA++8s1u0mCCZR0jbbAazBXl
QQcvVdQezOJzo5qrXHWdhSwps6ehnes1SN4v9Ut6/7ith6H6uOQ4LEu1zgrgl3kBxC1j6C03SKMZ
/s/f4VoJ/Eo7uAfhyiEdRiBUNWee9Te1/YY51eNQlycTSSPxiiNNtNsqSo8FbAbcRBQgSkB8stJm
Z7Puc1/k9Wn7l89O8NF633dA8kMPHBIARsSqlKiQu3hs3ftt8asqcxfPEXd6KZ4qIPCKyP+8LXfd
a97lSs5JwO7XGUAnvEQx6CvYNxvP5GGSnRozvGPTk4gwSbQtUaGpPGSd9ekQdhVsLTc+J0V3YOXZ
BkxWMYnTmOINAhSHNVOUYtbtGwdl9AFSlBmlzI0+6sgEIiOaAvTy6OM5wezHfY7WR51pD7Qaztsq
rseFd3GzlS7SUGv1wBWdF5WG1s5M0l3epSdUuffEV1Egq0TNwXchqim7JBIxNOvCAihHMVBb7fFp
Yu0drQHbuK3Xune96yW5rj+gzDX+dl3YogGbDEilKa7mqq2SPLgufDsJZvMImmjvn+rsVxGVIPMD
iWOgMsU142eGielAA/MgHyp0ZgbeQz47HePnNtD3ZYeCt2fsgSKqTcWua/8c0h9zpO8C5fNJ5xVx
Ruc4i+m4nQ5SwNZTNVCs6oQSDcFEInCBZFMvBQgLCQZhZ04W1yhNvKsFoe8YVvRrnjEHuPCE4Vxt
/IttY6aO4x0GIjFmLsWR3jMKgHpAbOxlrtb8CkR2b4wDSoSD06EAsW2Ia0eKhTQ5hqDFWNerCmGe
FwcKNkfyFCskrPnVUoKU2ocYKLvhOCeSLjkGSbC3+/qAqcm0VbVO6GsBcSnKuHZhnQPvks1WaNXl
zgTII/ftz0nlAX076+4BE/GAzqFzw/UjxYKKPrtpymFnj2gUAEQhn/h3VJqjfZBV5qGO0pPRqYg8
1nwS48+YlgMoE7FlJgp90uK29XGs7rJ+1/p4uN2Xraryu76n70KkDEhCv7XyHCsedOZd4o2mM7Gb
0dS+b5vOWgxb6nJtqNvf+u2vctZefEymntA4bvloCMFIFRF3SD0PVE+eNdPCTFn9gPFIioKbf+Ai
PFWG/WNb+O9S+JZwyUTtmoVVBhbdi5/+SjJgFOa+91Nr6KmcDG03Uv6ihbfxvJAUvwaAQi7pfNOx
fSN0aTZ+tfhEnD7np6BFD3AxhJ7Tl8nRNinQPV+3f+z6SlmGTQB2iIcKefiM+1E0gmxnhm+J0A7h
+I7/Ob9Nbx/S4ovRKPrwV01pIUzyqKL2C9aHWJmkrpz2drQuU644lK+6xEKEdKKoGgBtTgz6VGW2
Z/Q7t18MNE17OHW2o6oevhrTF8Kk8wQfK6uudA/dVeJSTydtuBE1dXSApBvoaBiftvdqrU8cTejv
eyWdKQwSFzSKsXwCz9jeGIZuYqSPXl/e4nHkU9PW93YKcruxNV9GD1S2fktPmAf+GYAOD7esf1L7
1bCn1vFLzXfbXkfRl38BjNc4d4fsegwqOdu/WGld8sFEWMVUZPjFPRAnUeiCcf8Mu4exft4WtBI8
wL1gAUdAgL+L61KMKnob5OI+NqLC863epTsgpR+2RawY1pWI6/j0f8wyRwWPwLAAAv8rGuaX4lti
HwahupavZDhgEZq42cEjP5LBgMEgBz0hMLEnDtBvtMLOT9JJGjm+pzgb/J6BkyLVlSjJfr0kDPHa
B53a9J8O5w8dMLxpE5S70m5ehT6CtDEX91FQH5M6uyUYWfHD9pwyKlzPqG59PQLCL8jpp8R4MHjz
CdO1rmf3+0SPywMxvaewZGCKYMaNFni1g9PeLSsisJABac/0u2MoopukMdGTUZTH7e1aCTVXqkm+
0nWmPeoFVjHK8ao/8vDRGtLnOrfO23JWQsCVHMnCwbKaRri3o8nEPgMtth52U+B8ApWPSf68bw+A
GTimAtHid6/E9XEkDOD1lg8IEg78O3SY7vhnEAG0hqq7ftX+FnIkjeyYRMNQQE7WW4827x9rzXju
guJQ5apjt0rU7HOLS5IdJFOE1kdkSuBtd6N3rE16D14YAEv3RAXzszYEhpId4O2Q5nBYkuchi5BX
eL0c+0uTA6t6Gq1z3FfPBM/a+wZ2kU02sMALmmISrS1Br0w/oTB6FxpmrfC7Vdtc/BDJ7XyWm1HU
4ocwDXTtTghAXBBpbNvl6tIuZEj2bw0en2wCGdUtEF1uvPAYqbAmVoPuQoRkKIBiNqOJDMCvaqIn
GMiDNSgWSiVBto8OWPbBCCXaeLyhj57tK04Lqp2Q8kZTVyxMJggofrj04ef2FqyhDVwZnJQywPJC
Q+B7ARorCwYw55DQaaCIloD7pGI5+oy0fwRNATqQmQfdEF9pV/zPGjAQ2ST1G54Lv/im+Bplqj6y
1Zj178bh1eva7brSHLx0wO+a2ua56qddjBwAFo+fFCwY9mMb54r0vL3Mhoyw1dZan9J5H8WnIjzw
H1zstpd63dqRd8AagK4B+RRbsIQmVgpsLdoUjj7B5sNH29c/F5ZCk3WLRHO/AAQNUACkLe31SOPo
1UVwDB2y11T357UDE0zm3+/LM/la1PoDOOYAbndr36X5J+te3HvpfgBzhtkcFQa6vmrvwqSLSoEZ
9DAUEGakR9CXpGf9Vxftt3dm3dbeZUhH/qxDsBUWZGBX9pZwxCQcr6yPrNG+mEBMqJBc/ptEem3d
kcctkpfYIjRd3LX5TCMBL8K7+BfGijedxXcotSui7apZ4GxO9Nn4uNy3IrIwDMF6iYi+f6gVfWSq
b0thFujdyRQm+Hal75IbW1WoXPXNxU+XYmycYIjWxHXhQlBCMLob06xulV0KKh3kOFtpzC5qAf+M
qKvX/5vA6/MXu75QQ3LMIY/MrJogwZ8sp8Og8WSOGDeoD3V5hxoO5kcP2wIVKskv+iNKO7rRzCol
bh688uhx+/tr+2IzcE4CS1x87OnS2siksQ0ISlu/H6rp2AHa289VL81zqJdvAEsp0sYU1DfKFCxq
F18jD0A5xjSBsHTQwcTO2Hq/Yk7MA+a9GgwkapqqfLXWGAX93nWUNq0uMkxuEEgHs1Huvfn6WfPe
gu/1lzxxs1Nx8rtT9kNz40NH37ZXd/7yht4yEFA/6siPSYrQ59+BS8sxj5gfH7y9Le4nct6WpVJT
zk5xgN5224Kw1ALfnsh0y20TWoIbvH+IAtDbwbPLiiQOcG7xjMi/aQNxTWwBzQALR+lIHWOyFEef
tb7r5eLLwEAibCfaelj81PEegwdegVToAELQcbet/pqjAKQRDTaAWAf11mzoy0N+B9RiJnDIBxJs
fKjpafvzc3z6uJPvn5fCY6UHUxHZ+DxvQfLW5A8ZWAoLDZV1bn5CTUDh9uuG8y5OCpe5KD3QXQG0
NbCrUx3rh3lsdWzQil+DVU8n+SmgrHE6ANgpItysyAdFrRmflBCD2HKOMThhfmb5APMMix2I2S5m
/4aWM0AhKSqxKkHSioI0dUq5hVk0D8xPOtBjutTh4cv2tq1axUIbaR3LtAhTlGzg+ofsZH39bx+X
ohqoFOshMqEBaO0Or9vfXjWAxQ+f/3xhzoGtk6kc8W3yzeqe275wmgF0ll3nBHf5TanadYU4Oc3E
ePclYTevUwXavNryH7QgvqXR+NKaAQ5VKDT07Y6X7XFbzd8lsw1zk/FHad/VbQuSqUuBB+gOsqqa
vMS+dmNVzWOooUvVzs9lQ75pQfeZDd6TGXmxU43ml3wSx7bpbgJCv9umd0/xA7d/nMJ4LOlQibGt
Ec/xIYougBA86EnTHtAo/t9kyMdI2JDQmtkLqAPCpqftr68e9O13M5K7yEwjTQPwsgLdiCfW3gDZ
qpP49BOP/fOINN9l2vfK7/WD2U/HCKu+LV7h4nKDWZ4bY9nODkLANnvr3Q0HkIlui1DtkRRFErRQ
8QCh8iJgAgBdTUPFAWl24o8GaoObAfOaqOhIt5dItDoLfIzmYvAT41CYeonBsAcSCr00nLKzdnRU
gQ5/FEkBhksYJZi2wIi3JLIOaBjGDeYStGjc263lsqx78LSD7/vHqfb3Fij8/nQVryVKlj6B1oWN
DWYHwML2Ymv+szKhfdynawmSncd+qAW5P0sAc+arpnoC+HiMnT+PmjxGYQQeoKVw2UxmgcdLjvmx
FufHfOp6V9igT0Nrr2qyfwViYpY1k/+Aewf3MCmndNogPFBQwqrt+sSGZzMqXsZq/CJ6grnWC4/a
s4YkXY4XHtsuiwzXKnowv/6xYV7/DCn7jNpYhwBgwUAbp6AFSfrvmT6ThGp3Ahw9ptc6jJuKFtj1
ZX5XXVpm34yNUvcgk/rtreGbuxijA1qgYkJZN5Z/xcjvqkbe0NQjEJOnx2y8FfZu29w/xqWrpZOn
jMQ46WnM8P1Uu0UKf5lplzM/AoC4qZC08kp7LUryLMtrxzgFf9dFhNV4AE5+7A6RgX4CjhQHgNXb
QStAkYZZ7Q5Uk3nDP5lR1btpZNdOVxaXeCiem9B47cucXWhbfu/DHAS0FmY4wNjtNlx7216b1eAj
bIJWQFQZPlCMj2WYBRHF2JqO2WsnMzsccev6UxXiomAyL3CnCvB41M8VuWLVtBZypUBODT5Ybd7D
q0wn3vG3X9tqqT4vOe3Y10DIzvB5s2zuk3uTfa88TRFFV81qoYLkkZhYi+2wgAy/u2tvohf+1Kja
e1YuebCnhQzJA+OhJAXpIAOwiDs/uwCb4lIYyatICwtkshkQsdviYI6vgoCAMm5GxzYSPLBF8R7c
Lc9oWVBY+Kqvvv8guZTYGFlh9y1+UBQ6E/2mZS/bG6f6vpQMB1Bj8GleVPoEVuj99scVViGjd0ae
3fggNcVqNrv6JG5Vb+krtfmr7ZKHhiiAV/qIItJwr3Oqlt+DQMo4pmP5KRI1KK1jtN2b8CUjrd3e
O4cD25k9YNlyoR/6mD3rLLmvQ1M13a9a1PnPF7cLkQP7KJgXdXx54j+213TNCwwCjEuCqUbjQ5G8
1O1RJHGLsef6dohvw5toVKFfr8WopQgpqJahV6bd/PObGDzGs31jCGV0Bp1jbMc6FXX2pNdludtW
bOUwTXElftdMOsN4aZP4dY7x6mjmZnjKjDcMnGzLWDPIpQhpY0qQ3FqTBRE+MHq6lDgTfzWmSFGP
W9v+pZT5Vyy2P4sAgS1KSAFhfcXNk+2bh209VDs0G8lCQgFgirFsIMEeAB6A8RKvIU7u3aHn2kmz
6VhC6rZEldlJAZ6aFRX+PG2voZfbbMDiCy7huHcyII1sS/oNRnB9JYAd2DAEHYdzVOElUSwsRDa0
mE1PwBRNItDDefr4GooKZc2oqR2udQyjeGDUpmAHdaLSv8N//7W2+pswHEJ3JMkZDC13bSV2Zqdp
bot77hTS2sEEg8MBozLqYBkx+P2gm4FbRGCDp/yV9ux7oGO8yRjsk6/jaCnIl2rKHwpCCicW9LPf
xzchlnbH0NaqsMxVm1koLSU3QJJbGmiJu0uffQ9BThwrjrPr3rUQIGU2jdHa4yE2sPpfZTnFKbyL
kjuQ3aXsGBxL/+v2JqrEyaVZ3ICLoumhTwC65gJmKRLhtuFr7/Mj+Jbd1it2dhYdRrQ6bYteX0mQ
MaLBYoaikLyvNFkUlRUkZ6lxwsPR3pvCL9siVsMIKE/+vwjJ/QBWoldWD7CLQTR30WwRqYnCL9Oj
dr8taVUZnCUAQ4Lm0A+NfYAYK0glIMmPMIUHG7Q1S9VkoJIhhXtByl4HXPIso/5qRtm5BNT2thqr
0WOhhhTaBSiDm4BDBDcOldu9GG+jIj7N5vshaAjM8TALeHB4ZpciYhuLQQRIi34YtM4U2d97+HSD
uUlE4icjrh5CEpyDtFGgNqyZAs4gQKADpyr/UM9Nq6HOGKC+cJcynEp/awS/1ZRdL2vrt5QiGVw2
aCwS8/r1dv7GyvRHXWBKGgWLH9TQ/koj9CMDW4yBi1Laq16rBk5qZH+indIXyt1AdWtbX7N3CbNB
LrKXnRsxMI7n41Fs76rgW4u3qdKqjts2N6cJ2SLALfWvHvOvWEgpS3QJmfPJOfwHN60wdnoTqQMQ
YYdtOXNk3pIj7U1h5MbgjbM2czaJ8vjMqf8p7/Rd3Dx7JepJQM1U6KZaQSlFFi3DGHSGW6Qw8aJM
mx0QW88VD/bbqqnESEmprS091+bzO9XCHQYTDkWGikz9+t+kSK7LuwZvafNGFXpSu1Nj7ihxMXOv
qjevhYiFQZhSw8z7oqHXbz9aCWgRbZBL9CE5hkHwGsf2S6pl5yitv/6FgsBcMQHjTwBwIClYc49n
AjBrlxijX1o5wQatY9iokOjX4jh9FyNDlDIgaDWihJi0Kc4JtCE9cBO2VVHJkK+LQUtLOxxnIKni
ZmTToYhChT+tGt1CDSkd2ZmdoC4IEeAdQRdAf/NXd2rKOeC9wC/O0G5wHRnSsUqDnmGh7JDetsNw
M6mmMFeLmOhiAqWqbiMnyV2KVWh2Rj5AhFnpR8NMziwxDqKv7mEHwaFN21dzmu6TuNibdfnNM409
Q4OiPX4hbCxVL/Srm7b4MVK8JYlma4Tjx2TWJX/GD9m2iZU3aEqWys47uoi0XtClYMbE96n/MhZj
dAyTUByGOGncGo1xGJJ4nWZsi6EKdlqi5XtrVBzIVmPwQkMpBpMhrwgX846a1oH7/qtXxgcta15w
YthTrHCMld7WemVRGUEjKtFBugemZUlpYjSRSCwcONAMYGF2LmpV84Br1Q0GQFSAmwNKh2Gs/3pd
QXRfGPa8b5pR5iedAJ4xw0sJpndeUcH9nPjspu842hAL+9fgvWE6xiWkeqxE/ZawwnbHPJjOQMlS
vZ6veOjV75I8FKMAgtMUJ2xyrAK24+HXwPMVgWbNg66ESMcQmvpVOc5X9QSNJEZw6qto2PvcPuJ9
4Adw690SoqPiDsBV1BHDqfbM3QTtDazCX+z0Yhsk97GsMBkCC+oaKd6HSVHuqq5W8YqumtNCiGRO
fGQoSTAI8X3uNNDF7FVLunIgwiMNAp7QGWPo4rg2JyNOzIjqwJfLH7MC7dM7S7hj/JipOorXzGMh
Ry5ZRkEzxhbBYbUunjAhCQptBDt9/+ebshQi+QZgSnGWr/Pusjvu/tuXJetOGPdse77cBVbiotEV
oH//UYJk2qxj6HM1sRHe6PLn+PP271/pkAfEI/AyOVDEKGiJJVMCmpHhe7+B5GrQoZTgGr90Gubk
0H8Ilq3iZITNF8OoHv3B+9pryQnwWcWhx61p+3fMMVc6F1/9DCkm5zyqIo/EuPPpF24VblaB6/wO
IPEKOavmtlBXyuaB6FKjAh4XcPOmg1HtMxbdWhFR1E/W/HO5qNJRmBiR7wGmE4er2ttpjeVafz7j
e71tsnsaPLW6KIXbMMfEKmEI7JtdotiWcHREKVnoZzP+sD02rngGM1BXkNvZAFdexZQC2LAG5SDy
984fDRf3JRxC/IcuH26BSLW3Y21XYjZlCCPwHHNFYF3J2gwtc//+BMnTmq7hZtBHuMWUwT5JzMKh
XnUuqumJ++UNSiwFuAPetq1ydR8FoA/BageYMSFZS+9h8gyVABzMHkckbkU73qpGi69LVjJpM/iK
57Xw7Pa70cV7j4pziAqYHhsX0BSdhqb6i2ACwB9mEhw1qS5z8GYV2KitQrRASfmqY3yRxKrm77Ul
W0qQHDlt2YAnKEgwg9at6l+hrrrOrmUmAyJ04MeibVsGj0UnXpIDU7a9GJZbt+cHcxfcpX+OSkjZ
UohkbXFk4OLCaXvRAifv0Sk/4/YBkcl3auNWkZ3W3hGvhEkh3qK1nvm51V6GTru3iwDs8PbR5JGb
tda5yVLulH7+T8nM1ol9/0uaD5+6XvfdTCcHklhHjaiGEtbCJOhSAWKKzGBxuYUD7xVeUWLS/JLx
3vXFk5/Ue3tsD3/uXgspMnSA6Bs/y+yovSR29Z0S/xtNVVfQtdIyW8qQUn/Loji1Zhk6JiuPwWP7
phoHXE2hSxGSrTRtTtKwSECglrISRDsV2HDyPryfWDqgu9Y4ebW5D3HtO6QNyR6HqWp3oiBfkr5Q
uPcKfgG90laypPefUjTlLh21r9FUfglj79QyFu4LrT7XevI1BsS7U5uWdpqSeHRiHpOdP+VuVlL7
EyvRV4Xmvuca43I7i0fnIG56RTCf05OcT5ZLNkeRxSWQZVMXlB7sS7QPeb2v7a/blrVmvwwxDtDZ
ONOgFn79/TqoTHsyQK3F+++l9go0H8dQRO+1QLcUIUVvv2+TqAR/zyVMd6YbKqtpqu9LGb5uaNlx
ARVo1A079PoUx9SK2b5AS9plYto5H6ML5qLNb6LItf2oGdNxzI0XLxTht0Qb9D24sydH5P03IHA9
akWxr/Lqs4VkKVrTZUjeIyWX2jvGbbGnZoDnr3sdUEwCaRzmPLkJ3m+PaYnnmIa2hzbM3ybKjwLx
CcRPYC6IDn7UOXE57grdurM6dDplCE3R4HW7piU/R9x0XTGSyCFN9T9LT27DyieOoGguFrx5NfAO
4oxBe1cMKob7tePkYnPkpiUMnhFghmDxMqbfhn3sWJlwqOHvNb87b5vaaoRZypIiDLMthpzUtRcg
2eJ2HR7naSTMohjHugpuM8MG96h+J8qodmig4p5RKSrFnpE1cS4GKFpre/NX9FNzxvF5W0GFIRpS
TOnsJA+aEIbOHyfzGHZ/kQSWyyeFgiAXcy0GGlj3Y+kGKnTA9UgwHxQIuIk/VF6iMI9hkGOLPgHY
ng0jTDzwPZOKKULa6jKhT5+ahNvgJpGWSZgpypCg+rn49A1UWj35j9+X1ikcmpRnDN+neXsExoIT
opjzFzu9UGFey0VUNm0OvIyqhjFVT71Z7OKgO25LWDXXhYT5zxcSwNlitVYLCeW4b4qTZRxzxYOU
ahukyN8UBY2zAcuUMuONMnSwFf/7bzpIgT8wOelpAH8wRzCxpEKMDsuzW5Zzp/D5aVvYqjqU4AQm
dLxTyhcvDqiYebYRidL+rP2yzL9ZLdvQbYG7lY0miuv9ANJgCKIZq7kADQ3osJcIPenbCqyejtC6
+K8IKUK1ujZxVosGR8kmcFlFMlBUchQS2tg89Hn93OXJuZnPGkltP+taX7mWWdufOlDAbf+UNePj
c7MIo4AL4fLLSsn1HpNvtLlUI71nePKo8PDvoAkMs/i1qjFlbeMWwuT3lUzL8y4A79alSMtXvHvs
jc5UONNq1XMpQ9q9PvCImcdmc2l1lDeHoH0uaE12hQGuMT2jxEk68WOKxfPUCMPRc7xqRkPjlvV0
BrTJcw1Oke0VVv4iabOTyc+6nuIXlRY5D7MwxkBfGgfUiWvddAwjqByGarA7TOITbf0XQuvL3IDh
mNiQAr9q+xethf/lEklROWMpSVtQLl3aPjzR7jDlp7osFE46xxT5NMuBWG2hFUmf/3HtRcHQ25FV
zloHdB/m+rHoh10Rsh3tyLnIRkXG/F173ZI3294iiubo/YlbPsvrfB84MenPmHDulj15nKp+77XZ
T63OHgUpWgfFjW++x38YiXbMvPBcTe0/Yd0HjhkUR/xv1PEa8+vg05e0zu+ZkZ+TPj340xg4ukZm
vqijngGDMhWp64XRLmoV/W9rD0Jofn9fPSnrWJXVVOY4u6URvgDx5FPd5xNa9c3PcXuHlAeKKPaQ
ILm7VpDeFO2fD8ZgcGAhX8pJ1WT0YgzgqWanB04K7QG5dJuUzQkNIZ3CQ1btcSFMSk++0Vb+ODuI
hrVs50UF7s5u0ErVO8SchT7YCOZsiS0EYx+qJFbS5ZUX8QZNNCAgyMv7pmAvGraa2Jj4Zdh8r8tV
lrkS9HD2wX0LBQIgrsj1MhOdDa0ZIZ009/W5V3iZ6uOzxgurryo/ixI+R9QebzmzCQ99+OOPw8WV
AtKli6VUy6151QBE+k8Od2lDwHjyhqheWecPSduzEGTJeBzAINGiusBK9XpyX2AGgTXkTvB41xHD
TQf6FFK6q+tQAb66Yn7cppzqAqdqZEIpY4i2DswA2AwXc4p+EXufB7dpqCkOSGs3IpCrQgj+Buye
TCAV6zwBTj08GlN6l6EUzEWZ4XHUpt5F/8SJDKDDMMNavzHFEaMV21u4duC4ki7ZCaXoIi9i6DiA
EMWOmp/VkGQHTScY0dXac5czV6MdwHxzYbr5MO0M3K/DKlJE6dUdXiyCZEpNUtHQFPB0PbZ+TKI7
j/NCBHZ9sW+LG5J6LppKVFWDFa9f6i53rZRhPFWxDt0rBvrgIH8uEFjs2Haa4KXQwoc2rRVqrnol
x5QX3vTRIyFjnA4x6uOeMeci3wXl2kietrdzjr4fHGXx/Vn+wuuHMQF2jgFbKu7Hwe3HozU8pn9+
SEAz3rsOUgYCjkQ/gqm4uYzlCy2m3dGLq78JXkBw1xkHpjdgZK7V0CyQquElD3H/1EdH+y/6Cyyc
PeYeVuQyjMJdfz7lxKOej8/7/be4AJ0jGBG292HFnK8kSPuQVEmuxZbRXCJxb4XBrRjFqYyevL1F
rKMhxnOiGCZdiyJXEqVdyUTUYNwTOuXJKfCKYY8mbsxtjF53r2F//EIHDHub+BfG9OxznBeFosK3
EiyvfoB0MHhXuWHxRSv5EUNRu2JQnR7XFQXQILCMbGAEyFwkqQWI5d7E0obdUx3RYB9lVQ3ejPRr
mIyniduXyhvIjlpgsAx9/nN7Y1cOr8Aw/Fe6PG2e2TkpREOQ8tBGj2aCwXJGGn8LMwBJ2sCIitlf
jNReSZSSEGjrKs/LIDHqyoeutZ5Izx4GL98LvY52I/RliQpDeG0v0QGAHiukPRC5S8bkj2Hsd8PU
AFolx4QA5NAkem7rVEUHuS5oRlUF7gVYKSRP7CvTbytDh9XuB2a4tX2wiGpiaCXKo5XoXYbki50t
igRUnYiJJfvE0zB2+y5/G/4ve1+2JDeOJfsrbfXOGu7Ltel+4BJbZkZErkrpBZbKTBEgQYAAQXD5
+uuh6p5SqWXSjM3rmFWVlRQLgyCWc/z4cYe4+ZSxDTav28FDr8PP58mP4vS/XPW7IYyGS4v0gKtq
nhzSnnm5M3YfoMr/EPPwdrIBGiq2Fj8kuvwiRedfbAi/GtnvlmO60HqZQkwbG4QiF11FJdjtXfer
0f3RgvDgKQU1zkuh9HtMxLAFxneXBeFH5dKUK9pAFKZLU7mUlj8f0x/e0jeX8v+6bVuYk47TtCBI
hzRcwpzN8nwhb/3vLvLdjPRB50C/N+4HjTH3ang2g6hC8ytzsR+dD9+O2ndzknbEdPOI2bFkUVOY
TqL42+Yzf43XNfeBfcOZ9Xoe46ef35z/g/gAwuoRuszjLMDD+i6h8ofGTLCaNofIvsYg+pSr6k4C
FLOrTA4wXDPsS6ycKydlpgx95ucuqUsYwr/XyVoXE+0r7ri5VpvZuXM7r+BTU4klG/JwgcGHdfxj
ug63Cvq+rR88oR7zi4j8R8Xfv9zAZbF/E+Ck4bro+vJ4rNOrYoyba9ZvsxgCRSMkOOBikm2mpaVF
yP2pgLnzMcAMgXRQlHP8IDu4eHnWtz8f1h9NzBC2frBniEOEFN+FK3YUSE6WEYmc6crRCwr3zZ/Z
L9RNf7SNfXOR708e12EuepgsHh283PVlhFd1O2HEo8vQi2Xpr4kz/KK1+VcX/e7wgb6JcviAO8tW
SLdZhocNOZHUK+DAV4WjPWWr//nng3mZ+t+FsDAjTjJ0R4CzEHx/9iRJ1sxJaAw4YphyganhPrvU
v9hKfnWR73dHGB5DbWHARWS361tv+0sPrMs+8W+3ASQXN4Fuj38zjXIgQuMxI5A7GnB1rY6ehsYp
+NCxXNM6K+ASSgtUijAxcTBUZvTv6kb7RczGY6dUXy0WhMxkEmne0nAqRohptAtnG5qlj5PeoXZz
WmCF2K9yTxr3lHrqyaRtqf3sdqXZNkr6U+2yKbdy8HMeNftmgQzPHIWnUc/YZGRaxTbbmQi1SxvF
1bDGNyTiSWFMK6qOonHk5w/2h6vkzxH5Gth9s3SVG06drTEimScqvbafW7tvNP0ltfcyJ38y8l9P
5m+uM2XeGigf10lpKvMUfy5c0tjCw1bWdaLLk6i7TgUyyjp4kpSaorbL/uf3+qN9FiQoZDCe64MQ
9d2OMIA6HHkw3TmMfwwmxcOLw5uMO8Dzx/5Xh9aPDuFvLvc9NaQFjyxG3yRiYpDbiHwA22W8H86P
P7+pH4be317mu90goRgttADiMsfoeYaG0Ys4++45+ZWv+teC8/ePMIIiGiYxGv7+zQqkgTzlsCgK
NMB9DzBR7WXGLpi67WUORx0MOS+zGo17Uw7+4ynQZCtC55bWbZlhIXTUPyksjJZQ/xq4np+DK+Pc
CLum1c/H5EcPGkEymh18D+v8+4pTqjTLvA4PurbBhg8fib0mVu0H8yu5KaDjP5jX317qu/Cn7kZP
wTgFO8oc6YKP3tOUkjvcnAslt5gV0Bo/jcYkua/VlMMPaut5aVjG83xL/GbKF0vPdbJ87mz3iTkR
VP9vOndhhRLQzxVhsxSkVY9NIK8topNcONaUQd2Aydf7bQ69pbOdE1JNqn9dRoi6B2M7nqDGup89
/7BEMWjjNcybNd0uqbtFYeN2CkyL3wZ19HX1IcbhMH5Lmcj2wZLSj9wne9umz9CIK4D99EWt02Ar
ZDQUnj+QXNYBqai1tpQcC3li4OhTlS4bAxukBRIfhbs068aFcV41G7luWIR9kgSLrprW3dWxfdGd
xLgQcZXSrt/rttkNVFE4gI9vTp1+Es3JYQ8qoa9kjI5QoIgKnWQkb7RYD2iGfDAzf5x93D0cmLbd
ELqQL/HhvST1tfQA4fiT3BriPsG8DbhnNNJ8WcmLZxtSNPH6oF0oS9C0+5BZFm5VEr7HroDADYQO
XZqthRYwcpocsVtnCjGamCiEtcN7r9RSMCtKUPTHctRSbXQQj/dRwkOY/A5kN0/RRxslNm/C9amn
ZKqg5Qtd33r4FNGZ7kIV3tlhJrnL7waoJaPqdQMAgKCbwjmmMD1wOGgrPPL29QK7gzUjN4yyKzrB
TJ7CSbe/WOoGEMjJ4LG7XMx2PRw1CYxpe5eZvCER6KPuKUmPuFfMkjQUe2YCvXEc7zbEvi7AjAni
dqNgWtZ7q8kl50PphxoGIwriqWvfPRP8TQZH1G2Smp1Yb1z/Q1LXRdQE0A+gyTH0072BKwzszsMN
mZkG0BRtEjjHgNmzaZxwzRP4k/RMYrb74w2nbbnCdQXo/lgwdH3nynd3E+yB86yFHRmBlNG41ltt
yWns4RUCrsbtEAQ74r+h82DbXXT2GwjuT/20DS4K/B5WB4Ekf82gze9ApF/12FmBStzNLek3JLbV
BEH/xUFYyQcMdnZcIJpe09rmfjqXmgTw1Y22bV/TXEFGmovhxln9tURH0gSDiqbO575/TDx629oo
zYfUuSbpqvJGBohuOfxOmE2uZGqufCeWeb069/g3rggk7jSk7tw5fo2m6Vq3nELTsXlDscS9UJy7
fCB9NXUZdNxHNudx2DyATwQJn+werYBJDg75sxeyKk3SnZ09TGjoDDsC4h1JON7VXnDutHflT4BS
zDpB8BQsKCSVAv+jKtEkWBMZheB4d4MJZ6sxhsBjbde2clh6pOieTfVlb+lHP2/QHTw25rym4T6J
tbcjyilHAf7PVEdjkYzHnqCElPpz0aBzL+bZVoKNa/Lw0l+zXjptukvPzYDmm0lFeYT2DbdrH8K0
uQ0bjjXzsVFZsu99Vu+jcNmkoKhjC+yHbq4yEqm7ZUg+xM76GPt23a4dfYZoydbVhlWmkWIrotoC
f3D3kqGTfojkp2wZnoRkKZYbmGQsTetjANZCs5onkANKN6NXwqXbOYs+JxfyohtwW0JRnxYoWV1R
1b+QaX02K/RCL4V7N+3gbhyYG0TxhyTsaTGhXj+vsLHJJmgkyEshOkv1fajl85Bk0MOhTeH1okcb
Tg2FhIigGgxS9yZ14TsnwxgRnULZGnzuyBt3RkR3cHNQpe8EZ+Tq53ZcAYEBqe+B2MOiIizqECD+
BDR/AbjeT+FnaTVkAiAD0TLEpRc8UFlfHadQ3jESlB2sd/mwTBs/FFs3hpFnuLxb+FZUfRdAoKvH
5n3Bg3yjdnETvUP6Y5+NAcxrsytCnJ3Pze0MfIUzASwOeZing5wOwCBg0pAd037ekWQOdgMKqKUH
SItTL08zu0lRiCmHAH4xkzMW0BhHlrn0JKdeV/mkD/Am1ymkvfxH83t/NnVhfA4F2I6H2Ftxzo+o
5uB4cunVPGGTju7UjBhhCkqDY9lk2Q1ofli2kJgtswFJht8OD04wPricvru6D66msL9J3BlxhJuc
Rr52eYhugTaiQPvg4ouZKJuNiRn28sZnZSadqJpl8knHOJndyD1Z63TFFA2b0BEH6t1RK+8vFFIA
PcHZFw1SU8ry1HHus7g7eYmPTjPQAXIy+VkecXfJl745d04NFz4nxa6vkg5AZ4g+jzHCUdEMadUF
sK/X8F4s8F269MeeXcOdFqY+rruPIj0U8YJdfmnVXncpAKCsVycythDaJyQtJy98zLjwq5iyGVaj
FmvFX7qtCplXAUru9q4m+hUSvH4++eMTgo83xrWTt90clxkO08v7vdJoS/EU20dAn7QCtzEoeELv
IkeD9cjieUMGu2wX4n/SFwVf+J2vZaP4CeYj9e0cWH/PI6bAl/YEIht2qCUeaAjB2L1dIgHFbZTl
ybI+dnEEfi662h0OZ0eazQESibbbpOk6l4F2khKwzVI01nMf8BVdyeZObBtC+73jxa8uXJV3q5Z0
A12mlzigz40Y0Au98Acq3C/RIKBdkmTXwELcnZdwJ0/jwc17YY8g4TwkLU0OVjY32RiJigaNLBFg
2CuRtGFhqB3yHpcCKcjuUuZ96omJblKRHOW4Pk0xO0PjhVXeCqNVeM0huVtWtjODSg8g9nb34bD2
2MZ8WdUMYC71Wn5RIEjzvp8/msZCqXF+68GRyROTyDw0kdxwtJsVMH/Yd7T7PEGW3qrxDTJkY255
fxeuoSnoED0M6YfGrtfNMsgtmZ1Xboe26BO+dSDwgUMcCQkcbr+Ett1SP9t7Sg4Fd0zl0fY8iqZC
wHWCnkxfQbDvs5M0yJbScbkCjytAIWOoCzvBEye1OihhPFBvoFDX5DNtVRE0QuYd6ZODK9N9NLP3
JVp0vlI2FYg/TzxYEVNoB6ZdAIErPJKpCgy41rW3nPoFLcqgN3wg69AXHMqfMOkONTjh7Nl1lV+i
UIqH3fBl77uJyVmQya1AyeEQNjI7tkoH25SY69nyWxItdbWOnKE3ARFqQ/q+aAMN9XN/uYk9if1V
sH2wZq8QsNmmlwZIV3av05I2h5ok14LCP0qz13XuOhBUIM6juH6ksIG51Tb0N6qhcPpZVYUngjZS
OZ07uLZWobuIwhOtyN2J5CZe7od2vdCHZeF7LB+gXYrkUOatJz7xQd41vo+gddnCPnspBFY4jKA5
LeHH8oyOtltHUQvzieaoLURs0lRWF4X1HIK3YzkTb8/ge4W1MTYFsW1fshTxadSOsmBLJo/TxNMS
+ZvdUBZNm2ACV4OG0K3NzFWWNjFEf1D2HYbu1q8ziOdxJyqUziTEBZ34uLqovQ5eoErPpXkdkkt4
QVH/qKEgNLo9rBp7OA16XXTFbZKgPF/Twg27vuRQetm1MXnOmuRtgbcZDgb+Dl5Ci6hem6t59c99
5oy5MyzvDuvafEXfa/E1SfuP1/n/1e/y/EfmOPzjP/HnV9kvmtXUfPfHf9ywVy0H+cX85+Vj//W2
v37oHw+ywz/fv+Uvn8AX//PC5Yt5+csfKgFm73I7vuvl7n0Yufn67fiJl3f+d1/82/vXb3lY+ve/
//by1uF8ZIPB9DK//fOl/dvffwPYmKF3AbjWf3x7kX++4/jS4cM59A7/dqajfP3xJ99fBnP5puT3
0I8zQFTw3YzBv/7tb9P7H6/EvwPBAD0XdTZohga4mpDaUHzI/92HbA54EWAH+lGYAjgc5Pj1Je93
yKmAZgk5hjC+mOb99q9f+Jcn9eeT+5sYu7Nkwgx//w1d339JexNIAANGgZw4KvUgdf6bc5no2lim
NZKetCGVztor1zpPTSqqtV5Pqu3PTIal8qITE/22DwUacNSuhf6k9cZyIfGjuyzFECS0wJtKkcJm
0s2u51nc8YUd3MhcrQEyPGzft1MT3/QW3APs1bRHBBmk8V5ZORYkMc+s9u4H7R1Y731SLju2ZvjY
eeOdJOSl1XHF5TrnYTLcGHhF4JGCGkY+yGh+4ouPECjbKDXslUqPk8JKY7QG+TwQcL0R11DK3dXu
cAO7owrVzaOPyHPi9t7P1nejILSDALHQ42WZKD+nDd31aGP2nOV8iRfWKWhhldMe3SS+E67/vrre
e59AizNIxCfN7WczpXvmzCdfIszMWLSpW79EL12V9AlOG38sIHu2zaDsg7LY0Vt9CkOD4YwGQ9Tf
46JT3OR8Tm6aEGgZqkoVSGifuUNhuNC9OtgqxoBfRfGEHrypygys2FreHHoaPfZhdD2NKVwamxEC
4IP6nA0IW0JplgqAhSp5GIBUJ9c3YwhsHMNZNfvYXfz4igVItZWdxj2j65F40r8Kp+A4EjAzKfDU
sZ3cbTshZRRiqq+c5c1DgtpOOCUD8NGq0Qr2EC7JtG2tZwo2SmzHHpVVv/L7JVni2xpCraVFZlX4
WqBza+2Ss0DQkcfz5bAY1VQmASNlMmRogaXmoWciuuEr3tHE3dnAgj6vXX5WKAxUrsqyErMIImpL
VqjZXUrqrjtqklIQeKxE47yZEIflkU72YJd+sizdw1mhZF4Cc/lo15nu7IIIqiM852CJHkwNvKIf
N3BCuJ5W96W2/KEBDUk1WZczzKK858FnRLz4rcEsSjGLx3EEWgAgI0K72+OKflo0o+bOkwQn2vWE
LBCj6VyGmSmTyflQL9Ip08AUHrBnsGyAYmA9aqBBooYu77xxPQrQhfKPMK0LcjfBcaXSdMdJdoV5
ynOmpk0m1RnZ8rZxMNKwMUxcsO6VOtCGPEpCK4Kqbh+ORc1BSrDJ3VyvZ53AFCSW7E3OEqgUTXnp
RiWlassNosh5cp/DaC4BYiOqg8EGfHCMTI+aD3tYV675xT06jxhB1AQXbpyMt4m73HhehsyEDUEO
bbonCPTnenbvpxiNPSih313oRSnpeb7acTtgM2jGBjScyLB89sMaWZaei05CbKK7aMcGGd8BKsbB
ClidN3oHkA0mpErvybA4+dCj5bBjmiALk8uZJupjw2lX9BOoxHJ2URjTHqQxXeS5hGR3sB8+8NmR
RZssV+3auncKdWlAIbPo+t3MFPwwsxQn83LQuittzK56TAD0pgb50JoP/gA1uQQ9vCtB2BeDklon
V0OG36YWf9+GKZrVyMn35Cl05yO0NTaeO47ohRzrvGnnCjojN5J6iEQCBbk9fWBQ6cum9H6yunJG
UclJnGWalVDUOfl02DcQ9yJgyuRdO+5pHUGcWoq3xhAkIdDQy/r6qXXZ3qrmDW4IV4R6m5hQGERb
lLcXBjtWBoIGuubEaxPCULy5vjiV5XBq2s2DvJ1i1+brqOA+RL2PVKgu97M6g5MrUIphDvecr5+1
kB/apTv3tP/SjObjSvSxlcOj08QY9zQ7eya6RWdcpVzvwLXada48ADUoVbveWd+86oDfaDJc1YE4
Ncrd+x0QjGy4sQrc/WmFCm2T7iRvboGBILJRPYOmggO9YDU9tY5XUDEueR3HNTCk+a6BFXo+zeaB
GMCS4SxuVVp/qYPllSbJcWzgn7p66VPUYGR92uQZSvtzCt1EpdaPftK9Y4bT3PeyckH190UbbElW
CrtxfQxGa4EfAKLmhykddTEIWm+4An2ToTeyrOcZ2YKgn9xgcbbuiAylB5UA4Wy9lgGx91pQJ9c6
/Eh7AJF8UhZBZ7dxjQiAATlXMurIvVDxtd/4IaYpHmGa3XCzHl3K3Aoqxke4dxmgZsi7Vd/gsrgf
qgK0NOK7oHFxsolvKyeOP0E9Hk3kgHxoJJ5XT942DLaAZInPbKJw/RTgAjQvwezlY1smjocKVL3c
LXQCHLvijmqFNAZiKgeAgEgvpbytVQZ3EBWU9ST288y/hFN6jVJ2mo8DPiA0fai5u4fkAhDf9o5p
f0+lv2tMdFXHrMs1i4rMN7uEZW0+xsnzJORDKszGttAnQ6yeS5dBQpkhQu/SF9urg5kdgF1ofNya
CC16LJCPhjuvJpZHYxcvN9YHg8kP7wEUAVxtTF0JgH9nKEgjm+YCtQfNPsexdEAeFHvZ+PsaX1K0
+OWNUc9zrGAF3fgHb0AkrEDmRBPByvuraGghmOn5ZyzjLQV7WyIWaNF2F+yHZMcaAeW2h7X3CuOY
rcP7N38MTmuM/hk9apC8VZ0zijZnEbwDsQo36QrJdKT3AsHzWhJADMYfdqJp3rQzHH0XHno2l9Am
z6MvjVK7bJySUsZio9f5gi0gUAiAIES+PTZWFKnopxxBy3W8dG8It6ssCA/zCCQxgsuyRr2BDckm
xTXgly6xW9ppl5gBTVzqLlT+65KobbiMF0nRCKeHbiq/XQ2oWc2wrSNzjyaMG1sPe9g539hk2bVk
fE2b9RP00GgB5vq9E8EBXk6uhs1fe+O6SEgGUuNzgCKWhGDrEUDKg2a/RsMHuOZCVRFAuu/yCvQo
BydDE3YnRupoQ1wwe7yUvS6g4uQKe08Re2s5WruZ5+ShsXI/h2Olh6hyPIwH2L459XFa10IfIOKA
A4vAQZRet0D92gUEg9CePejpLV6ji0AGdUkaYIZUgIGA+8P6d+Ntz+q1GJYuLuLInYo54ig2BlRX
g0MGIL3OtFlWAMAo7G4Cm7zUk+VFOOtN5JC2ytADc1pnD+6aQn42NmVA3n3sTuvq9Pd8tHsb9g6G
BvBS43TXULuaNiyN2u1QD+icaWIgY4OyWwGd8EIDV9mYDtg8DcRNTzRyNdnIiqarOE0ay5Mv83ST
zI3CjhOpjYK350kp8h4iYOximuxatztAQeKEcvErC+HrJ1zlFtxA8DUbSzkil1WsmGoOntGUvMGW
60ry/gHul2SLrmOVO90CGlljUbFz62YTcWAcsk7JRkJSDcB6C3S8J1GFFHQuIE2EdcY9qD72SFtx
334N6Xm7IriDaNMHg4y0QpiI7n7r6U3DfVtQm4wPVAPVgJEA2EdGNYcpVu8BApyKmp7vEDQm6GNE
NCWyet2li32rjf6CzeE0deQ2NTHf+CM7K7e/7y1QQ2bTXWbVwentTTw7APf756bTqGTQ9BmmGi9D
r96AhH2YfL7RSJcRsnmIaSPMe6Pn23pklXTbtuyvu4uUObRSKYk3LRKu0idk2UuOzkTaG7NZ3E6U
kZpuFVk+ZAQh1BhJvYXckFMi8/eqjJOXkMq9naErMMAvvdfhdoztfiL1jilb8YTts9X7MKMpJB+b
AMicX3GT7ZZQ6z/K+P+XTGfIYX+STL+8/u2IhPoHqTQ+969UOkbum6EFEPJlgQ/F1D9T6ej3i7MX
fFjCIIby55+ptO/97seodGdugMMDugZ/ptK++zt4Wh7+NkUSjH7G7H+SSodfKUJ/ltWh2YuS2dfc
HGogUeJ/Lbt/w4zgc52qeKy7g2tIafyzRwC+wNwX0PFGw2k3q1FXBkQJEzZUf95rHlynZN6PbvCY
4igqafTFH5bdGIZnwvjO402ZBcGV8jt0v4d3pJYFsvXN0uqCTethdRADe+O1RFcSKAo5akGQTAOe
ymA+2H4ODc4zWBrQQCN31nth3S7nyh75HB8ElYXrjY/GeQ0zXcg2KH2hS8e2aIVkN7Vve2SNKLek
WJJgVcJUGj1YEQFw3jgu0Gc0smvv5Cn9MHbTdUsA87r6sxsDl48Qhpd1U1/b1QKjlv1QzTEBHple
jrhpFwxS7YAkvFiSdEXW4U0sgyYCpMM+qABp7NyF90EKW4JGffIT8HiI6r+gtCuh4w4JXnhqD5SB
ogjaCYpVFAXCNEJxbCgSJ7xK7ILonmBM/AG7RzSjPKnbx1o1GKVueJMrQDfSlbyOOXo7+zoHidrk
JEDG7mZV7fh7k2RvsVTbLIpBGown2H+sBoms/wDZgU0DRHqw2dGdeDVEwa0bDdDCwrNo0s5UBidM
1Gj8un5wUJJHRBaK5kVo22+1yfYAL84oJjPEJ16GNkOkuqlzFQP2G5Dbe2rdukucILhfU5STNABc
OEDzJrdh9hhmQRFOwyN61HbUZkW9pAi9UGKSPWvyVNTPitVDYUf+IkxaEoHOS7kMp3kgb+nob2Ar
tFmEcyMdDo+LZ2RhT77blBY3UMIe6QSP9O0Af/TKp8GHVDd9PnY+FCb7XDAiEKHhd1CC1DOTMSpr
yXzJS894yIcBA8W6C2aK2LsFyisyacr0MrN4vQWFdUucGLhBHdykRO9mn9+0XVfA0XFH57WgI7bw
eEqq2E82A0pw3hLvHQemOR4rWo0ov02cfRpefFBGdKnNOkZlwVwzv95nsX81kyyCELpA4qTvdKSq
hsG3MPHR/yjkBvInVYyTrwFRTKNsbSA2Yds9F14xpRfmF8qb8Hj0ZDlBjgK4UC5mOD+qYtF2E8bQ
/hZxEdrsJBO3CEaz0cYtR8Ue0oU9TNQ51Yg/mnGtGuABKHxgZ7hGyalyEnsjOm+nl/TBnVQRN04p
naQIKCAPJd/Rtg032vZ5wFrzrN0Gsy7aEFiEgWvPALQmBsATm/QixJ+ng1f2g9mOo8KNgAiRgdNq
w7zTt2SlHKWg4co6GarG8z4J2ydf08c5a5FhZls/dSCDleQuZDUgFZs7DX5Exk40kYjgVCmH58l7
tealTgj8KL0671aySwYfk7NHCRIBD4/buz7ZX1orYOrz3EK1YIHZC7qlv8ggK1YxpzlsaXOJPB4B
AFxgbjSdQbnDZALjQ2N+Tv2JIq6K5xZzX7+BEFvBpAGb4n03AgF899eVQYdco+LE7kyYfmqRWctw
dbekt6dB+rTUqFXI2Zlzir40ErGgdHT6aSIz9PRrex2L9GOLrFgopcsLXXWZUWn7mKDnFUWtsxvU
OzfhKCzNRSveEv2WwtQy44hZSFaqbICvxoiSFIuegdiWCx4PQZODA70a+FR0SC85Q1bL2OM8mi3K
+PvVc7+YzBaC9NeJCJ4i6d2196h5Ich8hMB/FXvOA1jwhdfB6ADVchUBF3C2MDz9LBKVg/ULhAvx
WBySoid8v4aW5Y6LBg87b3SHKBSYZ6LQIwZYJfTDrbRONQZI7ojkD0TINR/HBliFm+2QkJW16a51
Gp/n0LkQPaDq7WA32gMgvBIjCC+oyCG8A9mHTlcKZf7Rtm8oknxmSX2wS1zVRhZY13gqqypQVyvU
gJUxmDy1CKHTOfwYEh6DoHIawHSH2sdxcOJt0IVvHUdZjwwlWt3OQbblBNvsnGDbedMgiCiurh1k
CKNTHybTXVKZexdev1yLIsD2kHtutJ3nKcsHzz0EJKhRlEY1HpZmqJqfYD9YEeR0HLVK215Pi/Mi
JgfXSjcm5dcrqoK2X5JKZgfVrXdwMK8cvPX/qhyXKgfK1b8KzLbsRdT/Fpl9/eC/IrPkdwBlcQxr
qNSN44sM2r+KHNHv8KnzsghCJMEf4dc/ixyIzOBUkSUZKiDp19jsv4oceMnzL91pMV51M8gc/w9q
HFH8VxbhJTBDmcW7aN+gGRgeSQgBv2W1N51yl3pV4uDB6+AQ9igY9yujpbvQeBdArhR2IK6b1469
Xx0gfvOCfAOiWOnVNJO+cLJUbUUcgDriP/TGVpeqnoOdvHHUqwDFIZee4Rs1JU+z472G2nkDQ+gT
6WLs0cm6bJ0+fdd9NBdLLZ5j6nzWaTtUfuLdjjP8fgOKxKUdm9IbkqbyfBSmZ305U1CVtm2AsmkQ
FCYF7QrE22ukqRNA7sieKchVdeCi8hL3t1rGptQ6bgvRZfupWeKtMxFdNoZ9lAkipX7VIGfRuEFF
cXoZs/kudkZ+6CjEtUYUBWwLtKM72Fme5hAQiB0vsYRETw8EHXbc8ovXiHkxwQLtpxlHkvIswN+5
2YBHAboSmT8AjmZF06EA6iNlO4i5PUPvjN9atwZAyhMoLa1OAvbV2m1Tr5/3gzNG5dSmcQ6zlHTj
tCGO6cSInPDaLbplYeXY8CcJ5onOugF8GvdZxSkrxmXyq4n3thwB/J7gZfBlCs2T0Omdnw6IMVXi
QYIbrtGz+WBb8d4Zb8wR8YYHkLC7QkTDvbc2D6pfX+ZFQirJsyf2/6m7su20kSb8KryAfKTWfjPn
jCQwYEy8YOdPbnQUTLQvaEV6+v9rQLYBOZOJdOHhIheGVLdK1bV+XdXkiq5IjjMu0TxVdMp1piY7
vVHJF2Sk3Snrkmga29Dwqv8Vj3qH7GoJdLOgRwqHmVqifY/iBYHrVwDBj352E7dgFwLjAGOebheN
xN3XWS1r6JebIANif1cSdOP0shrjTO37mlWASeL5OWF9+Bky/5TVsaqrhYzbBxHSfGr23dl61SwT
hWYcygzsJq3nOkjfUBD8HIPUvRlH/J94zEfIeAFMNJKkGHWezjFw0zYKUYAK5ogwd1TAxSS1vt5J
4jwFKA9oDODf0F6r1ImspugdA8cQrcxdI2VCydjy1Xc7Z5RpxcsNwGHInKKoeOPHYaO7PiCqAnkR
CnRKre3kJXdTVF0iQJHsWn42WW6GxmTP6DNnamKJCpAZegAglY6+q+VsLPkC2kR5O+UWoMFijEaN
W1zU8QVN9dy71GMZLSJQNaIN78Njf7rEYcdpmhAj8vFESCOhajrzXG4CJMR1VSHXLpjzHNlwnvAL
Nt5dC4QdI5nwTRXR4Y5zohsbXreB7JeEe/vwGXeAT+koZO50XCDXzcJTNQIkBTJKkTIlkbsQ3ULW
lJRNjQK3iuAzFrdqGq/ZDAMrZUZCq5haZHRTifAcIVKlAYduYlyCHKa5REWtRlmqAabJA66hRFOb
rR+OcdXqht9JKgyjbAHL4o1FX0V6sWQA3qlklCsA9623JDZM1K7RHi0F7KD2Fz48FJ11eCs0OXEe
16qpK0IsYRyvE19jdlesOwizdLOCjAqwu4JdNbqZoirhSNVCCsI1CRhBb+Ad6rLCPJEtUkXIleW6
6vvPihs9NwxEIBGIqG3FPNVMByGaLJY3RexnBgad3gE/bOt8kmZGU243cBY3gltj3mkTFFPBk1YA
LiioWyHfviPAeLpi8wXDKL9wZnCP22S1xgjBNAZ+Dt8wC9zNeLJl8WdKqkrbCgmYFze57rO+5dnN
DD7fGnjMpVpEC1OFRtjh4m1sI+GPQjuh6JoJ3Mm5GuWG7YeFltUs0uvSmAvMW79RvjRoUYUWmUDo
ukHo6mng3QLpCyyMzax2PlzunVM9JV5wV2MGi8FLrgrFE39VSPWjYKA73FSQ0awtHPtA3EVJMJdS
RF9AUqIloVCOOSaZoeFyrod2/RKR+isjAGdYCgJ6BTeMhVArX5RuaIUVBkOIVYEIP0EZjqv4n1HE
VXoc+T9Iai7tEhcm4vgFHYD0xo1Ri0vNYBIl5D5n/XoZkjjQfAz1NnIxlNEuQHT0LJMSHbN32HGj
5itJlh+B4+Ju0VGIAeI5tGKU+7UaTTf0dBfO4ESyUS6gQu/d1KqaoWluIc8jL8XEdyVesibqZDLv
66KACMKMMHoB8dvXLZzYsAAmz00Rz0qOCcQQJtMxGAw/4TN+pqK0CEjmtBRFrLBLJoBri0ZuotSN
AasBuqeZD6ocNQbrqddy6WMYVlY98MD3cDHr6RWXfeG4YmYzyvctQSc0FoPwigIcRwMrlNBz/s4G
sA6FXfLkhICrugpFxBSWKTczs4gXwLwJqECqc0dAe8DtduM0CJwa5BoNtjGXmGX/jeRVpmUpd6sQ
k9bcWRUY33KR1WJx49buzHdFpD4Ff1XvSndCuKIcC7x7D6DlHeB/hiD75dgMvjm7jcCXwPI+iHGy
2pb+OrMjzBDbSrZho6g28TweyXQRyUBAGtRH4iHyLmr5Ia7gtYpNRFE/DLLVQA+h8QJ61/BqPZaC
Whgrib/2y/gHj7SRWfLkuizCVOdyOOcuV8YGgilTC9J6LhPEIkopLJJUjozY5PJr5GLJd7eJlqYN
QLKN6qiRBQhyPQTLHo2agcDjtIAlX0XE1jnDpBjRCTQrbtPBRinxhHPr25hG6miH+Ig2ud7ECX3A
Mhg0irdpoL9l3Ab5U+QaStzGnSYM583R8GeTAECA+wTqo4tO3vNYzZhJs1NqwBadGrgmRFGljLDE
J8FzWTfp/1jkNQBuhUfgLCqElRFNfvgM72osxtNqpGDZBZptubpEsyZmXiG1QNMqSaRcA1SGbBLK
7GyDRJgdKtnMaeyNavIWg1N93/jCtSwT5L2b8ClBG9MbZseHqCZsV7UAzDPDYpJiShNGjZqgoWRA
kNcPah/FDIc1FJp++s8ECu+QUxd4qANi64iW2uOBVvGf/aj1xSns6pLQCcBqHRdRTuFathtH7yMI
IiJEOEkH7yntwV2/ohBYtLvjC+BXHA9cFc9jDAZ7+IBgEEd2+zWrXGHGpIS7Q4eV3vHmctOXeLI/
+83J1v8BXSYhDPkdDpyReeMAIVdIdqOHHNBN+w8InnBAuOJwC1qWaHM5rPTpOKCcR54fyMCHHODw
jjFfTgEWrpsD4pXMY1Q6uPA5OSCcIwz/LQcQKaP1AuY58kcO4FWfyQAuTANcyPH7U/JZzwJQkb3O
AqdeEeQfCO4IdmsD4QpDrCRYqU8qCfRSaS8OoJqFkqWMflrs4SycS4J4hSZYGB5AK2CfURvQtE1f
DqDdG+bDIM90+JydBekKYHWBxXCe9uvPyAcRZc2+fBBxZwBDCZCio59zy4gyKhrPSCxN0/0uB37D
eLx6GLrjBi9738LdZO/w2v/4g9azuCRwNKwUm01dh5MfUiz3gfTmFdv914nN2Ju+d1+2pnC/zvG/
Hx/wcumTtdqnav84dTepla6dev9FfdzmASBO69mjlYNr2u89Hwb3ywScQ4hi++dOMPqrCPxqCcPd
RCMN/7SkKIPeVoBWfXvqC7j7b60wtYrRRf63XQEI9f4rPB9x9Ccw+tcVFHR+6P0M8QivdXRLF9Jx
haCl+J5ZGIjb/vnPX8fCcrGSVbSUThcY4H3rVgSJirvpw5fozSlrBNlt6ZxuH2qpL3nD8kdL+Ogt
pdMFYAH7LrC/k4HkotOSOlkBAI/eK9zjONsXUJVXcZUGEFfNGj24FvNcYKHVB8IkDiCt9G0sLL/l
yQmrxEGECXd4u6kPwqX16KZbtXLUhPYVpRVVrReaT0YSGPWq/uS/UcVtnbAHRU5cOqIhQd+971Uq
gD8nB+1IHl5WX/Krosbu9yehJUaF57jAAMxZpdaIPkMH9QHknppkaFH6fqfFpmONAdTEyrFgbKax
dUmeevq934ADS7O06Xtoib29AZpaGWQBqk1bUu/ID3G4rPpChx7ERxxANTzGERRbx84HOFqP8XoE
8ew6WuIA7tbBvKzSDsUgDnByj9bL7lI8Q5iUI/1TF+L4Ygc4VQfy3WIpDXCscJtzBMV8KTm08VDf
I0WJn/luB85IAxyofazxAWMGkPql7WxGf3cxZgCZh8c5OvfZjpwZQOSpGeze+gCGamEhtOg6TDS5
21dgFtTThC5rKb2p4CEc2QXleqeLQIHNffd+AxUM6G9L6G3r8gDCfkNN94VrdhAZ2uO29+Y/Nt7y
AIdpSh37TjVDL4f33Tx8DmQEugy3PMBpmsLvuHPokToPpI/sH0Du6RoGrgt3eK/yAEZkCuevkz+0
HNGb+9ZHgqkMIDmQeTg2Hb4BneHed+tUGcBAWUlL6u3QKgNIzp78snPzAyhigyYuPpRKWgDryx4d
ql7r9PvoOKX+1Ee3p6H+4TypA6hLqg3wYs/ykEf6A6jLPf1fNcJ4zcr+WQpyT/8DhaAOIPgarMkq
3bQv8U3s6ciYvi9W+/XFpr6sAfWFuynafb7b+wAiT/febWYP2N+em//7IyOOCYztA32Ui+3K1r9W
uC9z+G19v+u/nRYo6C/WwcZK//o/AAAA//8=</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_xlchart.v5.8</cx:f>
        <cx:nf>_xlchart.v5.9</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_xlchart.v5.6</cx:f>
              <cx:v>Tỉnh</cx:v>
            </cx:txData>
          </cx:tx>
          <cx:dataId val="0"/>
          <cx:layoutPr>
            <cx:geography cultureLanguage="en-US" cultureRegion="VN" attribution="Powered by Bing">
              <cx:geoCache provider="{E9337A44-BEBE-4D9F-B70C-5C5E7DAFC167}">
                <cx:binary>1HvJkt42tuarKLRupkEQIICKckU0yH/OeVRqw0hlpgBwAAeA4wvcRW/6EW4vu6N3vbzLui9y36RP
WrYspWU5fKOio0t2yPETBDGcg3O+7zvwXx+nvzyWzw/dm6kqrfvL4/TjW+1985cffnCP+rl6cEeV
eexqV3/0R4919UP98aN5fP7hqXsYjVU/YBSSHx71Q+efp7d/+yt8TT3Xx/Xjgze1veifu/ny2fWl
d99p+2bTm4enytjUON+ZRx/++Pb47/9av0kezNs3z9YbP1/PzfOPb7966+2bH15/6zfjvilhar5/
gr4YH0UxRZhHTPz0h799U9ZW/dwcInIUhpizmItfBj19qKDj8cMfzuSneTw8PXXPzsFSfvrvFx2/
mvYXzx/r3vqXPVOwfT++vTXP3j5Ub98YVyefmpL6Zeq3pz+t9Yev9/tvf331AFb/6skXJnm9VX/U
9Ob3JvelPb5650/aI4yOCI4iQTD69Cd8ZQ9+hGkcYxxBw6dBP9nj8zb9/ky+bY/PHb+a9v9v+/6V
s8BJuNYPVr/Z/v3/PPyyDf+As4COEKEsiiP06SyAy391FuhRFApMSASH5Mu9/3ky9Xfn8u3d/6Lr
V0v8vMKXj/5TWeb+7//LvpF//x//yCAVHjEWU4Ei8m3DkCMaCwRnIvrp0Lw6GvfPMKHvB81vG+dz
x1em+fz8n8ow1xqMApb531b/4r7/kDNDEeEhCem341V8FAnMY0ReGQUcHyZjvj+Xb5vli66vDPNF
yz+VaU6V/o9/+5c3/9X+4wwTiiMcQaKIWPxtw5AjQWjMQvQqmMFcnv9gJt82y+eOr4zy+fk/lUm2
f//XN9f//j+/759/DmuFkLu54Byxn8PYa6xFj1jEMAW89YsffMrt24c31/+pk/K54yuTfH7+T2US
2Iw3//7f/+Pf/ts/0igYHeEYURpF9Nu5JT7CYDBEEf/U/rVpXuaU/qds82vPV8b5teH/rXV+HyV/
JhDpg39Y/cQ8vgDK32/9KVYAH3rV9XsE5hO02j39+DZEVFAioi9A9Mt3vgJfLznkzbXuHz4Hz697
Pj84//IlfiQAI4QMuA5HnAK2G58/tTBIUYRAQ0g4iRh9+8bWndfQKTyilBJwDBaHIobD+/aNq/uf
mtARvCwiQRkNBY1C/Jn5ndflrGr7eVt+/v3G9tV5bax3P75lb980n956mSvjPKI8jkIWv5z+CFYM
7Y8Pl0Au4eXwv+SdVkqostpR1pukI+IwRNFp4QckqQkudY9t8sUefWPEEPbw1ZBxyCJCaBhjKjiF
9PzlkITwuqsXq3Z8YJL3RKL2fNCxrNA2QHuDdhw/FiNeLVUgW2uk10/fnwHgg99MAfZcALPkBDMs
0MuufLFqPLQqjzImtu049Qkns++S2Ol6P4sie4gaQ2+zbPY3RKhsZ+qF5lL4sVjVGFMZqqwtk16T
+L4RZZT2IuxWXjT5Q734HRtdcRCOuxVr2uKDciTP5TA0H2PPbBpQ0qzjmo0Jjxqd9rpsjscKR0kR
mDyprW19OnWYGllkuWaJUWq+zkM03KhmaNYZWQ4kKq7zMbsqFLtyoy7PmOrqA+nifTmg+zpWbk0L
Ecig0ZVkte9WuEZPTlX106w1SXG9ZBJV1h0jjoPnMYviNRy87RThtHbNpoq7OombspQzGjYjz7uz
cImDy9YHbdI5GydV0c+yjqZbUhdc0qz2yQLvf7DElaeBW2iKnA23jasceFQQSGyrbhf1xWWAwNHi
YBtO8XiRqcgn3nRZ0jTU7SlelrVuKivLyKclD6NaIq3b5zaz473pfX8WizBINTJJoaphw1GJty3J
d3RqN4Nti6syXua9J3G/soV6p5b5tHZkM7DKJMsYqw12y5wyLm6HuupS1y8ql/HYkqQVWSO72D21
dr7CYfFxKdo4nSqYDM4F3hA2BquoU8NG4Kg6M7Z7mjPTSESI2Q9zXCYY5ZUscqs2Wgcm6efSSzaE
d9PSv9eanQ0VC3cmdkxO3GRpmS1YhlxVsH3Rx8AJLXtbLqupX1DiA5utx4oWMsgWkoqmO8/G8arV
QZS0yFaJCZZa5j54jsnc3y6ZGVPiM+ylCpTZ94I/+oxEq6Lu+vM6RqxL6tlnyeJDdd6SLNyqodia
qtuDw90vdetvCQ4XI8VCFhmEs3IJKaxKmswgIgWJb9A4cFmH+q6P2tN+Ce7aYLlshryR4ej5MSpK
t7LTRGQ+dO0GKfSuCMJS0jE+lIXV21Hhh6HocglqlU64yN8NjOm09kWXdIXRe73U1ZbEw3joMX6M
q5AlPm/mdAnbLilq2C2SszD1dFayFVxLHLSPFbVWdmq0csBzJ0VQv88qodIMsUOFzAqWo+SC6nsl
2htV0FpSmzE5NmpXKnIV1tqleAw/zJGrpajzIVE0n1eBneREWX3TNaVIQ8P0KdHNsEgqlBzybh86
MLFW4rSixKU6Wsze+igVGUpbXhcyqjuShgKdeltAMPBZv8rjYRvbQCd1npNKupIXsu1ZfGxsjg8l
iWdZaGRvGoxcUk5hmA5Z0x+aJetW1dL5D4QU9aon2GxyE5yOuGolhbgl1UTvUdjQJAzU9dgRmw45
gRfCIE+aZW63QZTTtNZqltUSPQ8EXZiw9GmgUbNqo3odKxRJGy2Hhs1typ0+4cZYcMe5WHdN67Y9
0k86nuuziXRPZeEGObPOw3FpfaLrMLvBRG18FZO01Pl9U0163U4FWinIsRK7bkyU0BHMNroxTZkl
BAfbnlbofcgXV2z7BiKbpNymwnWBDH2MpFH9O21jIU09neGxXesFQk7FLUnj2X30DUKSGw5mbHj9
2ImxXGNd6vt4JuUzHntyW9Z5LzPFRFL0gVpHIzspbEnkbJYSRmf5ZhbcrAuGlrWZ/DsXZJksF18m
viAfqgr8UrXzlW1gF3KbNUkuuh0IBUleT+dFiD4oFj0rblZ2nm8Ex6FcyuGhZ/SqXup3OFjWfZWt
SUvXgrarsMgeZ9zdUZY9dUs0yHqOiCS22mYkrmArlUnsOAtwzSCWSLAhaXtfpb0NuQzxaNISx1sW
kDrhfHqeM38ivDqzlTKSeZenNfFb0rG063wpS4imWlVKzrN/76y5tnbc1ot+nLiFTYmDC9ube+om
vCo6HsgG68uWVnkSoPImKCEbscVdgP1vpkYpSfjUShCn3ndxvCR+GrrEFEublsQcq35pk74xG9+G
Ws58SBunvQz8ZCRZpnUohmPRt5nM63BnbXmhMdFJvjRassqOSdZUT6grG8nHaUoCOgUSUXcesP59
G429nNqih8/mBwvxNZlzdeqmspJ+HiG4NMFOtPnHosgSPhWDDFkFKbS8VZhD8I1tCx6PdNr6sU3n
NlySlmK7nRoxy0FXvRx7F8gelW0asknmfGOLAcKdGIvdbINVHbeTVIt/wgFhOYT0Jv7QYFddaziy
712Wjas86sUuH8khHuNVPMR0XxaxDEawlCSTr7ddrld93y9J1XVVQsaRJsw3XRI0tVu7OtqXutvz
IYfhfZBaOuokczWWtvAfSjVvWh29h6zayY6p8ylUO4iaj5pD3GqiESIALdOs0g9RzLdVP88JCftb
EjQbhVwme9ztdZ4zGbrmUHharCprr5e4hYMf5KeL6OAo12hrSElWJWAD6cQ1bs2yqTi4UQAhi8eZ
Tb+PvvBv8R9joDQDLg5j0G9e4z8Dmc1kaMp32VDGsjVxnY7ZQJKyNFvcoGWj8+40W9DHro7vGdIy
6/qzpTxD/Ttfj5uWs/OxKi4cYAy5RJNYL4YhiUuzq5bqY2G9ui0DW118f9rfgK0v044pIWHEY4rJ
15gxrE2WOQ3TZu07MNYOK4jbTbN1OE/mqroaW751I37XDfEJ7XvZV0JGfJI/TeNnBvQzfP4E4B/r
Zu6M0j9Xbz7//NvJLyWhn8oLvz5/qf/8+uu6ruDf16+8DPT5HRjn54FfuM1XP37DtX6HTX2qL/1O
45+hWhzIz+f60W+o1sY8vDn+VUj9lWe9dPuVZ3EWhSEwakEpYiBl/MqzCJCAiCJBf6Jav/IschSD
essFkPA4wtGLVX/hWfhICMpBwgo5OCsl7E/xLPLa7VlIEJS6wIdeqnYkjr/2H1LhuB5V43cT9YG0
Aw/SmKE5xXPZ7o1aWADAN1IooagJVqJXfj0Hg008NTcuqu6NqMGhDIQR64J7BHwu4THk4dY2d7Sa
buZuOURZR2XVlIPsoimN2q5NytpUkuP8XKt605ZolJWuzMrHWZTmMw0TumT3JW+KxA7DLJelcjIq
KwBpM65lz6MbP7XrMkYqQb6FNAU4BL7XnSqHrzVF934QQoZZdR7FfpBDHysIVrm9Fx66cJT1B5aj
cF3VtpJ5Hz/lcaZkPAexkf3QshM7FvBpRlYNrvRqmOimDaY9z8k5a+vjuIP4VXvvE1sQurILfgjn
XklsThCDJBBifTyNfknZwNCqhrACE8+e2dicCFyd5wo9Am4ekiryW5eXD5XNQmnKLJA1bXECP9fI
Di8xsF7jAjBAV9BOGqR4Ok/jLAH5A5LJepeIubrE3DVJ78KbKqN8E5IhkhEbvSxUcFqAkLOdukCv
5rDalRNZEtoPRuopu6C+ROmSqftAFIW04AdyxHkECUEPq3YAABZE4iWLx88BrrYDsteDW1KgGLUM
zOjPYq7rVbhoLhvC1aYJhynphgZJBsdBcjWpTT7SUmpq1zNRfdJzotdhXFchJHwTAkxcqrUqh72u
8WkRxWJlwt7viSoGMCkp1naeihR1WbNmudhXwbisrFBeTjMLXlY6p2OBgVAidBrPTSUX69aIoEXO
XfR+qSndtr5oEw1unWdYpFOQr4MSqKGb6EXOIDa6tt+yPt/Fi35a4qzfKRUV5y43hez0OO+BY8zr
pc2AJFgV7zM9G4kiUSS8CZ9nZ3Xa8Jyv68XgVVc6dWJGwBLhQpJhCIcDFHFt0jjjE5Bi4kTFY3fm
+zbaIiA52pbD81RxAJGiGtOsiBSkduykI+H7oZzK/RhArM550axGxwE6h0wlOaE+Cdh0MjAarxW1
gFNCHKRZZgCnCBumE5qGpDZUJ33FL6tuuV5MHMrCzX3iOn+Ny/6m5s0shYXHZWx0WjW0XAHcPPjI
6SRytlp11oWAlItSCrglkPreihXhwR7EpOCksoSlRCB3cEO4Nc10I5hv1yPKN5jVd3Hbo9Olp1cz
Kw/K8FtFoy4hRiyAkuZeRn5sNhPLPYCcaknB/3o4pCxMAO67lOPYJIFiE4DvKkhDUtHE8aWQpCzR
qlJ6pxrhkqnJekkdbJ8uMi+F0WeK4dPaTGcdss165INKRcxOSeEWOZR2FRh2KvLxucvc1UCiPp0y
kCMUMU1azJCcazGfAL8ON3wsu0SIrJU9tei003ZOtHV7FrZL6rBiOywETvIs5KCG2HLfYL8cs6LE
OxQEYjsQQVZTt5izBQds3ebNcT+GtyDdHcpqeMJEXBv6MY/nS8bMMQgd0ueDOVjShkmB6ZTErUAA
gxQ/j4uMpJTraoX8i+4k+Blnmq4MExawv4NYHPLGJyM3d3lZnkKfhyUqeCJc1O6KfqjWnWuXZNTd
vcnHKRlnBaDVADHXtOTpYIZrzmwkKxLcs9qdVBS1SQVMFc7oZNZx6Im0qItAMPHXI6QSSBNxnyjU
nwy47sAfx4+2w+/DRuzwMj3NY1AnnaePDR0h5PMKHOjFoNlsNm5BGz+qIJ3zcafN8tDm1SBLtQwy
n4NGZkv1zupGJfXSb3gImkibYTnrst2UTJN1NmMGXmBPislchEF5YKU+jURUymgM0G5ZljtAwC/W
RA40A35YuL8OVLvtxr5JB+6OicdXLBLHIgY2W7HmpBUWnWR2OdOjKw+6gksuLZkSNY2XAY7z40Hw
JUHDfDU6e7e4sZN5Nb2MMNQJbSqW9AXcWeHgo5emIdPKTaJKRqPIIa8oQP8899doartjiPFYYjVk
q46hPEET37YaN2uj6uumqpqLCU59k2eQrkLs0krQdLLzWVk14HYOwS6hJtEDzVZ1gyFJhG7bDvWl
rU25Eu1SymkY3y/zVEpF4yEZ5nlTirGWcT8vAFeXjMsCmzJhRUOkyjuyppaSDa+id2Rm6eD5Wmiw
GMn8fCyMwqkBAQ2yAaQe3vRlGnNQCPsyqpNg4vTaDLkChtzc6X4U26XgEDEwTuE2Bxxe5ngyRs2y
8nNskxYIS2pboKG4TqssJLJtF7EZjI3Xre67lS0ZWw+QO2VjqrvZIoh6DXumPUhTQdWVqQvARUhc
ZqumLU8VgpBFM71FPbB848v97HO7Etzhw0TMFXKVln6wIi0UFtIHqE+NUdW2LoopLQcySBxX7cpo
tM9rz2Q0aL7pNSycsc69uOr1zOPhuGfFk0ZTd2yWwgDvMXfa+hnYezmmOW5aWTt63DvUSaoV/hjO
dgH22BAjS8zKx4hlQy6rErSyuSxICTkxA+GV6pluXYkI4Kw8gMPfIY+m1Vj0LEhwOPWHemyiIWVN
BoJ3P561qmggDVqIa9Fz1IUqIb2LQHLqQdYpgouqqaMVz+w9HBK0AnLdy8IMbRKBDFMoMyWMDxdd
1u4EaZp09nDABhzDOvl8vUQZxI32/VDNYWpBZ5MZNqeiJSOcf36uYnHROX7mWmCbdUtvqmk6jtyy
yKoqL6fO7LkyNB3rCiVh60EzcfCJnuWdbHUB6uO4qGRshN+WCNdJP6C7kiqxUpETFxFdihTkDZCv
HcrWVk3VDmBenxSAgVcxBv2prtv9NJqHUi87tIw+iZh+xjZ7ypvhtMHlY56hw1SpZ7qIm3gCFGea
4UO+iNsmQsvWiBLUYqBrdTlMsi2qOqUdhLaiiG4zka3rJrqM6Q5iZYr9cYaHrQftUJoWFykI4hug
nHsSoFhaU65DtkC2CDOW9u5cR0VSLfUkSdUdh/1ZsBxcZeqNmIEnRoXaxhrcrC6DYacqfx8hO69G
xNMotiedm9c1mMzHHIJjd2qiXQhbN1SVFJBvqwJQVnCHIXEzgRrJpqZLqZ23HYcQqsUt4KM0q6mC
U13fetIMiVeRhaAJSkU05XU6iZlKy7hLA0uPhTYA0ehwP+lCpFGefQy90OecJdSqlGoaSaEBj0w1
GF0ol+2J1SrpY3tHhbubYzLJIYt3Y4ZdEtj5QYTutuHj5eDKEaSDInVTX4FMxDNZDDFoRcECgFQd
ehFwaQhkxhA3qchRtXVQj0oyG4CuOwIyg3k3IGTj84L22262oIRbEGznEk/H2Jt9M7r8PZQJTk0d
Z+c5JFfAK7FOqr7u1hPNN1nhrtBQR4CSIijQ9HA0msGtgdaEIEQgkAw1LhKEVbSiOqpkZJ09hGZK
aY3cTTBUJMHUnwxQ8tmHBXlAInyEewJnjWuj49wOpgZIVqotRGiQ+dqA7ZY5PI2YLbdmySXXnSTh
fB1xdIYrcz6zaCPaKodDRPuEluM5IhEIsFO4BvBzUgegwI9BvItzXwIVaj7+eSL+bYr9JcP+2+a5
hqrqs/un4eEvtPn3efgWrs6ca7il+SaBS6C/FKR/peMvvX+h4+yIESh6xvzlkg6hwId/oePxEUEI
LuZgwhGJOfT5ueyJwyMUCqhtAkmGugT8/ZmOQ7U8hGslHIUhYSRGgvwZOv4i1nxZ9oxJhGFq9OVm
F0yFv5D1LwqA0+J8nodFs0e5f5o6dqoWUOW/2JlvFDpfCP2rMSLCI6jehyELf1Pn7EH4NU0PmKLs
w7vQz7sG6kAgZF8DzPsDceo3y6Ecw0BQW+ZQR6bo1XKyiTgoL04AX7oXbjGcz0qsv7+aPxripf2L
HRNBI0ZUjs2+x8GmQP7ZB+zu+0OAdPP1hr2sAoQRqHwL0NnYq8Lw4D3gIQGrCBegjdYkEXAcMWy/
P0oI7vXbYUAOEiFlKAJo+/VKlNZiHDWp9w3SyVjnx1k9XJVhdl810V02NXdjZD/kNkimIXiE4myd
hKR/dh3o1gRE9QEUmM5UuyLMo/NsHjd/ML3XFfn4ZRcYgn9AaCQIv6pNR2Ubdyy0zV4A20liFJ26
Hgpyo6g2nBbvlUDpMFjg1v06K/EFKDPJjL0CYCVOp5AcFGlTuBO369HSJ9+f2zcNJAijUOVEcEBf
+UAVtYsfVNvsa4jYU1MlA0dXNijPvj8MEd/aAxpyQglcmYj4a0+wNFK5BcFrj1h8OSFy5spg70hz
mAnZD2y5KCr1Mcf4EOHGy6oTV55MVmZ1aeQC9bakzbOND/WWzuEKUOUKRO0LIMfr0bh04fgCj8tj
ZdlKLP0pEwVkF1OmaChBUgtGCRLQdtELyPRWrbOw3WioHUlHSdpqEki4mJEsqqiTyvfNeqm4ApVk
vo00wAGQ9AAO5ILKJUdJW9pZms4fU82Ol7G+W6JlZwS/nfm8VdN8zaYMtK/gsMTLIc/oIc70RYTm
TdAuIDYNF4KKR6CZV5rzXej4rkDTTWzcyvTLPrCdkkxPDx6qo6DxrJyKbhq4V2E6djsHfjva8TGf
3NZM2XHO9XruoX5px/7WuRjId78rGncO9/jO6hx8PGP3o+820TBc+ak8n9i4onO+znGtgJQUu6aE
imKJsn2ZOSiWiuPBTOtlHpIx73csBKYbeVBVDB8vYpzdcNUcaGZS2mycOfZB1EgSlQnNs/MJVM88
W5y0HZQtsskDA4kuhgkfez6mBSy9DKckEtkm6vzK92YTNOEhmzCYznRystGHmZbraVKXOszpprNQ
KKXlKY+Xa1OiNVzaeBZl+0QpPm3a+YIoKkUbpWoCHhrTk3ABbKNpfWaX6ZyIepuT/qoEacmS+Lpv
x5eVJfEECSH3/qSK7bYJ6SXty5Vm4wnvOyLragK8Z4+zDkBkVwBLzqY7a+lmrKINF/N6jLuViDQC
YkkS0NY2w4zPgqJag9Z8CxFwPWX4GIfRTeYRVPj5Zg7pu9FVJ8y4g9F2N2sLVcJ9LM4M58APQTJu
CIgJUAuaBNvnsAG9tVsy1RualWcdFnve+bQw+Tq2+mpWPlGMnXTaJczi05m7zTjnmyp8Qb1QjZOV
G2/bblyJkayUH1cDtS911xO41wLQG6v1DBhUVhnZFHZZl607MSKYkxrYPXf9u3Bmu1YsW6FBtOXR
ZmHVDVD6syGGmwAxWbnQpR0gRwCFV2WNUjsbqK0NcOtEjSsTA5jjnvfgLvOL/x5C7Tdw6SIpCTkD
Ef/eVtl5lHe3tuF3tcVnlWp2beOflW6Pu96D42WHZSFbrcPdCNqoqtp1S2krGXGVrKImQa5bR8yN
MhyMBoUi05I4dQdFp6smK4DkT4FNgEW+87Q5mRi5jJrAgfhFUlByYPPK5jBi70HgnfcB1XDNQ+yg
ZvyhCd1pR5ZGxl2f8oKfLyW7GZy+Q3UJ7Lq6qznQhSBrbu1S7nmLgXcHhxaRe6P5xUCXQ2y7D4EC
D/dqN/jmWIzdqc2LVdaXm0nRi6Lgx52FAiX8zxhb79D7vAgv0dS/XG6Y12S2DxmwMbhJceHIQGVT
thcC7rwsHAI+QcEJkLdkyVksgcDzZA4dsASywmF2iPF44tF80NG8cnmEJIwSwUGK7mtE9mXdXECF
Ig0EuSqbqUoWEmi5YLMeqT6D20Af4O7Ih6l2PZRa6/NaQza0Xb+O9HJOpqFK0FjuhsxcQsyA+AIC
h6MlBFJ+05tyBxr5pgiXy3oa3oUaatuKJE2Bb20QQXlzbFcoDs4aRVdNre+hFnBlK1DIMQQZ+nL3
Ii+qPaLxCoBm0pjmYBZxV7LwGBAjqMH9yTxmW+ebK4tjJquerNFMTh2pUwixq2Vm/5e8b+uuE1e6
/UXsgQSS0Ou62AbbaceJ00leGOlcAHEVCBD8+jNX729/bauT9tk6j+exe4zIWoWmqlQ1a9bvrSjP
U6L3QynqP9Zy2w5FDuJSPtyYunxK8PUOu1Xvaq0eAik/WlVmiRl/qxQyjeBJ3JRJVyMru+GhndP7
MgxBcCrermq/6bv8A07U11Uk4zGcq5tR0FOdVzfF1r9Xs7zd6uVuQ+FWBNVd2KHZSAzlVYJEv5I9
MulmOW7lelsQnbXgoDU7LQ6kWt52EQGbCf+xbstNbedPteRvTAPfRMmbyiZvaBhf9S1brsXafbHB
1h1lPj80eFBLjpLyqvkjtfpjp/i9rOKP88Aemiq+otvyY7Thsaz6U02bczwCMtPIbki03JY7e6oI
qh8FKtfLeGqQ00OxovwdVLcEzA/+kSb607rT31FOu2OkF0cZ51eoeH9POhg0z7u71ST3YzBMh0UM
A3wGLpTKIpOXt91doRJyTIrizVYlt0JO34MyuoqQtlFBnB/AU7mq5zllKzkFyf6+n6t7YnRzmHn1
kJTyzVDIdNiSd3tYV6/E6z+Lbp4HHXh7PI9w8ZBvpsTuXZZP6roLxGHUuBg6m74S3fw9/Lyw4zkq
jiDIx4kT33Vdh6MGol1WanVcwxLEEBRu/vlvkJcExwSNQqAMh0hZoDsCeeJLC8Tz30J1S8lWjUOG
B9h2ZGS9bbVazwirHgtrqi99l0yoOCB7FdT2C5v+53WMpy0ItQ//fuU8p5XSP0O0v14/2IEgBM84
vLOIiEFgdp4k28YqhYxyk3UjCuHFYqrftOQTLgtcu5qCVrAGQSbVfsB1uKaya+vzstDuxESsjlMs
96shb/PbqRPymgWzAmukW08zNwluik2l6lKzHPs6uJdNqKJDOYw0BX+y+81uAwiRG8gFfcBwdnQS
6I9tKL4PCXsytcn6Nf8toQPYKwYJtJG8LzRIhV2d/EhGbEjtFuSsyb6ZjU5HMf8AC+sTJY0670X3
cUtEFtloPaxx/VgmLXK7oKORTY1v406mre0/qqVZjuB/5Let6BCug59wuwTBcJUUwVUSyjQnRXec
TGuu7LCdZaWqc1KyTGyXoqwMe1D8tjY8aMKvkO2dzj3SVHLg3UGNHeLPrdivbQOHEfAr0/OnMp5z
FHBWCqIpP/VjgVhXn8sNrCWzZsklP9MHd5ZG+wkpTYWiEy0PYRejTEjkqQ/FxUEg9G0zKkEJ2RPk
xroU5RMUFPCvwpsl6ZObebfbqUNyIC3KqcsWuQYPJeUkS4KiSEsyifPEgummGYvoqljhQytds9RU
W/+Q1/sX8Ajze3R/4jqZhD3bXm/XoKWV13gn549l3CInN63rpw2l/SMZkdakoIYdI13Yq3IBIdjo
zqBCUX63pZpOpLXLoZiirNbhJbVJj0svuwNotTvqiZQflg2l3nDd+hMK8/OBWkluy37J8iZRpwWV
7WON2O6wzVPyloZ4y8lLWXbPu7POp6eyYmAU2vhhUAmqiQFIQ321XkoizFzHOZibQbRnO1V/hHHV
nSmdP03wA2EvPu9Veyui5mnuh3cDqlvJuH5bcWQRcrQ/ehtfdbj/Dwvb3uFxeora5MYmKA8TMC5R
TrhZN30nh+FNE7N0IwvAsIp7WuYft1ge900hLqQ1ytyLuK4FrWDlsD9NJRx5M+bskNfi2KGczkpt
DuBXnpe9Lw96xHVMtvhbncvuuMj+dhn51yQHY0sa+HE5gf8J9uBNsEXveF0JZJKD5jpcrbqyBUpS
Siz7mSKwQy4X3K5tmm9Kubzlmn4vgkWnDXKXJ8K2CL4cKfSor0BWGMyb2hp7anWAFF2RPwbx/qCL
cbyKx+T7iBfYSWygocky+TQhWB+mz7qOLym9MhtqlKKiIkDadoi/ErsO4GohFU9n9rkL2YNg6psW
eN/lYXlrBdPHKeT1ceFNea7CQZ0qtvyR5z1c2QICYbxca2Hu43kBthMm7gdj30rUBA8d2dd71RJ7
aOIuJToUd31YE2Qf+vpOozADGnLFzoL1eEs2iC7GuU5OvEMCFwb48+L+/4De8/V57/TzxCD6Cp45
r78xe/63Cfiv3os//8V/sojyXzFo3SCHMiFJSJBk+08Wkf7rQqNBhlgilQNizV9ZxOhfYPQgkRgS
ii4DIuDJ/4fUk/wrxv+TcExCoL+DhP9V88TLnFgAKhEykUhQXDJ/z3JhcO1bvze9zfKOnzbxBZh5
JUn1q5UvMcqzlS3IA2BDNmtWmvVrVNdfA118fmben7jmXy3tJG8GZYO8B7U5M0rsKLuQxzpql1cy
RL9a3PH2Eg0wIFGoNRMMob3t29+aOo/+qxTkX+Z2AjM5BHWCCHTN0KNyJ0lTH/cGfsrPLE6klPCp
AU0eO09Q9rhCia8791K+Rnr8lV0ucdrz7wlaeKjptGT91ggUTiQuk0th3Wvv1M1kVqUyCT5ipgu9
nPkw5rey3taT3+qXPOqzvW8ozfJ853NWJ4gjE2Q/pHjli75Mxf7vF3VznCtKpjZHXT9r0JtCb5au
mqZr+NJafzHLvluQbXOq8Ihegtu4i6nnx6YOcG2yKxT67Zx11fodXKkT6advftZykEspaHdTG82Z
BTsDjK+9a9KK7sX6WnIUVv8rrv7LZJcT9uxrSDPmIPEM2LoJ7ifCwX5Y3vtt3QEvmcncCSLmTAux
oQ9rGbuHGK9Sz5078J0CcDVnredsLgb1GDZJfLMRwTwx4OC3aGJThkGPzetRgjnGi0tzzb/d8i+f
Mxfj/szoDnyHYS/4XmDrI2pWIJHnZPhDRqT+8s+Gvxy7nyzvViKQTZR8CHOT0SIIwAFs1jybo7Z9
BGUD5KycoRnun//SL37InzWRZ6cnwUtetbKcs0iH5lqaXl+Tuez9vgFxnrQU7XMU59NkdmR4g1A0
ODTzdvLbuoNZEFFIs+WxyfhSVQ94JOj7kcW3fos7qB3qOWEV7easFfI+H8M+q+vC/lv+5b89PeTy
MZ4bnTXhzOfQZEFr5aNqyvl9ELR+kcKfdPVni9twR3KTTTCLKtUtSbrwqt1U7flFHcxWidl5sUYm
69ADBjqOqqrfbCV2T79IHNSuW5KvUwjTdNNIzzMeFwej569+H9VBbRNIUc9ha7IBPNdPAYg2H4ed
0Fd81y+gFDpO18hFVRtYkNlQzjPKcuhvqjr98M9bf1kA+99b/qKQ8PzI0EZvw1qIKVMjW3/ohtHb
btjFQ7BptBm0c452JNlFzM9SoQPclQ8aCW84lXDBC96WP+yupN8RCh3cjhUtOrMCt02y3kYyeR/T
4d0/W+lXn8BB7TqvahyGxGRyKe9UuKRbW1z7Le1gNpS8w9oFgh7eg3g1B5/YuK2eJnEcbSlkvwwh
UGXmsL7fSW2v+5UOv/tt3cHsTPLGGlVMmRyvN7CzaF8f/VZ20MqoQj+fQTdRoGJwm8GfrsTJb2kH
qx0RES27YMzAS/xtthXY0sTrU0Jk7CWWLB6VgRp27NoEPbrL+fvSar9IUkgHqGFJx60dzZjpQN5H
zWSQR2yefGzy58v2+SUQF0VR7mIbs0bpK55bNK9ZL3ML6YDSqInGdWDHDPT939Gtcg7MlPnt2gFl
Pwz9GlXYtSnJfWuaa/BevXydAPXnxa3IyqHeckZMFg3021pvdzRYPXftQHIHpS6Ymwo9vTUDv7w8
FL3f0RbSwWMlw3wnSG5nhejB4zOPuqn8ol5kRl5aZBg3G/TFMGa2jMV57WsNTu1cn/0+pQNKcJ55
qS2MEiGrFhPU6hT1+5QXXYvnZ3tJaIK0Xz1mbEDyj4vgmxT7D69tX3hlz9dmXDQm4rimSBR9Lrf+
rUL92W9px1GiYNDzOilGdB9QtBV/l+g49FvZQeQQJeiruNi6DHaIKnxFssDvK1465Z6bI5lE0aHf
bMxEV3wr55KBuT/94bdrB5Hbakc1o809oxYseNPO30E19/I2wuXmJXEhKt0otIBs9NoIcq6bxc8l
JA4k+TQQZBQbCB+s4QMS4B/ztnqNJHX5YH9/zInEhWQSEDsIXFJ27nV4mHWDvjbZtPp721LWnmKV
jF4PC5E4+Ny6uLUhYSM4CfaeTfQzmgEfvT6scPApi3ob7ATjTwMo4XIA+ScIYuJ32C9s0edHspj6
0FhD4JIvHTXJ9Nu2TF7pTSEchK67jJVsEUjsG8pxSbvWh6mdB78zKRyU9grtczYPdLaR7VyUaKvK
Gz+YXkSAntsEzSek2KEokg0iRLlNxuMh6OkHv8/p4BQB5zzxGfdWkiToxHuHYNYvkhCO45zkHtRy
xMrjAFWSgR16ce+3ZwekRbigFY/ksDXn88Fw8b5voOPxz4tfrPoTlLrMwnCJwoLbdcpA66uhEjBE
Wj52vGP9hxyyEE///Fcu5v3ZX3EAKkdtBFcwjrLFTc3NUSe5n925A1DIXOCxI6TO1KJPi+1uFsTj
XrvmDjrrCfeWAbsjC6dvl0YbpfxOIXewGe58CvsdewY3607H0J4ZhtfYG78w9d/aqmcF4lovYOqu
FId1QR9PrTxDOO5gs4NgQz9VCLNQ/FQ3ehPTaesV9fNG/PKTnqVwZlnJPJawd9KJYzNHhxo9On6f
0kFnQBcLVhwsbhN1NevgBA5o6re0A08Y14RCAJ4GdEfTRHcET06/pR0XWk8RX+3AYRDLT2p6J0Pu
aQ8HkGQtZlFqmBokCbQRg+qpAj/XcJF3e/4VqYiKKKxgj6gFO9LKA7Ldnks7gAxn3EgDYvBsbuqT
RRupKIjn0g4kddw1Ncj22DWu75k2d9tS+h0Q5vhKdL5qMM4inQW7oo/o/d2gRqCo5+oOJAnqW4Im
Me6SCP19ZBTvJ/naY/Dy439ybTMHkMJO5V7MSBwKKJPoq3hGUniz5EJdtkJ+W/Zts0fQ0SGR4HXg
Lz0yz8/OuOdlPXctsMTJaY2nP3IC4RW/tV2c5nrT/baOWT3uYC7liTzso/JMrlxq/M93rmcScPTI
6Wy1W9Ym4H+AFe23cQerG+TuIB+IpfvZvg07+k5W/M5raVftsB0rSeYaPEuz64w36Bhogyu/pR2s
JnWLTswCMbkUBdr0wkbKK1PmlvsBFmokLwy+9uMKpvyEu7Hd5aGt8KTjUCvy27wL2REqpJCm0Oi8
UfFRVvV0Em3E/C7f2IHsSITOo3bQGaRGxBFUne0QKr+ELaiOL+0Sg5VmRQkI9VOSMQmscugKeNrF
wSce+zVddvh/2cwG7QfhOJJr2fToRfUzPH25+7ndaKxafFU8jY66ig5oL/Zc2kFokE+C7wowEksN
OmH9YPTidwfHDkLzeVDFJpWGWfStsiNkLcOzl0Eix5uiZ1WuCkIi2RSgL4IXV8WrSk6XE/GT2/0i
pf/8yrIBGWkRQvVwZVNzLIYG4ipDQ7uvfjt3AKpAxkAjxgaqRFuRR1syezPtCfvut7qD0ITmsi2V
RkCn6Heotn4MksQzlx05+Nx2w+lMoEJUT/kXHoxvwAv2XduBZ1U2Qb8ynMJmlN8JGjwGOg9+Jzxy
0BlCawiKORcZyyDMQSK0EoKRdmDom/IzuoNOjXakjkpcXHUlIde5tNfLpDyPiwPPKoiajfTAEJ/W
N3ubp7HmXkVtETnw7CPdFCUpECIF9PeRJRk4j69c5RcY/gRDLuMInfgcnS0jXv3NNrG3kCHQCi1N
Ac5LO5MFalToH/igFiPUOWGDiaGOOU2L3w+7iJU/RzD4I1GTNJApqFb9oxZQgIiE9iNTCZeTFCg1
mmW6FLmMBBl8IGm5Q3nH6yS5xKNEBquko0GDh94+dFHyAbHlR7+lHfSqiNp2GZCakj008xZwlE/7
2AevJUx+cWtSB8DLPkEdVc94g0CVwoQIfVsDCq3f3h0E59OQawj2IdUzlQ8QPP1UhhAO8FvbAW8I
vkXZDTgsScJv5rx7AkXcL0NFHexyiy0blEgyG3VnWxa3Jpke/XbtYNcEezXUewdzRwpSMsXSQK3J
M8Hj8o0gsdBEwXgJfaHWMCCIaafRz9ouwWgaikbVIGFDv5t9pIu4qpvZD/Uuu0hehJEDsuKpUcQ3
C1shqdRBY9TL3hd+8fMrpUEmHbQ6gfCRFg9jm99PdeKXpScOMJt4mvqlAnL2dskP+az5oYJwrN++
HVgijom7/fJ+l7L/3EAHYz4S0OC2o9/yDjBjuzH0lCFfYqBeV+X8kK/EL3iEfP0Li0PvhaAHBRHB
pf39ME5QlMLUCs/P6SAzJjmHKB889hSt+YFx9r3lr7bB/+Iq/LPp6lm+TgeFmaMx1BkV9WMe2ftu
qP3OiksqmiHN3RUCS19kftCe+mCm4tHrU7qUoiaBICnSz9ATMPkHatUjXSLPpZ2QN1i3aDU5QJ/M
UFGYpw8d1Nz8vqRLH7JTUy/RDNSzZfyGO+BOt51fLB06wJxoXRM5AvNQKb7mQXHbJoNfFsBVSOir
KRHWIIPJ9/osmvbNvPbv/L6jA0kvyZJfnGx0RbzApEksg2YOth3LJdshZglWued3dBAZGFMi3wpE
km55i76nRymDGz+LOL4yGbaI7hEu2GgO0QMX3u3cD4/c5Q71Epqc+3LRg9Phkw4D6KzTwS/q4S53
yFi6oqMbRxvdK1fbiMXNSv3qIfxPaY1nlxRjPTSR6hFvlj4JzvNO5McAMym8gk3u8odIDtkWtG4B
lXF+bVf5W4mKq8/X5NJB5V/iIjYoPv1fCovgGP/91cJd/tDC7BLJHS6Hsqk6QNoFut7LVnphnrud
rvFgIXxbUsQngcRckG6Wh2HiXmecuyQixA8kqhQbMj537xIj35vSfvIzuINMaAn2ZTXh2b9Cs+Go
IMC/8TH3gj1atF7eKGKmKilWHMNhhwZuLGuoGbTm7LVzl0QkgmZBAzO+Z2DR01/TU5sQv4/pcogU
+pi2ACqeGZug/oviYnGAsK/2Cqug4vjSKmtuVlOzTWc5BmYcmJUPWk9+qRaeOKFsN81sygtch/Mc
gSIPUZuqCv1IOdwlE/GKDns443vayV4VsXoai8nLsUEu7KVRlrruFlkhiuCYsnGggr8jxeLFCvmb
zldBKOcMMwoytcr10Kztfo4hY+13yF06UdUEZb5cWvkxxOZwaeWHbIGf3+QunWgNc9XsJXhh8HCk
Ogw1JjqcTJEPr6Vyfu7zIZPx0uzS0jgvh3jI8lxfi23BmCHlVWbhLolobUvD20tWO9AQ/TXlXJwC
qyM/ELkkorJhYs/hLiCgwO5YGKWC+y7t4BO0jShoIIae2T5SBz2U36oFouRet5bLIfp/F2n7T9sA
dzlEXax0bGJwiJaRQtoobCBbvTGvbAcXDj53sZgA/f/QymvUXbKPbzDmxestyF0SERLaAeu0vORo
1HaAKsYtJmz5JfQw4OzlAS/4NqNLAJctRkepk2j0ww7dOc9D6DjPMdxZs4WYBdSICEm9/pGGwRe/
c+IAM9rmINIc93gcI0UDzRhyUQCgfht3+UON7PalLi++M4qvxto8Qdv8yWvjLn8IT+4oojwYMl3J
d8sAfahVf/Bb2gUmpbQDjXXM8qhDw35/rJfED5YugQhyNELvMSpOTQs2ZbJiVkEHBW8/F+EyiHxk
E39xgbv0ITu2kPcP7JApQ9D4CCloZT1tEr2ETmM02ldNgbysEf3RlpcBAkZ7HhMHlwSyCtZQnO8l
bD5F7XwXF7Gfu+cuKrcwybcAOV8ZtRBMaR+XPfd7nnAHlVQrTUG1QwAkyuaPqGwZ5upVtd/qLomI
5NMq0YeIp2yyY1aG0G826Lr7xbQsefk10YJO43ZBoF/Qt5KW1xgo5LmyA0sRY/ahWnB/13pYoYdl
1gPvGT15gd4lEsmCbPU44KBA3ey6W/ZbCylGv6XZS5PkzarVKHBQMNrxitHwrayl3xPZJRHt3Yb5
GNgptI36H9Zisob0S+Vxly7U9ixh0YILVqhhuDL7tF/XY/uaQOov7hPm4LJgdICADqoao2V3ZAiy
oSne+5nbwWUlS9AbNUgajEOqMq6uIRbj90BmDi7zcFGimICcEfOrGomsW9n4uUqXLQQf3NEdMkVZ
wfkNsuu3eeh3BcYOItEPUHQDBKGyrTKfWkmGE3TZCs9tO6CUJOnN0AHuexke+6i5i8PXuJ+XJX6S
SImdJyayhA169VD+3aHlFX9uQYv9XDHM+LsKl5pBDDKZwocNOtyj529xcRrZPMGwFZAqZAzhIHrf
k97vynWJQ+Vl6m6cyyHr+gRShxjp1rBh8ru6/hwG9SwLl8eNoTtB0l3w/Nx0DWTMN69SAY8dmMJV
zHk/Yd/TNGLQqsBsvgiDabyA6urGCVPNDYN0HzpUqx/dEj1h5FP5ytqXb/azw+Mg9aXuctPx8XGJ
FP/9dQnlX1xgLncIjSUtlVYMCG0xZCU2/Re1qNeyK784+i57CHmEatsIUuStoB3mzjXm+1D1mI5c
5Ikpj0Wtg4e87z1viMgBcZWPo+oXsIkiNf1ONnovZuOlx8Fd9SIzdxBRnJFS3OWA7h7M/MDIhcWv
xYe7ZKK+Gqt8wqnMupVHP8ownEH9WWfP9HZ0+fbPgEWiEWrtyG9nG5u3pzC36lM0tqUfbF1G0V/a
2xgX3KcUM1Sh9KvWBy9wRQ5ybTDYZl9Q5GPL1KHwhOk1C51Wv7d05PjYvUZXmIkh0F4uFv1V7CGI
Fr8rxyUUSTz8V06QoUMVGPJzJtbLeODl/oo3pL+4GVxW0V9y3+tsSI2V6+2NATehOlm7LNMhEXP/
HrlY/TiWJHzqlMH0DR634huGAdW3pYmEusLITHk7xkXwlEQRJncy+Ni3lan7T3XSjJiRUoX2mwkY
ZBjhFKf8jiB0hSyjxlrLsOQXHjnmYXh9apep1OlpiFsCLdE90rcXHVHVy1fSMZcY4SfXqMtTmta9
E8ja11kPv14eMWynuINCn7zdV6rB9Fya/hFthxDpK3nf+DlLl7/0l56o7o36GPN9wx0IqVy/IO7P
g/EM1ZVdl3htFggs8/h7KYdj3wdf/b6Ec2E0su9GWWPpmN6DZD/unhaJXl5EkKwySzVi3cJCNR5i
3aap/IKeyxCM53fckhMMCseDMA0VFKMvHvgdnlftZz+DOPdE18+bxHA8mY5anexWnIbqm9/KjoMn
RT02C+bFpXHYHmx+m7R+7e7cJS7lCmONeN7LtJvOGFJ8FLNf+zV3eUu0xHhQO2FlFg3nbUqgXaz9
TojLW8IUCabnHksTqa4wxwkz7Qc/F+6ylsqhitEbhMPXMYzhKQpUj5O9Xc9e39ElLrFtwkgyqiUk
u3eCqQjdw9JBLdVvcQePKp/3jgssHgfjQbArDs1Wv5UdRBZlE00WTW8pRuydWAKZWfXeb2UHkGwf
IdFMIO5LoLsKyRIMVPKrwbo6SEpZjE6cep6KmDXHHaO8j6TLPYkGLmEpNnnQiFYJcItDzHqcS6i5
l7bxCzhczhI44jlkcUeeKsaqW8FYifGsunolKLich5+4OZe2ZJkIeCMGnkoT1fe0b/L3WlvPI+4K
H0kd0HiyGEeWrC2UeAnmRlI/9LjEJTU2q92XhaUkXE60/1yNu5+XdHlLmBuSrBMxPDXjcOjzbxqS
vV4H3KUtxfkcRpAPwspGDqciJo+KDIlfktAdTgSVr6Yec4gZq3X5Ld/t/bR6lo5d3tIW7UqTgrE0
1GUBBbEco9F6DFr1s4rjKYuOVzHbV5a2LHqHsYcP4+Qns8BD11Um6AwJayyN2CTFlMFsjL1ideYy
l9ZFDQnYEQyX91bdkGmeb/Km9GPlYdzUy9BkpEIREFxYinulhOh/aE6mb0svpi+E61+uPm0qmpYW
0FkkWjsFy5jxI3Shzvdy6XUFV5F1M0uHVWLinzxWsddFxVzeUhFrRfZqu2h1J+05UXN4liT24ycz
l7o0iEDm9YzVk5UNZwzzjo4hoiyvE47uuJdWCZA8neiKY4h2pbt+Vr/3e+zlHTAx6uXSJi7jcmqB
+mlO1Bc8GTHRdJ1UMHndKsxVQKrNCoX+hWDrw1BeR3jo3YyGeH5TB557mfAqLAOWVpBtUnlnjnHH
PTHkspeSZgHNgGLxvtDxgYDQdVzjhft9UpfAJDXvFcE0unTFpA2MvNF5AApGVSi/hhDmcpjQbylQ
AhvjtN0x5xdDsiiVXrEhcxlMTU8SaNk3YTrl+ZGQPI1W6hWMo07y8jhu4FavaK0I0wrDhDWmxJdU
ejl85vKXBsj4YWp3EaY60O8wJ/W9bgMvIg1zpZDarmzqoVz2lLb0A9Q5oJJXr54HxQEoj5bBiD3Z
UghSL4e9kr+vwr718ZzMJS/V7bjsusUc2RwtkRT5G0y+nurWTwOAudSlrlaYSqGETfnM7zkGqE8y
9ArIoTnvnJNyYNDO2G0q+/CmnOjRNK3fEXR5S3se1PGYW+xaQ1py3eR7dCp7hYbMVT/q9pEkBZlt
atlQnoe60FcmF/211+d0mUtog5RQJ1MWMwXFYTYYc1Xmfte4y1ziciUTHOeadpgle0DlsT6MW/zR
b9/OW7PnyI2FlVxT9EGDBcTu+9mv3Z+5zKWcDqbcp2BOkag/ialMaxF7WtsB5jw081Qt5ZJW03aI
Y3oImFcCmrniRz205qwg+Zwqbs8qya+W/LufpR2HqeJtKPs5nnFC1hVjngW7SYbIr6sHAx9egrLp
o9Zilt6cLkSLUwmRgnO0+gkIMJe1hMb+iFZqmdNmZaeWkfvCs9UJ+oMv981VbKukL5Z0iGZM8exP
YKL5eQaXtbRgKk7MdL+kup0aTCav06BJfnh9TJezpFermw3K1WnJRLqOwakYuZ9jcDlLiVwSCErj
BNoYQgeYjtldlaEJ/GJO7oSzzCpixpDMIJ5FyxlT3NihkIac/Mzi4LLFAK0INYQ5rbrgcVfrVVXz
P/yWdl6aAmIHloWYo0mCOs1p9zbZmw9+SzvI3GK0O1XMzCnksR5yKj/Qzo+Gj6G9L483FDyXGU+I
OcWonutm3W6Ep1ALcylLkyo3uwbYdUNDDBkU9LZoxFcvizAHlZjjlaMBbJhTyj8W4XomXeUXCbqE
pc40BkGtxMrohN/b+Vqz16SJOGz693QYJiS/tDXtmhijOFZMWu2HTZ5FO4rqvOQj/VSg0M0PYoox
idDPQI7btGYNw15iCt8cVbcUaplmCA5+SzsIVXMsS4gdmFTWwzFHK0E4Us+lHXjmezRstI9Nuqk1
f5rCobrLW+En1MJcvSPOtYATCkwatWV4gGSwuI1sv/m5fJfEJMpFzYpVuHG7i26CPNVF5XfjuiSm
CBMI1wgy7Olq+HUkpzsIQvrFbi6LqUftFVLSwZTukzyIMb8ZMHrM65y4akd7jSJYtJYm5Z+T5Rz1
nste0PWszii4VXJoKpOSJTgyoVI7509+O3YAKoXC7Yf0RjoHAiIt6gbSPq8xZ36eC2cuVSnCcNWw
bGCNSmCmIOYtxzcBV5Of13S5Sq3lw4rpRFM6KvYUbUl76OQ0+6HSZSthlpUOwZQ3aRGgGD2P1dNQ
jsbvReWylcCdiCTkwqY0ke2VEuJGWeaXinQljspSqGopWpPupHmn6HhijfXMoLg8pcBGmPCA0U1p
u9AfRJHP/Uw884UuTQnTMcdENWZKaf+d2fpUy8ov/HEZSayZMbXTwNh5vx9B0biCpImf33QZSeu2
0WG8HOgCQ6lv+IyhhSwx0yuX68Wv/8R1uowkGXRkFhBjgOtUUbaCsfxFDy1mNO91peOzCaaCHCIN
VWW/M+9ylMINQx2WaZjSsgj3w5DMGGudk1foH7+4C1yKUmt0HCRLM6VdsA9XA1fDSXSYq+t1i7kU
pTowtuUjjg+mA4V3DRHw0qOnZjBzKUol+sBLkEXHVBIMzivb9iMzjZ9yGHNJSqyj0FGnekx7KTBO
+21V8HdeRnHpSYXVJkY/zphG9XJYZfStLnu/DIXLEzJlZcdOYemxR4sSLssDX2e/FkLmMoXWya5q
gEhz2gbBeBnGHp5446cuz1xG0NqQvtqHeEwJgf5NE96ZqfdzSC4bKEqiZF3mfkyTLTmFIseUcr+K
OHPVjFYZQiopbse06vOrffhOw9zvDqNOZBvaBDLbIYQwCY1OEAw4JsbzneXygfhe0TKABFM61t1h
lvaQDJ1fQOQqGW1tX69hs+u07YviY7La6mEPC/qHH3Cct6fsyyTHhDOdFtBgYU1+aK1nSOQyghKz
ld1cY+k1Kc2p3jAfGrPG/7tZ3f/pp8RQ8JdxYj/3AURssbom6rru5xtQw/0eVy4rCNJ9RSGLpoWv
o+aEUS/dTTmDRuxlcZcYNFz6zaK9K1ICNhBCubfJ4FnQc1lB1dqyKg+tAlWFgC2cd836oZ321k9H
mbnT0nCd5PlUYv3FYPi73uvPc9B4ZhDdaWlxmUSQ2A/YzTLJzGBIsYBgoJ/JnXdnWbX7uMSVuOn/
D3Nf1iQpjmb7V9rqnR4JxDY23Q+AuxMee2bkUvkii9wQCCQ2CcGvvydqqu900WXWd3i6ZpVlGenh
OC6kbz3fOZ4pFt9BNaEFp9Gxi+8KQys4SIzXs6hkUD7egDyK6LGzuccGkblmw1DXthxqy86JgKT4
vEIN+tB977FBAEeOcRVWtpRedOcJcUptf6yIvQcG6WSi4Ywidgl1zSUjY3rv8/pg93SPC2qXZfIB
7bRlPa4vI1RIst5LD8b9e2RQ6nWoSkxvi2IqKMfFyQ0YyY/e+S7/DKBaxhaXmjKtQMia+EuU4/6P
FRH2+KCOC+u1LsbFOX8P6ppPfDkWcO7BQWPXq2lVgS29ts9pI4rYxscO5h4cRMWwemLxDbJCUVg/
AT7o9dju3p1KM9LOsmi1JQmbX1uvOy9yPLgeO5cJJ7mOQi+2DAd329v6nG7H2P8ggv1Hp9ajjecL
MdjSNh0/p5VHM8u0fyhhhmzBH68O2RLaoMVhy9HFxUCaD3wbPhxZbraHBdlOoq4yGFvOM733qwrk
vT49hjlge2AQYm/bKmOxAcPhIU1jjWrzeMhUsT00KFak1oOQtlymLccHXYLYHtonbI8LmkYiw1ri
YW4d8bLY1ycv3I6VUtm/wIJsw/uBtLbUE9ocq9yiE1jwvx97mjt/CWkKGxrMI5faDZetizIs0iGv
w/aYIJLMGnVyXDoOZd5Odd5Xx2RX2J7PiI90HWKJSzu3nVP7RrKRHnuUezzQaAYCYnGcHAi5zplW
zYeEjM2hAILt4UADRr3C0SlbqobkYWBOKjoWU7E9EKgJSWUp/pTpwn+ieZWLIfpxaI/sgUA1S5tN
zTg4wcbOmmibJai2H1ySnadU3TqNTSNs2enmvS+/ai8+BMtneyTQoHTqTxqLHRAHnxBeqmE+FNiz
PRKIgA5WNwsWu55AeNOKC2aVDqXbbM9ipBlIwChayZBhV1kEOZAI/BrHnuPOUY4UJ0V2jS2reitk
fDP3+pBzZ3sIUOtb7VvPM6UTUHE3IoNQ8aG2BttDgMgwrgNRsH7Vm+5mnWDaeTuou8L2IKC0aiJJ
K9x3mo5f2y18b9u1ObbaexBQ3BIPOHlcWwR3hiY52baDV971TVoqtoggUShNv2Yr/9Ennw5tkD38
Z65EFM4OGwR4mgJI7mxph2POYE9bRPpIjJNKTDm4MAIZCFCKs5y8g1cP/hjuiERGlXkLtydKTQFw
yidmW3dwuXcu8i3BjpcRtz4F66V362XRxxjo2B4CRGPfdzF01Up0eIdMv1HHpNXBQxnvgtepjjmK
G4EpRybT3HTb8OzSZfo30dRvlYB/LeSzPQwonTekS5pMJUFFlpRkFaP3IPrU8DyktuXvW1CYJehC
jou4gLNhhFhPuNjxMqZON5eWdDXLyJo6+SA2Nyw1BDFbdqy0yPY4Im7DCAbUTSVtg9uwcQWYrY4Z
uz2OKLEkGZt0wqXTxc+W0LuRGJ8/tpP3SKK6q0Jbe8tUSmJOrsEHTHNzjCaL7aFEURUY0fFxKiul
uiK0a3eCYnpwzN/u0UScx6QD5uctCI4HhE4dWyrM+c78WGS2xxM1TSckJQp3jyd7UzeDuEvnJToY
m0W7Y27SpYJWaD2Vg/0AHqd7aZpjydieBylsETvZpZ3KnnLQHlL6E7p+Xw+Z7D0RkpVeyDsIbZZb
3/3KwqpBS+SYTBvbI4qsDpiIfTmVyVSXdZvUGR2OQRTZHlK0bd0gE8wklM72fjYMds1ArJocM9l7
UJEmVe02imcJOLjM4jh4G0DfjjHRsD2wyNhBT/OANTfwC1lFuc7nJPx56IHuoUWm4RZk6bh1HorP
ZF5ugtH7N61XBm/4JxZ7z4Vk/XoTlnHct18VzAVlGh+bPmR7LqS5m7slmrBVfKpZDn0pmm/yWBed
7amQyNK3YQ0TW/JZ/6pd9QQb9m+Oz1uW8WdLsguJ7RL5VZK0qEqlTN2CXUhdTRqsBHOlU/zl2BPd
+WGKQTgykxDHSMVJtqjpG7f9sZI0+xdAUQ092bb34S/C5uJPvzqVHPNEezwRvLuHAVJcmaRrlTcB
yQmUTY4d0D2iqJp72qsNFxfxcM+HFq2X4VBLnu1ZkSIntQ4xNV1GrPeKLpKPXsUPFh724mkdCIBG
sgRT2b71bjH3/aWr5cEodg8smoNlG+ueTeXa1Pds7PJxbo+5oD2qiA/gy4kDij1Y1TUKpYLnoHI7
JpwIEPwu/B4DvWmKVUn6uVQiKJDTH2rQsT2oKNJe03kAFZVp3V54pPKkiw7hldgeVES0q6MVtG0Q
BvMwR2EzUR/rLbA9pih0U9KCcATbxNEMcJAkOlTrZntAkR+Ngxw9XNhC+eneq9I6m5poOeYg9qCi
JjUJCXwzlTHvlqqY+0FVWS96DMgcMoV7aJEPds8EvIRvT7PP+9B8CIJjM7zsX3BFYT+s9YCAv3Wd
X/jClYtJxTFztccQDWPcQzcaIX/Xsssyp5lIybENvkcQebTF3FeLSwdtfEUJpRD9MX1NtocPcZCL
bDaw2OBeKu4l77DmLVqjx57lznW+wbZB70lUyYKKXoVnxLlL5uTY4dzjh7aOpSMdBly9FjXJdDvp
LnddNRzjp2B7GFHoraoJ216VXHVtNiCG69fqmMff44i62R8HLoepNOOWARh2K2vx4dCq71FEopnS
aaDdUEL80pwXEW65RyAYcOzqu8rSivrgPLapK+sUBfBQP0XNfMwt72FEW+CFo+w3V1rn1QXYtsaT
0+Rg2rxHEgHrO4loXF2p2+RjhbJvpkJ3zHfusURcQs+A+sNaQshvArGV9S9TKo8xsLA9nGj02YiO
K3dlF69zlwHTEXR5OqzLj2OPdHdMhdLgoHJ4pB5u2SzNKRr+HUbkz6GczN8FtlpSUzuLR4rGq/2Z
4vGyU6WW8ZseWAu2MBCKNx+9Le6mY5WXPcxoc6Rf45S4MprfeZMHoqeDT2EPMdpUVzHgRF0ZQhpj
Nm02h8dkCdgeYuStDOzkCVZJLNNjE9MLPaiLw/b4onjdvG6uqSuRYoi81Vub1ePBRHSPMKoYB/v7
NLqSs1p+QL7umWwd/eDfZXWU/Nb2+pPsaw8yaroBE7gy7UuF4Wf2AmlicbWR9cI7MWOA9h3o2mj/
MlWyhhbvuslJv7poCVbwrPG+tV1Wo+ulBugvM71dKygEiMxtlRjf0y4Kh1s6tqa+jnZY54dprer0
JAlmoG9mUHmNhWr90Nysc7Qk9wwqZfSkeABZBxtWYHnIeJhWn5kX+knebjABRcsHPRZTGBmbBanX
LuVcowDwxHzjhWc5E1ZdIgfc1NPSJyzfwtW5EzqVV9v57COCKPOVET3fhx/7Z3US75Dii6lKzhPQ
zt8MPm3NQ4iFRCV4/cBuFCQk+emhHwlKHGQ5FUgP6rg6B6tm+j1tfPtzc6BTA69cNwSQRYF8xI12
Qdh9p2pD1yv02k6Xoomb7WPTi9ad5yTy1nOMsdPxBiNMbXLrTakd7sMuVMGXdulXUwaQWqjzJJqb
D1O1hlXOQ0ASc0N139501VKND51gen2JoDhaF1JjwC+XVaqiHMoEIT/PdOPT9U1KXRREyZU9osNc
L1nKfS/9umLRxxtw1BpIYrZp0HyqG8fJjbeA2qBwkZi7cxJ1fpWnAfoDpyh23uMSboKdwM+wJjlj
hkePa12rd4vfNPpUCaPYswblBO5mVuqNjkwnJB+qqU0yNzdKngkYb4JHKfyxzQfwyqM/tVmwtArV
YfwmlgsA/wszlZenKtZzsTmg0HOyzBRM6wOPQNlEmdaXJAXALhtYun1cJsC1siZIei9fiKxYtq0m
lmcQTpP01E2mavLEjeaTaVsKXk9BFnMJwsiLf2xgsArKgPe0ugQUuu2Z6QPo/XigbzI5H7zlGhMe
g7wbkJkq34bef8XHTGATjFt7RaLfRxn4H/vps2mSSWYopcVpWYcTsSAi8lFJdwynKJtVEJknk7KV
i2zyK7tlTaeDtQgd99TZyGSt86kCjzDEb7aN51ppzE0vQZxMp7H3AZtlLeF17idCVueWT8wVFCDm
16WpnM08ojV0OVRjeJEQmdqXwbD4EwoHXBT9EqZj1vGFL5cJ/9yWJgnmLavbgSWPaB1EUwZa5EVf
eJfg74NwcSgyLxrauc0kCH5cMRoj1s90TQVwfOC+b/SPuE7HtCB1Z4K7FlSYP/ytduTiJZ77NkJC
5ctaSf+FJkpGqFnU3viOV3IjIJiJlu02FAsIGfOGjT09zdyP2NPSrSE5m6pr1c1quK8vYonlkE2h
sY+DNa0642wFJtfh2H9faobKOQeFtimhH+Q1F2+11ac0wgh3bwgbQGE5dvGHJdTeVVr8S1aD1SX+
NPdJ1/YncGW2Wp6WybL2uY54q36im0ejE2hl/MQAS8yD6OrmABSSmbJVKFQu0RbqgywiQb3m+LLr
+NBHhNnL4DE/ueuX/m0PeHEFs1T1FR4X8kL+HmNsNX0vjVcriJZOnA5ZP1SookVN139QlJD6ezIE
XfV9ggrFUJCRI8Su6zbqbmvQd7sbFdGtfdzGJvrYOukFuSR2Cc+jFmZ6gDX1XM5qo6MzOqexn4F+
UXYfMD4SpB8qTfk16dHXx0g0n6prH7noZ2v8DuhdFqvlXimFcMHv7PQpClMD1TVhmp9za+cnLRyP
s67HifLyafNl974xm8cLuiHGyMDQtgRFjXhpuJAee4J4kUgeXMorcpGeGapTg1DNy4ckroJTjCmz
qpiS2tOZiKfQOzWet7xGKlHDjZZbEWywHdmCfufb8r7zUwtfkyCAFJxlgq+gFx4ft2o69fX0LL0x
3U4wCTHusJIc1lklnJHz3HJCbzwAMzQtAky4fBzWEPUyGk3p60iD+DYJ9HIfjV6jr2lcd8ElhMaF
f2Y4BPM9HOC1W/t8ABWkcfV9ukQ1RlYatt0nkRruUNaCdw+AG/HzNVa8OWsZLyJbGTouGQ5o+gWM
netDKlgb5+my/Oo3Q/o9TIfqq9+TXj33cb1hJ9RU0DwidVK4gUo4RJBlgnpt5eAs9KGCJdv6K7PJ
2TJprkqR4YQGlChA7qNOeuaX2rmSkUYXoUC5foqDyxhQkqV0feSdG7OAb12WghwuE6B4wr5snhFG
mKzFJG5unLdkGzgJZBpvBY8jk3Ed67vG9+8dlUUYj5/54tmzT5q6MBBEKqBSfrfF44pSnky8Yoaq
W8E7m+ZCezbNKHj0Lq4C/xWscxvfp0n7YtbRwJ67rzHn8xnkrKyIrFxeYlvpYmhA2Q1mgXHIU2j/
GWzbpIL5CZ27gtHOzyDC9CIZMggPFh6uTX1YEw/2sBrSjOHh5sBQ0IzR9Z6u/EIbd5/akZxAe++g
n9qJfI5lna8TeWgj8yuWMToNYG4sUcj6KhjfTkGwFIC18qJbm5/pQuqTZ9BRTiB0hgDAtWfhxGXt
+JBXKZlz0hu4FUOfSJc8mjW+Bj2wgnUIiE8YJyqLK3Pp2JDe9ay9r4Rbiihan1s19vJcO+9X5uAQ
ZCVvZ7vd04rrjNPpg15kcp2iZDxVS/RT1vaBS7SLc4U1DFs94yRolw8kuUPKub15ANCyO6thgpQ3
QwLL5yOirSAMprMIIpklTtjcb4WXs354V8U8Lv2ZgxNdk2fUsQLQoLR5IPw+k2bMmp7gPbHCFILF
ZNKpDZm8QbEiqjK6YMZEouicjaoNn6BXH8PTVAW+EFfFBk1PkfXxNj35nEY/l6iaqyK1tf9S68Cs
xWBbNHqo38jmjoY0RO3AGro+QG0oLhaiuLjwpBUyx/ejfh56XUXPMSpT7kp0QO8j4gmdMY5Z1MyN
Ovmm11AVfRN4yU3SVtGnvutClwXr7D5DJzIi53Qcqk9L2y4TYj7MhV5TnyUOO3MELzPv6+1DytB9
OiUgBs27VfmfIA+jx2xs6vFT3A/858jROb3tOoPVMRJnCsdpiCE4XTcbHAgKZQ+R59r13ahSrq4x
J4l/Hn1OgLjuvJmdejp2rEhaxYF2Ukv1MIXVZC5twOSXbpvlG2JdMAUgssC28vtpXdCfXVNT8LnF
vTKMy7TPQVrTb1MMcbkPQpPWZH6PYitqpMvwmbTdYBBUJXVb1lWvPup5Zf2veo6Xn3ME1FI2RgGQ
/CMiYvR+F0VZAVJwP3myotP65JsWPHVSra0sYyg0vSeUVfLUa4ENOZgE45y8nlmXCROPj/Oy8A2h
yThL6FA5o576oedN3hkVUBiWhswZKqzhdE4ntdFslHwdcgw908cBVP/y/QC6ielxnAgZzj0xkzg3
tEJsmAaYOs4X52MaGN9CzWfbB03BNCElgmY/XQukgnegeZuAf6b0ClqPKb4FQ7uPeCzctvHUws58
In6wue/hWgHuqe3gzZexBy93gbnghj9LqJMGN0OQsApL0URBZi0VIiex38GuRNxlC55nW4aqBuHq
7CQm+0LeNP2zp5xqHimNVF2ECHlpNmvQQj0hb4FKOJs2lpwQWz+Ba7HGVBNJ4Eo3u65bYWIR3TaO
heKaUD4DXxPFRgAGOCVVZptteO9MMr6yAaR4lxY4ei+PGsim50yK5af2EuFnArPBH9TqgYZTDVHL
S3D4IyqJHIYoCjsjds88nYy3c6O9k4Qjf2UmCF+mwZNXCM8hoWiUu8IUUvEQBjOzmZTWsWsqeMOQ
AlhQgrNt+yltOH1EVpfEWduPVZCPPin9iouTJ5duLqyXDOwSMM+5XFtG3fNMm3nNA93aArYu+bwZ
WYEpHKrECmesV589Eifu1LWIBe4GWN7tUSJczQxEF89VpDT5SuYp2HIkO426zN4q9WlLKX8H4GBa
nzbPs/QaO3TYbnlv1hcoT4qf6K1bnk+DVvVlQLjVoJ+0DLTYWHs3227xH1v5FhgpU0FxB1yJ+nvq
Nyx6ijnbTv2qpjhH9690oPR02QTNTZ1VHrsPxy1FhgjhGAUpk2qdUGhjAStMxDjJRS0l4rE4CJ+H
uvfeydEKeKJZxs/JEgvzuIVTPz4tdO2+qkU5H3PFWnjZKny4p2kKRjDu9pv/ECphn+pJ9tB/X+rP
olnd8LmikbZ5UGHMLEgTzytwAMAUwNvpzcKvw5jC2ifzmLttGevLIjf/apO5bsBetzGXTxq5MAF3
U/sZQV0bZYr5DcTUcSPvtzRtfoRCLM8olwcf6jhc9Elss7iZIICLIGmO1hYHMvLItQbyp2gctacq
nkUp0KnLhNv85kyUcdWttJPjD/VI+IfBho/QymaZ9jE06YtZnGJo0Af5UgPCd4oCV8vbqQ8WMKe1
wQyePb5iyoX3qTjNjvHmwTTB5l0gi0Lu/GRcPlVL4N0rL2ZzEUStRgkBI0lxuY3IK050CILxvpp8
8dU1SsiMIJJdTmNITXIb0S4u11S2QFP5dkCfm0aiP/Xh4H1cJWUZighxrpKwvZigG96gDd96Sx6Y
6aHj4SXRhpiijb1CxTTgF14NU5NZvqXP6dJurzrU/EoXbh+kQCaYpa6jzX0CH75+hfrsak/bCh94
mZXtS0e36kuvzKpPwxIreBvhentWFSX9I2pySMqtj/AQ6qP8O3Lo9r2cZiBt6y0qh8Ta9yOM5Y2/
BlV0S9xcyyeU8bsfPOnSIe/FOhf+4LprEFaIb+Q4PswpBwEbyIBhxvqUBZ8H4LZY5oM1cTsNbtMP
c9/M/FSFS/xIoao6lxWfkZZ2Kwm/4WS/FWtIvHrvxsG1Bglt2t+p1vVl6Bv2eQIes0N8ldrl1FE9
YlfBKTaZnOr0JgKNKsvWJtZe7tLB+rdchjwthli9uYS2fk9r/SAtCwopt2uzrUPWhD15BznG7a4n
zpp7P0jcywZfMZxavmDEfAQRwmmgOo5ueuOcf1XcxC9igmwZFl10MoeyDv2CVWPBtQ6k2gig/YOv
JlidaXVFtQz2KWIx7GhNvelZiKSC4rDo0lvdLj8A+oy21wnz7T+Ub8HmizakzKRY19x5IIK9LHxd
SbYSTB+qeL4lmzuFrKX1qeuEu6/8pnRV97R2E1tQnPDjGzh/wHzAEEhUmHuYh/q+8oSWdt2m9zX1
jcwxcQQREdrSabhhXQJe+WRi2ztvU4ZmpmX+K7Dz8lfrm4CVpINPym0QuuHcrBiEki00H/jqL/eT
sSPCL6m9iwlR78iXcdnElYBb2tyuE5qyORt9v7/zJEmw+IsgL7IidnpIQ4yNnH2MpQzvAZPWU94t
a2de5lrXP9FkmHUBF2xRhtFVj6tsmN4BBaQJmzvPYf39wEVPoe50e9bDBr1fZsY1LEMgSP2Mp2At
z5aasscm8XWYWxj2e6L58irqtosvsewB+oEVasCyDcJGWjRVrfszeIumX5lw6PJC9A7WZgbPhsw1
o/B80HfDWe6N8KOyj5WVN/WKM36DWZT+fSxTGt72Y91iUzNdF1Yx1WQdHJrIEMr36XUNjK8z9HkM
AlzSGfEpeVOjLeAzIOsSrpAfOzPZsakYxy5tz3GgpvpBV5oj6/Ft1J/MLOzXGXRcJKfWR5/RisQk
OR3q5D3I0BqeD14U1nckQEXjBUlAut4EJljpi19Bt/h7LIDSf1gSOZtrCDCbfxls1Y5PSdf1wY+t
UlJcQPDHf9oZEra3FNn6hpMrx/CR1igQFGKsa++p8jdQhGRUoBGBkz4lI5woxXhvYdYO6bQTkFf4
CIGmGEwwsx8+BKhu+l3mweqwJz9U5EpUE9tiiYcuyAzBYtw2GI4JLo2fDvLMOqzgx6WTk39ylVtZ
YeMGeolymTv12cwrrBtaXIN7pKgHvqITMqwZTySpcpCnz7wAC6x93wVQuio0VxEQOwvS6QxORHyK
TAP5K8M9VA7MbHoEu9FE+wcJ2Te/4Esc1++dIl6fY7ySLHk/bm5+ik0znDplkDYiBenkmSc1TX+i
ihQuJxW34YCuFQLtbEI9qn8HdKvtQaOJN9y0CYl8mVXaCHvmMeqYnwdaCUYzlC8w3IFDFniPg/Zg
aLtJJODQ8VRar1nMusneSQRZwmWR9X3+WgVpKrKUMDlmM7SwXoXE3xEhNeGSdd2G7wFa/fEVRe8I
UvXohc551Yx4QJ2Kt7Fc8AFtoR3B0F6DWDp6JRraNmXbh1P4Ll26hZ+iCns889dYP5GWzPJbMnog
ferbpmqKZiUiBqLAx8jHVHRMOfZlCjcv/RZY3aPwYAfTnID89ZA+dXJmeawnkmYOofh6DEW6nw2e
AyGbmuu+nKCnWap0TB5RK2NHuzE7qMpIe6pJN/ZlMhNXtErqbFPid2WM//jm/rP6oZ/+u3cx/f2/
8PM3MHyNdSXm3Y9/f9Ed/vuvt/f839/54zv+fvmhH167H9P+l/7wHlz3988tXufXP/xwUnM9r8/m
x7i++zGZdv7t+rjDt9/8f33xLz9+u8rL2v/42y+v37taFfU0j/W3+ZffX7r5/rdfKAGX9m/Qu//4
5w/5/TfevsXffnkRr/VfslqJP3/jj9dpfrtQ9NcojCIa+ZQg3QISb/nxjxco8ZElsIimlL0N5Co9
zuJvv/jkr8jAoySleIMP/jm8NGkYxN9e8lkMrxkECQ0YwPK//OP+/vCY/uex/UWZ7knXap5wM78x
hf5PKypOItQiIDISARxNA3zUrgO+OYdCkCXy2oyOD5nc1vaFAgv3XPv6ViGtg5QZQauoCizJ0wZj
Lk0H4+WbWn+JE03uwa8d3UPUXMNdD/YRaWd64bOICh1Xn7yVD6ifdvcp85qc8aQ5db1AqX/rVPQI
HIgsnVibjEM5KWvrarqZtPTuZdLLPAG1+Y0FpdBJbmopZjj2HCp/6SVd0/R2RlPiDLXoJt8mpwqx
ILmOvHq54c2WOc+7olygCiY8lY9pNJ1hMuvHxtQp/Kl9RkEWtk0mBaq/cZaEmp6I0uGppqCzRNNK
In6SNPcHEt/1Q3eDCpjLNN2Wew6Liobp9lwLmdyjZg7BqM3e1yhPr2Q8e1wnRRPar1Bs/RRtQ/Rl
rgMPBDxrejYT9TJvpD88HiWnuTUdtFM8eoqkiRCgJ2tRedGYq1GsRTO3D7IH6Tdo0V1Wz9F1m7hF
MwK9ixq1jZPk9VMUcIrRFYmcuUuryzKuz31VfVyCSt5jFjE8QaJzPq9zLy9wTdGlWybkSZjOSY13
XeOKvXQaU5vNVt1E8xbmHQFxIG1SVOoxFJiFXtM8xIARY+3nb92CEpSElgzg3epjwEV1Qe1d37CF
vloS4BEnmPGDg6cvDBnWbWiH6lvX9OauRkZ29pBvFGrpkGAZh3TGAi072h4AgM7pkxxW9sXbULKX
UV9dxoipu9Y09a1FOHQWBlplFB9SdE2zZEEfcXg/D7F11YLldZNdWsSrS1EoBkXJVvE4hyIDlGbj
eFU54MrqCjyqRVSlHmW0NR/bBKF+N9G0wLxSdSFzOj7Nq/bezXIVn7YwgOslobxtGKrUtl3mItpM
chGixZ4DJv+MioTOQMgZjkWj2mtFqo//Xav/DcPwvzKr9/W3UU/657w3mn+ws39ufP//tavBP4E5
3oz3H+3q6/qXhz83q3jf/5hVzMHGKGj6URKGb4jaf9jV8K+oA4V+iP+hfPGGMPndrlL61zjxQz9N
AphiP3rDJvxuVyn5KyQ3YXIRc8Q0RWL0v7Gr7DcJjX+2q4kPndGEgJkoSmJY+TdM+j9x/UVkYuDu
3sISdbC6GCe0Ipq12QqQR8BYVPGlSxL7pBJWn1Q4vXMqPdOe23NrsHuHmtrCvXUJeb+eEfS5e/QP
Rb629ZjHVBp09OStscGl7XvUfebChO5jNNPcofl3SWMfFTecP5ktA6baCEniXIPaoKiS2H+26xmk
nfrMA90VvWQqQ/NIZQHBsMZm4vqMHLcqOkDz2qhDKKpQdgWJxqtYzNXvondrM19sZYL7dmiSd1E6
f+crYwUBj0zmq+S9n/4f8s5rOW4kW9evMi+Ajkx43ALlq+gp0dwgKIqC9x5Pv7+SRtNkiSOGel/t
cyLmatRkEi5zrd+t+BLXW+wNsiqXdS/TFbuRQt+S4Desb5lz2LuS8dULjKqp60zd6IXH1rNOiHfp
S901g+JKYR4ePXele6NZf3VqI1nrc54sNYK2FpOZX1rRcBc1WbFS5k5f+oN6wJRQeUQ1wwcLISlF
GcaX+YvRCi7sXL3VcwPyEFR3pJLc9WN9wQi5bd1Ml5NqXydFtjON+sru6i+5b5yp9hy7lmKl7jSW
+2Oj5OaxswZAfE4aUcDKDZ/Q4/jXTT5Ej85x/pqjM9GCekFa+76wajcKfQCRTFYMjjci9VmoEaN+
ssxcaUWk0gD4ZxORC95UGgOgW23y4IPZ631rTSR0zEw3zpoOVMdTCy1YVEFRA6nWa0YrXoLWebFj
LNQ6PjS9D96kLQO9Yci2HZOgGNiwHvmqaYxla/bLpC+2ju7cgqCvKiEW4GIQ7UzzcccxfVYEVFvs
B8aqF8VFHWZul990MlvWkRK5adJuUfPf9Wm69Us23dnyr8rk6NSK4htqnpgmOzkLTA1viJkgtPbN
m1KpQ9Ba+Zj63fOci02oRschooT16mfSwZ5WtumqadMLgOHRAxbjtE1LoOo+R0BStUjxBumcZSrz
7TDdOYtAi17EOJhQOk0KVBrdmrGt6y5+WQUUrEJ6UmrdAoBFWYeaGqwLdOuLoeOAq6xO3XJE5cBU
tkCGUaBhMdJFXI6cco64yqoyPy8KP1rVsCZbxY9sr85zjtpAGjgJJV9HHjzpcwEEG7XzOelD5jIM
m0cjkZKzp33WlWdHEQfHKq+QjoyLKc9q4D21cgkt1NZ2XJ3F/Yx9ld+xI7pMYP8pDmrXKefWoH+Z
LOsShKDeJ34JYybD3oX/6SHYeGpt7D9ZwnG82PCffBit65k5kqlbdll61RrjQxwJ6RFU8ckuDfs6
kEW8qv0Q0ixB2RUOpNWIVIm8MB1WoT19atQOSlQvz7Sq/lZrR4A9+tzZ+QUcxdlgH9VG2XIewUZG
Gq6wAIKsoZiHq8wsLsbUf0mgk3QJrjBVk8kGERGY1BKEUwHxdt+0C8dCd9+4in2dB+q2UmvpJn7/
qAV8N07drMs42pT+9M2mrsnK9iEB52ni5DOSq53W214bzZPX+SAgpjiLh+ZsbDrYfDW+MtRonxuJ
WCJC2hmJzqNPyvOqlk8jL8MCo89XqterTg8vpEVOVKa1yxBudZkThu75jCOqUq6tz+B2B+np/Qyv
mu01JVrZHUGvOFfOy1q7B6x4pqS/IHdyV9fzDbhSSWqTcmnbyq2wrKtBFdsyzuEsu3hg0ylNb2rl
bSqSJ8LhP8lpKiiGeumRJPeUZ9Bh7DrZJgnF50SCTMR2N7rVjJom7Mz6UspaXUl4iAV7H+NBtJ45
CnF6rXQ283GNFn2JrWaLluCkhS6H2TWb0YIO6FQkCZGxxE/7uQEXXuAEQXbljM1ZUBrzI94Fw63J
4l+LWPcv68BRnko1SBa07MD4eFIx0PmiuPETJ9s4bTTAlQefoyEVuy4EkOz8YGBLix6NMXDu1G4e
QISl6WpWmXkaTHgI11OoMSx3jHgetDhfodWXN3Yw7n0aa6+fquysb3yTwrqueW8U0khmcRh97f7/
+3JJsRyLEgapI3k5/70TPTah/1qclExvfvZn1eT8pZmaaRjCoYNUj4FHP6sm+y9TSNUWqlR16DwK
lp9Vk/6Xxb8wtUpqQrPY0f+umrS/oJSl5jCqxLJUjpA/qZqOvebrmgkCgC7YkVKTjsMJbb+tmdSu
t9LkOIBnFsVCN0g5UVF7F8lCnz/KjaTr/mWpY1cOUk2d6Jy2vVJR/LiYGD/jD/YCDQltAyNojLz+
QP393joOGhiVVaRK5/72kgDkSKdGiAYWhoomdL6qo7LoYRo+MJi8s44heKyYM/n6rFPrql2OItBq
pgBpQXx9nAI0kLyrZh/mf3x3fpw8I3IrdRU4w5DUySfPSMvHNDYCa9i2RvbJT6Z+H/vp7IZZb3pa
nSde68f3to/FIO/CvdKAVwdlBledmLmbFDOcNmUcWrQR8RdmXjes0vxzJfSrlpPAS7Qh99q+R8GR
NvoiYsqy27bzVihN5nVmg2AoEuck5zag0e2DXgXWKqyTC3uqei8wlIfatjWENqW8KMMcJHek+7bD
GvGNAfKuDAqkPuyDq2O9chlZfJe1bGHC1ht3stNx2Q+FvuJzCD0I4898LdPKN8UhUHMDhNOIN3jK
B5d2lXa5zm600Dir82yLZOGTGEv7AL+PZs+q92kSI7uRMbyxNg7reKyqTZWbuqtMWuNydFBsKd8K
I1QQlUY0tGKuXWNOjKU9RLMXTRQF5bSTVrVPI9JtADldPcziZRXP+7mpqcPgVN1mhsOoB4qGtm9C
t0o7Mn/RILpWD+MKT3pHc3stYDk2nSU7txlbjtgMpahU971uUHsNTKm39HofJ/mNgXYSTZyaXJqZ
oYOkOGa2FQ4lqCjDnW/ruQc4heLO38T0yYQakxdLaO95WUznnV/dQMt8yWX/daQiXvg2HYaSqy9W
n+1jYxaNNxkIn20Utc91n1Hw+gSKllOMMEXHDTDnKiyiSQhjjJqmf2jCSEHzFJLy6obxEK3FKCdk
s+KhLvFR6saXQakDhAPtvC51Cv9Sm+rrAcLRbXLzOtGUHcreVRiOMt8Ufp2GmKOpeifHHFyyac8r
I0KEJKoZKmPKtowFKRdN6YNHCwaXMR7oUBszTDZDQ0pGv2haw9vk8+tR9wwLe5xvQeoQPs2XXTLO
Hn5a9HUILV0iKPoF+ulVbsOZQBWel41kngQDc1sLOH5yytydksrmJDXjRZMMq4AQVG/0zXVg5Vsm
be0nn2KH3NyloYpDMgSPrRky1NNRX8DXrqibZ6ArZpX1Ynq2RfctqMsFg+KmM0ImOKHLHAq3usWb
sBaAQC7DyFtXBJXtIcOIgLPab06mykOjd+eQK/XSNIrHDvvHJjerXaUqxDAjeUzt7ok/+4uBxtyN
FIsDPX4JJwafj1m5Sus4dDO1B7KC7sPIEe/Ja4lXqhbuG00/qzTnJRni6xx2d22HXb0STrcqO/vB
ZMcQxZx5aDoYlhBEqaeMKBeDSH4upuJxnESxrDPzEKE1BRjbYhz7NMZhsxZ1e0dPkHtdbZwZrcGO
WhIUVlmV29f0TiCVHWyWF2kycyvbuChVal3bPJQd6hMp9S9JemGMxpVs6mYR6xmPFqjOG2X0hRcD
AYQ/rqtGTxjVlkRrVbMuGfbXeG2jo9OuwyPQlA2LWupfB7pA4nog26LxQjHV8zBXzqVmtkhX7Mkd
Sqg7BBeNl1czirdhraVETgtrgGTXM8MbmRi/qFU5LhK6Q6+ypoaexYKZ0wP0SFY2wyvF8NLtUK6x
AHSuFjl4rHSt9grN+DwVyX7qjJtY0a1FgdZypZTjpW211Sosx09JLDZIYJt9mvPvTP1UzorK3zVd
7ixHJWwWskkwg+UN3XJznGSmNaFXK/4etC9dJmYULmxUsUg+Sd7pnPpTXbe3jd923hTxf/PO32aV
f51HBvtl2vYe6nNk6U6QeEnISafoqM6tYDZXdTyAexitV0gLaX8BcBtBVi57BTlWl47pDmHTozIh
ycRrdNTKc4eHjHuIjKl/mfP8gR5AIydvQJwqLdNzFKfxojThNehlD5Ose+Ggh5xCUXCWk1q8dAJY
2bHJQ/J35Is9EcvmxxwtdR6YO62yjkUrYEgVDtOO2ZCxqyhsfJPJgCAU+F97m+GoJP9tEsve2L12
5R91ghP3OGKSDdFMSEnapPIm7NcbMKrHGeeLiwZmZUwAm4xdPe8TmMKxrabFMFnKGpS2hdqr5qUZ
O7vE0sqVNTYJzJOerIbpeDYpabuLNdNZOggqlaTfKcOcrbpMEa6AIALqJUViVdU2nZmRr6IB7tIK
RpwY0jDYS1LGg7C9o0lSkfyyBwcyj70mqa+V2I4OfRs20PGN6elZe8m0NvSilnqYBsc6VAoYstnu
khz7S1/PfxTwZdlUdwBsEqqBSsW2T21lSl2X3HxmII5a9X0GomrNy1dF77/pjTd0xtHcdVKdmKBb
VCbC4X+nIZN/T/7j2GBwz4zNzAnjA0RLvKva8tFMI6SvMhIHXW3R7DCXqImsHwECf4Ta/h/DY48B
Zv+9u9g8/ev2pLf4QY8df+xnY2HSCQimMCHFZFqzSoH6s7Ew/pK0DaZFlyCkc4zK+NlY2AC1UE4M
JTq+Etqxav0Jx1p/8QANCT9l/rsd+ROa64i2vn4vILfAfB3cho7kfDz1pEX/GRbeKdNdazm3djZs
+rbii8myCp7c/ppb40WSyzN+ntntQbTWMwlrbWAl0dETfVCvf6d1f/mLUIVowtZ0rMonNsURTdGP
AeNmMDwCDE/YbMLLOhlSD5tGhz/ft11Aw9I14upQRWiP+3q8HgoO/bLufnTOb+jb1x/Oafvw/f7A
3NM/OLZjnpqyq3kWMh9MY4vUGYGyxCszoAH+6Kp/fQyqKgTLINkxVSCrt92QSXVljOI4QjxDpux/
bT4yIB+7j7d3VReWCeVqmbw8XMrbBf6efo6jDMlysoi0OwR4lnnuaNe12nuvPoN39ptfb9tRyc2u
pku2EO009uCdweWmneurxL/9/TrvvC0QGRovrsTuaf2SPYae00T0E1vbAP1hZZwr07iXHZ4DM9Av
uzGb3S7Y11b7VJvFChPh6CYtmK4/fxSl+GNU9d+3GBDNNPmYaZyBEXiKzmlH6+AQhCbTt+0QZSvD
j3B/5LpAwCGf6Z0aN5qx8jjoctwaRAwMcirWuj6KrRGl+s5GIr2J0yK+lH7+CStbQcKr3ayavAcb
HFPdQ9sTLFuhqqhMjWxdRkB/fS4jpKhlukAXaC1I7Yv2xWDK5dAzPSVEyIYM1E7uO9To6TztQ6wG
q7KIrgNmRCSLXBpmhZI3V7eJYdyD2RpuNjfFRWxO93ZkaQul9ndCVw4ShxHc33RAv8PHX2yNokSu
qKW7EamtVzhkmPplKNboz1ZpWN/rfWVRUjpYuNCKu3i+DxC4qu5NyaTI9WAr5W1tluQx6ZQyJQxw
nDo+4lanRWpXGctEnS4xJw6Vh/AMxgUZ++DbAYRG9TBl7ASB3qPkgU8Bqi5UvJ8z1pAOBWufQus0
hLQPbjsXmrZU08LRF85sxtXCRoH1SRZg+aTP3QwZUtogPJSW1A8OjRLS/bKl4ENDjUfEiStjE1tG
ewXciAcyijXm6RVBeDbExQVy3X2R1Mjzc5EDTRrPk57VBxkIB8l6cqZ3Ufupiuv5ohu7aamGGpo+
tsyFXRjdDvnTtGsd62GUNPS5TKbPfR4/Q3kaXlqXGf2AmW7LLFo6zEjeVcferm+vQQPgrNThOnNq
axNWo32ZYvBxJ61ax3XxiDv7ZpiwT5gzgk/H51sAWLBWSdMDMSTRAbT1QZsmxs9PqVeP6VNuTM9V
Uy1jUTNf1yBJJIqm+67Hk1/asY/SMpHHKhKRD5UWotLkMJbWuMLX8I1yTfU6ROFLacBy1W37tRK9
cGu02W46DZsRb7irNPGXctAkVtT2riuTW5HnZ2BetGkD4t3Kr5dWZ12HdjV6ills41KdFkxxBSQO
hquJKS/LWYN1SNsy2ilMqllG6McoCatPTTf1h0pMeDj7qkbqPlsM3fO/BmqximJZez7Ny6JTKCs7
q9rmQgdAt4LMrX1UgU1W3QhAhKC3VgEjXbFGrfzysUOF5fVyxNwiupuYuy4jC/0V32qc40/RY3UF
qBG5vYldIVKwHIyWE2+s2L9Wdfu2UtTL48zLhRLp4bIYDWeVVEbGiUUgtJNhTOqQWyi0jMyB2cR9
89n2xW2OuXih2ukmkRkK554OKZfZYejHg58AwUeF9jjY1flYKPRCffCsi0646gxU7/Ry3hgijDGb
FPayz4xHkSiOlx+r+qkel6o+xi6KvlXfjheGIqpFrjoXyAmgPkW20WRSrOxkuCm18HN0nO1SMN4Z
DEWft2EZOStTH9fCGSvXjgTMicEUmKoq7xlymq9MHNbrGWXUpiHyf1k3mGubBAdHh/N4n5Wpsi1J
DV5EWNOTNJyPyoZFp20yYZMyjUvF1ToMYrjnlq2lXSXOTVk94Qv4FBvmvoAuLct0rU/qRaHi2qoc
FNOC/nWQ7WdHqQ8pLp0gEoLlnPteq9Ulnxe7jlXeUt1sed2+gNLuUEDiDOxujOhm7h677h7I90GB
YnaHonmZUd5PakwLpPjYrvQdynfVE73DjTKVb42odrMM0FpYK5E9OsnnNqwE6hxU9hVAjwmBpFkR
fQzO1VEYC1jcVaPs7eAB36xXGr259hXNdM1uNZZ4yDA4ONpzZ+XuMLRfUZwenPoejRsG0pc56910
BpzJ23wXaOWhDJltpFiTWxLz38MpdZFkrAo+KaksHJDFOVor2JcWCWmt6PNcmcvPGMPPUhtDRWIt
CQe4L4si5RPX0BVm+fUY8l8lV1K7GK2bvr4DYNilunJJYBsnZPtJw9U7hk9zXi5sxVnOvMWJ/hyJ
kOpnuKrTcQv1Ei+q3jwrynOMC1uIeiyf7pCY8MINqHGzc/r4ECWAoOCzLJcS0lBMOVv5yC6sYK7s
/XuM62dYanajXaXr3JzWmf9sVlTQaJPQz+L2bep1l2EhV8ydIuwvQH0PdVZ4aFlppRWNKUTNro6+
WuVTpz+b8fCQF80OMtn2TKu8a6ZHGxQi0OeXPkrvKz261gtmXHVu3IAz0cfrU/fZ744AWOw8KU25
RSLzFA0BMELukcqz0MaaT8HEgWNU8XUqitspuRm+WLCMq6HWD1rZL3yHONOsPyv7xwBANGtvOXrZ
HzDP9k6Mg2hysyG8I2T9TLbBCK6a7+vS3GbmI8QnzXMTX0bBFzPlO5j8MxwRn83MwZTtQ3xVF1Zi
XKIdvyuAzChvVmozCq83zlsAFDs07ppOrgMsUoYyquwyPVZVM16GgbPN8+q+zyJwO+Va9xdpkVZr
Qwetm5QayKca4wS6XMe1lBiruDOD9aS089JqVGdr4cBe2DFLCYvZNXUL7ZXpRr9UY1tZGhattoKr
ZmmmInZNP8cSFfP+YwmPPQVHywoe8tOEc2Iji4kGHeHSMksGNiQwQ60oLwY94ew3TEj+UnuAAcBL
DQP2AHZrejPa2k3kJ/UCyKXYjlO4mS0F3XFcJaCEweAlJdrrvErOC9lN+Jt6XEZFPTFC2+SOtqqk
ow4IZpsTi7Mg7ddZMx5Q2xeMnPDxgDvJbSuoF5ARb+KyWlaVFqyRumYbmRtfiRawvME3o3PsOsga
8Pm5RYuRZGzVcq2qebnrB7GqHGcd6CFVEprix6A30+Wcka6Sd2dYeVEQ488CvFQoxHz6+k6dgw3z
l7Y1MhS36qPrXJseq4TbRlwA58kaZmS88Ov5a08CMLpsuaySYhPjhlt9L57/qB3/f0xE9R9m7ygr
+u99u/eU/+s2LF6rU9/85M/WHb0ULSjMG7GkAtvY69Yd4spiUjXtFJnC/MvP1l38hVpUw9EA2U1j
cswz/Xfr7tC5O7R4/INNC4YY/k84we+Qzd/9hsX5QwF47DkkvSnx8CctXUu2ghnN3cRMHCW+SXLr
rJisboVdNFiYw/jMvjI/VS0fXtanFfEYHNU0uSWakCjHd4FBflExV9BtDfEQJOOj1uT4sKSZQrWb
1cqqnEtViSBE2PLchP7ncgBv3ykthWQ69OvEGrd4UHa+nzD4VA8XdCow9IF5PnO+uY1TnEfCKJfS
Dr6gVzrjK0VqmI6PVTqgRHH6+9FUjM2YapdEQIKjys6sNslRztqif/LMCFQ2KVE3IkWKV/jOCwDa
WAu9AXT5i96a6j5Kc/sAEKxq7Ha+uMLUIh/CZKSIrVKy1tu6Dw7VWES3RtGMziJmRiNWTLS0VAhJ
Y98Foa3j4VZ9IjzAvI/hUW6q2+kO0nc1T/69MP3PIIToI5RB4tWdS44FSZSDvjCyXILbhihIsiio
F6molUtMHRs2FZ9qtR/LBT5I4pudhO1qaGhL0EwyiI7sDA0bnQKVa+N7XxZWWuAlKaFG4i62dg3h
XvF1oJxVdii5+VLRrO2ff/3vg3Fv9JP/55Tpx4Dv//7lH56Kf3lP0esvHzQNQfvxx35+9vpfpnYE
FGz4bwvM7u/PHlYf5YZqWzreJgY+/+ezV9XjVoFc3YI0tyDQ0Vb++7NX5V/8944GfAShcdS5/wFg
x1/1BseRbETftw8DxA5E8eSjT+wkoN53wl1Idg1eGG+Kp5W5GYeKxKF52XyQdHYqPDhZ7jR8T8SI
17hLGIlfrCxZT+NLMVHJ9D9Oov+Ksh2hkb+3Mlu3JGp7ABzukgY6dRo3GWptPfuVTHcZ9TUE2Sbs
ScrRlCUGmGNsx+LVI38HnXp3OZ4egg4bN8F36f8rCWo10NtGqkh3JBMjz8MCkn6p6LYKtonO6P4I
C/v3xb1a7Yj9vVqtqUkYmhJW82EZK8OBTEmWOhrE31/UCRT2Yx1UIgYHAqcOx8PbdXQbPisDKKIY
tqHdWxLdi21Lh8hM0I1a5S9+f6ebyhmk6B2msIWgNyGC4Pd/xVvg79c/4vjvry+2IIVcGYZ0V8WY
BqgDtWRaz/FHIcfH1/z0hUH6Y8OY6JyypzNugp4JN6Ho2KVlchg6fwlNz/4ZehgWNlEx38/yIoyK
f3Jxxw+QVwZsWpxA05lD5lyg8SR1yEOcmYVzrw/FB6H2795BMH/ML5gjgf9P7qAV4CdA/YotujiD
lVuUNYChWt/8gwdlSYoIk+3MPv0G8KkrGL+tdPdoN3PoziSJ6dPT79fQjq/cL4/p1SInr76DSA9k
b053oY/M2wKYZIrX2F00Isg2oTOFD2WIzGFKc9MFCbu2RFke6lhtsfsW51bgyEvIYsp42SCBMHqN
DIh0KcpkETrAaEy820p7vg96Rd0QTTBfh6Xct4PVAbMm3VXASHlPYZCd1zHH+lqQEEaepdmtFZIN
Ptgp3//8Xl3ryZsPGtqSeG6mu7LIlMUYNHdQ50fEjRQhqis6meY67ig+NG16CcZ2bx3v+xhli6j7
aKzDe5/H8SWV7Kq2xVHx9h0i5HnOtJH91O9k7BZKhYZdBUCy7+jE0XPCugsFEC2TH32YJ0NAfmwA
r5eG1Hq9AZgo4y21470KuUSdS0VpG7hjqdCcVgrhe36ytCdS7+w7EJRd0SuSMBH1Gxms12Zlm8vf
v4LHN+z0DbQsWAgTVwOSzuNR8Go/SujnJVtlupsIanLz8JFS8iPoX773mlvQHHjZjg3BKfIPDql2
MXNmdkj45rUtymvsVc8yt+K93lSuGk43kPvYy/XiNgqV5iCbF6F+NITgvVPt9V9xLB1eXWrmYBPW
K/ZEJCiYHMRLL781uSgZwWQXrpzv/8GdpYvBbQdLB1f3djmB+bedsCLu6iZqXQclkRuW+eLPF4FA
EoIIAewiR63n62uaAjJTEpVMkUlVdpL4nZCd4p8sgarN0KWAij95Q8qwKtqi0ZKdI/L9ULij7Wx/
v8L3LO7Tl9B2/l7i5MlMRYrNTWEJVSu+ZEPXrQimB/OYFHHnSBNFUhY85q3eAR3iBrQxFx/xm/O6
A6Jy9OoMV94XpxJ4Hib9Joyl76nzvaLqGzTjFqlk1q1epM/aPDEMxboazBx428xuRjv51OTp8+g4
qTcgOWHkiAi9eZrQRTMoeOlr0yWY3gFMG9u0qc5uPUI1/P7y3/08Xl/+yUN8e4cVxNe7id4PF8sq
tvhLqxKUkGi6rjS26ohAb5JR6gb9ZP6R5PTH1uQINLSWZnC+nh55xIpERI8E6U7m9eVIMkKXkg4Z
dX/6QqkaRilMrdQnAovTyUEApKggDU7jXYFHCYrcKbApXv7+nr5tA7iU72vQUNBq6BZBCyffhVXn
I018vJuKaTt34afOKG5hQu6MVlwRV0LR3H9wWe8uqYJ4GAZvgjwtudI6zVoZtvEuim6waEG6Iw3u
L1vC9KSluzZhEf/gGjW4Y/Q5ApTl5MNM2iZr+FZibAbSleXgibAGqvw6Dd/ppbU6fDRr9HjX3nyn
x7v6asWTF1VjnIuJ0D/eqca+gtJC7+Pqkf7B9/DLPv12ldMhJvnxgjvmI+3GetcRXcskcA0atMpy
4MBvv7+H765FbyVpW8GwTofrkCaAdqmZ411bXdX9cFFSi5EzBhSrXBP886e79fHKXq12cv9GMk5K
S0FR5Ochit3QTdXygyXkscb+5RlxVhv0bjaylZM3X1dIrsZiFe+SuH/JwmIpnOHR8KvnSSlfnD7Z
NZXq1eiEJ03MxAwlHym9331JLOQ5DvgbXsmTi6zmamipcY6Pz7xT2nY/aQiV2/yD2vlY5v9ynQ7N
qYFVko/u5HjFvljBoSnRTpvtR+IH547M3OZBib78+RsCGnkEE6B2rdM5Jn5dNkpvORHZGUWzbBz5
OYvSyLUyC/lvXB6MnIyW3y/53k5iq6qFqdR0bCQAbzcvWWZ6LCA3doauXpV2cMd4713WoWqEN9fT
dskPfrDk99G4p7cTtAR8k8kSum2ctG6kOQuMmT5ratGdVaDBSAzrVrHT/iws26cgZAjmAOYIkIJB
zgQllT3RFl22qZNkTcwRJXvBTD64M1dLA+HKaegJjzR8HGy6cVkN8lpTo2o91bBcAbXAkyKGfSVK
Igh7NVtNmtwOOPNBnPi9fvcUDP2Vzfs65fmLLItnTv1HqMxlO/tfiemkEMkUZ4HDdZ2Tjc2QeTLl
GgynZu4cGBsEv1+HpLPo86Xd6rcV2KbfkH1qNg/pMR1RcVYksp/hsYQxaosrvceyztWqiDUg4D6X
SU+6/DjfA1cn7jwi0cjNEhHGLOE2IHo4gPElNOFLaxfEO0Kuu06fEo9cJVcwMzlssiArKuu3aK6L
lVrr+6RUfDrJYdh0Xe7hiGSaCrQcEQYXiigDSLJynzem9DQtypG+kDLriIIgHL2GSSeO7/fv2Xuf
0Otnrr59z4qptx0VRn83Ov1SR6w+VYueNGBjnJa/X+nXEoed7/VSJ18rkHjh+w1LmaTS5SBkCoHK
86ySfDi+xCYjfrP+1mQi5WQhY8sJh+Dv+P3fcFzi9A3H0q1hwUDkSXb326ttzVQVc9UmOzJ5Lxwt
3wTUdP+7JU7q2MqETiuVKtnloOaL2M8QovQfScdOjDQ/apsjbyJMzCWchScdJA1tS8h5kuz8aTiQ
XoH+eYcAtwsQH0wT4djJukura6vP70odwSwCwKr/4ucT1XA/LLSuuS3MBkE/IWEDOoEwLhkGEUIu
k2WKZqMoMYaoRkUIRLKP1GrrJxbJClo1X42h3noloeglSX/Ej42DF0f63e/v4nvb3+vrO3lX5oHJ
K7Uckl1i9q5ZRsUOMdmqJEsvGjU8KEa07/Tygzf0vVPr9aInb0esEfnFTJlk15JDAgij7URDrmkT
fHCcvP8W/v3wTtArMk2tqh5YB1BiPemhW4cfHcC/Qgx8bBxY8GeCLHjjVCGa4t9AEOXEuyGGomFf
LcmpW01Gm3qxaFyNmGqvbvPHccjuoL6+5FkUbWoDEkslwogw8Poj7PX9u/v3X3Sy0+AYSjJkMkRf
Su0BCabqioEUdSGff//qHE/GX7/xv9c5+TTiAa1CMrNOLFHpBsO0qK2aTFEB7YZcx+6mK4Pc/EAM
m98v/O5jBUGh7oHdpCN/u7l0IjSUXKTJjuzVa9Ha24SO8n+3xMlnISHDhmwukp0+zd3ShnlcOHzT
v1/kvSPhmG/x8zpOXk8FAoKo1yzZgRVfYKYmLlC56JP0zo+K698v9V7pDRqE95NdDGro5IuzENrq
5APyxekYfEdlnWaNZ5HgqKhXo/Hw+8Xeva5Xi51cV9X5fYzFgL2S7LkRRIG0Hpk/mur4QQ/97ub1
aqHjVb8CmdQaw0RPciFl9lcNyWC3deLAG7KYRG/TrYuP8MSP1jupFYVe9lYZcWFRjtMOV6Rtd0si
RLEcim2KSd84//2d/PVNB9enr7BUECcT2+3bC5TgNLbWmNEOtvqb312KIfngWb3TwhyXgFm0QZzo
3k8eVlZZDVESFAt8Umdmg8LSd46jp1CswkHN/rpzLJIOsN2IKeIQTyzk+NWUfYBY//qCvv0zTh6l
Xxp6qDtc6dwcMUJkK7Ox6FIERcKhXNX/+Pt+u9zxSb96czTO1h83lulsBzEFlyihP5om994lHcPE
0FkgOv9Fgq0dfWhqwCWVfbjLpVN482CdtWYFckb83zH9ZP3nrwu9E/YNGGNyD042xngoqBLQYezK
ZC5IJsf1pOPN/sNFjvQo8CezRQCZ7VMTgm8MyBx8eCcLZcCwSj/9+a9/TRyeXgM5koRxD+ku8fZf
/3e/+uTAqqvMKqKWX22p6abUB9zF0Qc355etj5vz+q8/OTdUkq4kY2XANaZnIl6Wad+4sfO5LqJ/
Qsy94hxPNnS/C2VdRwDeVXXQl8wdQJj4+7v1SxlxvJRXK5xsDPEcTiTewSMkZ2N6Vp8V6Qe79y/f
x3GBVwTmSZ3i9HZRZSZsSOpsCu1qDhdxsdfN6+qjwaXyuE2+qVROVjp58DggwGAbXtnqiTA5XMRZ
4LZM61ngAv0HN+0VX3ryWP6HvPNYjhzJ1vSrzAugDVpsgdDUIqk2MKaCBhxaPP18yNt9KwjGMKyq
l7PMohU8XB13P+cXGQolsjXq1EsveFnnDyL6u3eGuStHDcyDehS4xt7qwiChIOuMFwrZYqP4Vfjb
sj0Tjj+ddItmFvHRV3gzdxV8itDZDxlgITfbiXyr5Sihr74esk9n3KKpxaGK4LmRVANDlt1TDXj/
+uOn9iNJK9D7f+Qj7EU0CWukx4IJGAI3xAD6zfWsjzs9fN3IqYV83MhiIRtYMaR9OKYHo31Rp7X6
7mzD6qctnxmoP/S35TI+bmexjJ2wCMgH05lNw9oyr3LtvcLLXjK2w3YMLtvw1epepXCXF5uvOzhP
weeGNS4JnIo6wJiPiy5thQWHmw4W17UDj3e1yYZNgCnE/ut2Ti2F43LtYrZyNHZzo6BqXbV40azM
yP0H358LFLKG7py95J0NU9dh/TMjADpkAX9byY9/8P2j0utinLCmc6Zpjv69vB3uUGT8+vOfEzts
FQt0JeIvoEA/3eIRxY5Gu+X3G8Zb51yMKIdZ+zZyNeUn4tjNrylef93iyZV9VFZdrDgf6x7FV5r0
QMHe7ax9uCq16xZGwNfNnJp3JL1IFlGL4qK7iJpRhNYklJA/VwrH9JLE+5vfn0sBoF3/U6BadCNC
VE+q/Tw+IOZUlVi2nTmMP0WZxffn/h0F5STuFbuLKYDhSIzJjRqjjPBT7c+U2T6N0tzKXzUvaxH6
laEa1aGg5hWvlK1zpgufZnrx8UXAT6JYTEHAx6emRzXD6x+LditjFnamE5/P4kVDiz2ScSXO5KiK
QeEcovabXnlYRIq1MV5N0TPs2f7M2vp0jfnY3syFPp6bPE5rREFoLxs5AV4ook3nwuMfz8kP8XHR
xiJuTZYySVVXxwfbvhXdg1XfIrQQ4TdenqnWnVkCS1SdMUUWYuPz4Dk32kbW7//BPvlrhdmLfeLo
iRaGJZ/P4TN62Hh9/flzU7HYJr5o0FiYp0KrHtEaTCvv4b9rYBFH4gn1HaVlEQfvIE2s+/KcAfG5
HizuxBPis1U8UAUuuxVHsIfty9c9OBlJjmZgsQ3HtNR1UjNsw30yddDLyfveDsaZVs4to8UetBNN
nXx6cvCldXsXObuvO3EmljiLLYfcDsTXeTv4r/38yrqo+tfkHEr3TB+WSUC8+AKlbJgK3nDOBVrM
X/fh80yjCARDHQQwcGxe7x/Dhh4VheN0pEXyuv7divemN958VFe+buVzJ7hNIWYrw97Q0chdLNgS
xygVbm90CJPpRm3Q1ynQxf66jc+z8bGN5ZIqJtG3DW1AOkFv5NqBJAqlFSIt98Zz6/fzFWUWwTMs
TnGbejHqYx/HDSgsVlEVGG0Lhi6wQmDgOCVsrV2AOk9yO8k2mkvqDjdKmJrnsrbmiWz8x+YXG9SK
U1T0ZROIeGCO2LNTq5TsPlnJvt1fZhGE0N5IkOCRoxXsNuz/miDe6mqmHlIEJVa4S7yAYe8ROY/v
qLGWsAJnbw+Uc3cgiZ+mEI/ToQ8vQsXIvHQ0HuUqNfeYtlyZWXs9cf/bpYX2u4U52k4UyEdDQ55V
3kmIi+H8YB+cCscuv0Dzt+om6BpmUK8gd6TcS+CjxbaykbKMumWuBshmg5suNUreXW6rlPLMPfxF
y60Uu/Wgt8zKlf0Ws9OnpK7TdQuEi1S/37mdmr9hEzmLo4k3CydHt0DXbB9YVu9ZiPK6Rijvcrm4
H9tyh/Kls6oS5xlQ4H2cZLDfYnUbUjggb1vFazFqD01Q4PjQO4mxcsq22iVi+J2RINjHfSk8pHWT
nVNAscul9s4uirvCrjt8LuXOk0cUxJXKTlbUA9CeiyXAOpH6K3H470WWCPy4nQLIQpd7SL9WKwwc
NuEoWe6AU71rNwhVOehRIk57r6SyvlVCKmdFjDRAigzhSijiSmjafVggGaONdBJNWicNYrcaAwjM
LUq4cld0bm9Tssv0FEHdwryprBTvCo2SEArpA0Rg+bpKpR+xBIAoGM3fVY1taeuoaykdQMLMrGYA
3unWFnXrKoPto+0UOTM7jsUUTKhCj+oPe+bs+NlMh/VHsR5qxF/zKY1dtYuREbCcCxxl5kJC1O67
CZK+I2X3mWGSJG8Sxw0jJH8h0VqbXJjmxu9AGKZDIS6Doa63ugagHH2tLZ7auVtrwva0Ek8j2Wqf
jVEt7iAzRC6M/+bQW1xxRDc94bRy16WA++E/qyjCUWyDMmh5g1pg9DMKmNhB/VT3YGJbRanX+SRl
aNrXyUsXowExpbdxxyoylSp6zepIOaAvEG2ssEtXum8VHj5bBrr42Y08GagbaMFFVqUo7ddpd901
EXLHQSrvMjt5rAVuKXHVcxAIJBnGLL/OWoU2GvO1iKr2Egl8YIZxAhooQgQNFSIDZ+kpgUgZNVvS
HuD0kkZdaymLU62prIqiQbXNuOgH9BMdp7XcuBxeSsGvrA341zPwOgKBXWt+iSdTnN6gFf0CDxae
bF+M+CU1DEdlP5XZ9FvMyF/0HZDMTmVsn0DMtoYSbrVWH7cmhW5ItOpD3sgvAFLQpXtC7O7NCMSV
hMkb/rbRNXKAyWVk62sd+CQWkKY7icTe8aLrr8KkHnF2is1VFPjBWnGwC6PKOmJLc5B5TVVCPYTF
yM9pwDs4+xK14mYo0b1YFUwqbEtrJT8a8V6fmnYdgTrXcQJ3yrFF9i28D/WLQrrJE2Wvm9Q4FXSs
UGoEy2VWt7mFAWOBOt+Y+GA2mlqlig12M0JdEM2C7pm3y84sOwQMwKKvsMVC3UpFratShyd1xpbo
WnhZ1b3gZ6gmyQbs0FA2R+bEldrmKYqz19BIrtuBXRxWVD37wdgP1fdYmQ5FKzypuYfkBo09m37a
g4HbaSTcwbcfokB+a23rVksxCJuBF8YMwRCVVHtV0aE8ATTDiK1yhQXyrrP963iqUdeCDGf31nMv
xfgKo4S6chSmPm2bZo9mLSLXIT2ccOf2Z4cxbH7uJBh3LrxkkrK4VKSwh71OQo0Y5y2v0pA5KyDF
eGWHOIIR9Mramtqn0hAviWN/x6jmGwmFfR7BFiBe9C45UdnTRfpWBzgmm0GUeJkm35StkSImUuy7
cbiUc5J/NZ6olqmtIy3HuDOkHW6myH6lk4zTkyRJroN9i1sk9c/eQuEBFD6wHrjLbI7dpGbbHHDZ
CmXz97YUuE5SB10BSEWwIIUvrkbhRScP+6j1X7VQCl3TbA/2IF56y75wahUUWGVvK9He59xwXKRT
EZUctZdBTrHOUDArLQLlSgTmi9+AP9KHaZOA1MwFjPwShLadyTep/4BT4JNjjhcBk1GlYu8od2o1
3goMwJ1Y2hRGeW371aXECQcup7TMA+q1lMNYfA3CjoOaoTGifMsav0GwCNLwVDdkr4qtRFYRU0YP
7UU3TwUV+g4TC/TRGhlNTnutolVsKqWnoJZpZ2W9xUVDusAoJfBGrm2rZLBhDOhrO8nv1DTKdqCQ
kBBNwbVoyPdjpeSGSmavOZ8N9D3rGAiepq7zKtOvKo1GAyert12J2Zo8cJiN+XU8dGjLa9FVnaC3
meqN7aUNqJJyaJRnqZxp9868DSR8J+oBPSq1TknAdai9tw2WUmURubi+Ziuk3+Bb4k63QpnSv5wA
O69CtXUQtoZYOdlYQZn4UcPix1Fp1um6AnHKcWMlqIVk1UWuXKomCPbe1gZXdSok97tivNEyxF6i
8psdlRsTRwMo/o201swwQRgE0nxdFeYulCCbWjCCUROwzR04ptIdgkAFVDVUm7EQ3XZo5H1Y1E/O
bD2tZ5P/pjXpJfLZA3It5e1gCaJgXv/Aw9TetGUCQzVPblIjG1dIVydo6CX5ZpDbl6H2BYsfZZpB
7tHhSEIQVQjd3KD6ZrmGVhlek+OTl7e2vO4xrkHtE60TMxq+R3L3OGnifUDl5qofwl+lGd0rmGQi
SALe3ElRhEBbYaeX44AhtSmtpz9GIpn9MmhD7tlMJEz5Kb4m9dpvJEt9quDRHCQNIcBQGYytMWJu
nI5oLKHtZblCLa7MNvveKaWMfQ6C+dGkFQc7xKq4DCv/srejH6IfrxK5vsPExN/GDl6FeX1ox/I3
Bzi+OJFyVxtjBIYnzy6MDGVzVaNPqlmAbAuGVTmm4pciieYBGr51g2swd8RODTc5fuTI+UHKVcrc
WilW9tgjaMaSRIvb6CU4unVHoEPEcSt69Uc42BIfn08aq4wOjRrjQTPFF5bS3wRV8iMWUbSWSwef
3VFcTSFWeUk/FqtIrtkekzKgYVyJM++Iz0/Tj1frRfpp0OK4Cbk+HPAT8lQioYyofJXcSuaZFNGJ
pxdlJwxDqHM4GnCjj08IEkRDpqJ0cCg05qqbY7xm58qqtaVzb6M/CZOPmRtdARRv6rKhgVZb5tRg
s8XIkdAWa/CW5PCjDvIRblBUb0TftFsuvtKF3+Q/s5Hbhjq9DhGGY0VjT6vOGH5TsG49S5XrnYAC
huJbfqlU3b3EPdlEU8YYy3xtG9gaWJmJ3q5qbkRsrWIneS3w7Eb0UrzaJasnCg6DPPxudWMfp+V3
3zDuzEC94FmKd63sO9suieQZUtlv8T/6kXS072OwiFIyB4bUN7+6+QjJOUvQj2rcaT5eEHzmpGnm
QycIiVnhfBCBMlhXnEzTfES1nFUDZ1YkUx5JOcWM+Tir5oNN44TT56MOs2ZuyvPxZ87nIOdhzLko
OB8x23nS5wNTzEdn/ucQnY9TMR+sLSdsMh+1jBXyVRy+aD8RbuYDuZuP5q8fuSfSih8ncrFo2t7P
kgkl1IP8Dcema6SxMIDdoxWUjx0Q2m8i+mWNL183emqhHi2eZWqxJ+erVq0RHdJ+2lTa6DpWt3U4
X79u5sQDXplLFvKMjFYNc5GVS8XY9xBVSBJEw9U04IMyoZxrYws1ZFc5Isj/pDmN9zmXVPx3Ftmb
SqlbtA4YyUxNrrKC2xtmKZ3qJsO1hJPt142dHEL06C3oAOpcpfu41yetCWodl7JDp1xaxu8Uj/Eq
OqciP2c4Pm3yo0YWSYE4AqQ3mXUE7U72mtZ+6cs30/7WBc99oTySqv26TyeSOtD1/+rTIlD6ql2j
VduB7k5wJVTwX3POjNrJNMdxE4uczl89mqlUnfbYB8+meOrKt6C/VLmjaEDG0WBGoxcxoAg7M5OL
OFY3X3f0D079q4FdbDrcdrCczJi9cDB2YeZ7tlO8pyq4q5qLpZNgXFnMt8+87u/NNNzbJrmXJJG3
vootdY0LGNREtGZ8Ya2c+VaLIjqsr/mm6zfm91Eyb7K6WTuTkx8KvIPLtmu5IJRPVe04bgNw3e3h
5brBJN1aPQ4YY8XDHwbBHSrh+FvMqXjzsq2QjNJ4xjU5P6zijTBJxjXyF8naN+y9r5sPQ+RoXm2k
Al9k582u8LpLMpR5gjq+Msdz4KNTix7KBjRFRFko5y+GLa7jQKO0Fh6yysGdKXoTzXQJbfhM7fsE
dpmL/F/tGIudbMVjBvucdhxfyjeqEWKZzmXcLu1sHQTjvehLk0d5RDKCtAgaS5e1368b239VNExY
paq9igp09MJWf0NP6BEtvW+9lr9XdlQgPZJe8c7KcTfhTi6HyU2LEpjXW1zDtcC/iksEWi1RwsvS
4m+1rGFT2iCHP9jBPqHPXy/FU5eT464uKjA2buUWfNjwYEjfm7kZ27Z2Qioes79dYpjHFJVk2ClQ
N/7U6I9Kfa3TFWSzwugQyVfIHibaUxyfKfKcXB7qLD6BTC/XoEVMjMzcBoytce+zpZdK2fVGieTe
ubrYqaAISeB/W1kExVLNUi209OiQhPlmMknnwf96CXUu+dWj1d99PT+nYuJxa4uAVaDwZleTShJ6
0teh9R50xZlRO9mCpuILwG0Ont7896OJkdTIBwo6cQFIiiuyRCzQYPt1J/4cfct4N+u7zkQoDQ+W
xSqLjRSjIeCShw7LHM/oOmPf98a74febvAm5dddN41oVJs0JNWa1FXfd1PnIy+GEKESD8taA2UVo
GDe5kd4OZcQDM1BWY1Fdp62GnYKc7QNd2YcWtmEBScnVIIxNPzrXIW85aeiVjd+TitSzM9PzB6X+
sWcfasuOuhi93gIpgysABYKVxFtlvI3lb833eouInnYZkAt3RbHSAC1iUAB3P7uz5HPet5/X/cff
sLjnCIPMfUde6YBrslZtpwRBqDNH8+er1McmFotErlk+sUUTCh4U/bXvprhfiJV65mD8Y4Hz1XAu
tnDDEYQFOYXI7F33n0WNjmv2apMSJL06rhP7Jq2vrWwX1OuxXnf15ut1+nkr0Msj5uhia081sqM1
znSHF+lJe/z62ydH8Ojbi42s543mGwgMHOz8Ptd39UPfXlPf+bqRkyvhr0aWBxebLCmHikbUZFXv
e9Ldu/+ugcVGbu0q1H1MuQ8mdhKQzVeZc2YO5jH+tAKOurBYzJIVZ2Y684X7htoOel7pIU4fzqAN
z0z0kpaZGY1llfNkwOoedmfVz09+3uG4oxDKbWUZ7io1SZPBD/m89Z37cv5Pfv3R5xcxJxJJa8UR
n1d/ZzWXg/XXc3ziScg2OPr+YgryqcxGaUzig5w/qaPniDvTwE3mnRd42j5BdVpNODN+3ejnU3Vu
8y+i7KLNFDZVLgCBHpTH0brOkWvGYkN6VKKHr9s5PTV/tbMIMKOct1QQaAf55pV/ZmJObr+jTizi
h9IrMO6plR5wRTTvuCj+d799DjFHJ3VemSU1RX67+NG56pmBORmfjn77Ij5RrYWN2PLx3F/VuIOu
03UgdmdFu04N0TFreNGMI6xCKBlD5LTX96axPesUdip+HHM4F3d3jKNa6g52hEG2ucnbC1m8DLmF
EtHj35+M43YWCzbqccuOcnAOs9clWuZacCYQnlqpxw0sVqoE5VXYzUzpRlXgm5as/7vfv1irvaWP
4dDx+f3tP5HOwI3CwaZAs5GaWAxNnFoUYEgLH8bB84tNdw4KNz/zlkcE4cnR4FFA8Fk+JVDURo3R
n2Avja4MIj1Vf3UbVXm2xtZFl/rrcTq1L44bWyxYRO5zE9YGhFxtFVRU2Pai9BBOVsszE3Iy7B5T
fxczUiYSr/sQ0qVdXGem7GbZwTjE12rReUiyv9vtmcvCqQV23N4inDS+MMfKggfsVHv7SRH/IBge
f37xWKdq0qhjBJM5evK798TEA0w/Mzcn0jkfOaRzF48iIuBLdRjzmMlRvY02xOsJrRa13vU6Qjle
fwbbfyq0HNEOlyjoRu0kUCdwG3GGxSHPHYPvLZbQw9PXK+7kvByxGxcRLJDLrKEenByK8jbSL7L2
XEHi5JI+amBxfxCVLI9DTgOW9TM2N2ff4SeocUzLUQOLAFBTWsvMiIFq6x/jU3nfX8tX1UP9raTO
+E3oZ95gZ6bFWQTKkCJ8Uyowzdu1Wf7qqIWn7b7oozPv5Pkzn6LOEWdyEQjUgrdJF8IEtZFFEUA0
IrKE5pkV/XnuoddpBtl8HZQ9Jd+PC5oKpWSYLaEznrUdroNzSNL5R37sxEzf+19e5NLRxUAbH2DR
TFp8UaNdKt35L0N32WxV8+brRfx5tGiImgj07llGWVksASPybXLhJMOBNqwxdAwiHnB/O4B9bGOx
+3VKkrpl0UYs8E2x8Hk7p8ZwqhfHTMTFnMtqVubRSAv7LEjW8XAnmnMx7NSMqwqOo0hBU/BaQvhV
w0eANqWJp+rZuv37k6DJcL0RmsKzavnt1hwdo5ixmEpYboIgQEhhdKs4W3/dzOd4olNk+auZxcFl
torfYIOFQodi7bk5RmsEqAfD02zb+7qlU4N13NLiyEKPCyeaiQ4V+Ix6GIv8g8//hV21FpFXVscu
kno+71dvoXFNTeXr759aTkfYWGuxu3U9LjowoHxfXIIr/GaK7obs65lWPl+PwK1SG3HQ2EAtcRlD
koD8tRoQQ3LsiUR0a1ZA1tBtRNDk6+6cmo3jhtSPwQrf9dDGEiM6qOlK+aHFu68/f2q0jj+/CCGW
1baqmsz98INLbnmttdYBJX7dyLk+zH8/ukFkndC6fB4sieBR9Vf4HPyTFo6gyovd4fDgwYeGKmRR
I1RQ/x7/yao9xkIvNoUtJNmwClaVuCmAtqpndveJETpGFSw3RZGofTMa/H6UNwErnjm8T0zyh68v
tgSSsW2kzudELUExwla0w3bq3BScauSo3jw7ABxPMm4SDuRrGgFN2xrXYtx3w98/i1Ck0nTc0mZu
7rL2EPdapGG5yigNt4Yxubl65vJ5ahqOG1gso1HX8K6bp2F6GMQa9NXX++DzJYp31NHvXywiKTSq
gdOCfSCttOTq/l46J9d9sgNH1fhFtIimBgFXhUkYMwtU4WWfPH7dhdMN/G/9fSnpVgVpnPfW3IXY
ez7LYDk1QDb5G3QTqbcr9rzGjgJF2Q/CiQHMHZL3+FkYrrQHuvZ1B068AKmRHZWWFpOQdho9kCkt
mR6OaSBx8WLbXEvSU3VWB/J0W0dln0V0BbvXTgkqNIf0Z+y8yfFPCeOy2Si4cGMrxljwTOfm3764
eaKu8FcJaDH9vh50XHn78FD5myp5nK5k+ITF3vp3ee7/ZzuU/7E2mJP5/29HhMfwPQ//z654/+yJ
MP+P//FEMP8Fideh2EeksljC//Ew1f/FPx3dlCmqk6MkQP7bCEWV/2USOhELUiHOUvTktvFvRwTF
+RcFPaBmYFC4lOGG8ncsET7GaPCnBs6jGi4tBhRdDXeEj/ur0/1oUMvO2QsVJJVxgzAxXlPnVuHH
Xfy5lUVSIi9aLIfM3tn37XvVvcjZe+MILkk/j8b+9n+W9bHf6ILY+KmdJcIJoFZk1jXtRDUK5z0+
9cijs4lF2Gpu00frwBkgeA088Pyug5qQvlaO+OGrWKr1wnL1nnuIVKjDmUfs6f7jXoML+Kwrvohi
amjK6lAXzj5QX40YlAnyr0GFYnJzjnF5rqX570fxEh0tvW0N5rMa1Be7V+/B0iJOWFcgnEVY/K3o
8u/xNi1d1fEPRRdqccKrZYzVJcDOvZOA7G3SX0Nav8hdfpsU/bvo0zOk3wVb69P8Lm8UKX5nFRgh
Z9+mrvTcXtsQVh7UB8TJylfpoIGN/lvZtM8dXCxcbH+0egiZOORyU83xDBsX3/jMCXpyzv4axSX/
0OmG2o7h7+3laZ9VOmXraeVooKBw1vp6g5zc7UyXA16V/MCSMCs6lodk5c4eV8cczDPiC/AXziyK
jxeCP2Om8XENcydWhW4uQko09J3ep0zSaOq/Qkd4RSH9+LofJ5rQEWokbs7OzzyyP65yJ/AnrIuF
s5fk1Ova17Y/s9JODNSHBhbHphIkVdoFNAD2XY9/Df6FnRlnxslehCssbywEJ018qFDY53qzvDoB
Mwv0upLtvSnUFh9H2Ae1NVXrsjEPo15tazFuatFeOlN9r+H1uDJ1afRElpBnNdN9kcsqRk3dpRXG
Hoy7bySW3a61dqk5rfHdW/Wq9qLogb/SgypwfaziEhdci3jSqv7GHjKQwiTuBX68XjlKw1pQQnX7
SQtW1pQ/2xo0NLkzp+skbwSEgSzFEViY8A4N0b+nuNqtQWtlri9ajGXpKYA3uejdQDL75yQJzAcG
DR8Djr6d2sExiJJmbw7x5Pk9qH8fHUI3Di37Ho/6yXAtsCqeVEDWSUtYRKHevuoxZp1wg8Z1Xg/N
z9BnrLSiT1/8qom3KUqGXh6kq7EJdRdskLwWelHiyGz4b0KR4ZHJYFbKLgRcPGE7TW1nW/V6cYmP
goOvY8GRh6WjakmGF/qN7/ZZ3120yRBd6zWyh6luNSt5UlM3qpT54BDgEkOjbdwkUrt9rEU3TaGt
sr4yd12cTmsjBAwqK+ND2dUCStTQ7tqu7teG8Hdlo20xH7Jort3GWQZHozB+mWNcek5T/R7Qz9gJ
JR8vG/TM8CSFcILTMTSjPNE3BUm3a3T2QXhTanP5zk6Gn/ijtLV9KTml1yfFM5vytdPsTYFUJRiE
CBKfLxXfpUz5qUrVhPWHAloxyZ66UCvcFPZZaiVbzVcSGMN+sUbAI7kUw8xMMqzryqwgy8DmxEWv
ajYi7dO1SDUYIMF4kVkmtgV+oHtiNG6q+eqqp7jI6DlejU0K9iZxUA/VwWytU0PoLtyLYTaxzC/8
XqTf7WnmGqZlAQsjcr6ZFgblZVPnXmI0Yt/bVXCdSnxdIvxS9ike7JGLSaD1r8MQbTRJFW7PieQC
rOITqQrpJvW3SSQ96SLbNXlof7el/rsSYaoAcQZ6YQIiPE7CN+E0ww69yTsjKFpwavE3aaoxjG0r
/6Et9NtClZAmjqDSKm3fQoWQv8lRMeyVRvudDVO5GSR4oXIqyV44QvDKI0XFpdpPN0YdfodfiSmp
LePN2yHhnfs1wr2tZlzU4CbhpxbbsME8reuq7TBAaoxbLhxxXTeuKTmSq0+OuVGCFtqWXDarMlC+
tdixrjoFo9LIskcP6VOmro4cNH+bXaGaqYsGgrZNchx1hC1dxkPyzWlwRMwn882aOYNamo5b+EqP
QdsFXlb7b2NhrEM4qWuHx6Enm/H3oa0lN2ud4IbJyvaWHiLtXNXZvUhMfZ3mhIli1P1DV0+1Kydp
tE1gtGOZLBs7AwKmV2owcfDQBTtSethbXLYTMQDZHVMfMy9SIiSNLeVpzMNdEEm/6RT4jwx35Vb/
rYSTum61/rEr5dugcAKvk8NsxYP12S+FuTLjgi2UOsEtdF99ncyOoY29SRkGLxpmkITR9ytz7Peo
31Ig8C0vj8IHUypMzxpAJEZd77jQQZ6qHsVxW67XqjPiphcG5U7rpS0Wzekq1axwPZWwGHEFcNSe
nSGnxvWkZN2hjQ0QpIGO57cdQbOyjZdB0n7Abnw0Je2+M/veI7gSPFv1JdWmn+2gOyuMOG03aAtw
VJ3A4C+2NVeV8nRDXjB3s9pgRcY+cs+WdhnGhbmP1c6/UGeLzXYYIKAV2uSCcosuUb2FuxJX4W2v
WVemGd5BOD2kZlxt2kDpGS+fOMk5g1l0mnoTWsma3dpw5m1IuKWl4l2Raocx0HclmtqE341fDXC/
G61eaVqQrNKo9GIUgKIQqt3U64fBtzqw2s23vmrGdZbrOl0xDpMMjq5SosumK8tVb5mXWRo+2RDH
1/LEy1lCwpZbUhXs8DtFNLqlV5EaeJj9DiulMp57I7zGDRsvIzP/7mDD4CWqgpW248M0noJsPTXp
tI+MFpRnHY6uja/pumyd2z5yXoy6eoylrlnloUZiT6493xnxjsVX5lCnCRS1pn6mGFlgR6v7nIXy
tApsP3ejocoepkmead0d8txjHV5Hetp5RoNspINuOYdO+2jITQqHS5fWjSo/BHF319jarqhj1YX1
+0Md1Y0kqRlY9fJmSqdnLZrYqqpzX/gO4Dyt41TpWROlAuME0/q+KKpV3DnvdhLtoix7nzrEgqzc
ctaF0rxUVrfxAyPxipIQZFbFtrSM66QM1qJI7mw9+CUBKwP2k25TBy4wTqZo6kheDrfJ86fmGvX1
0puS3vlmSXXH2WDWOyWOqck0YsTmJPjtpO0Az1Vg32wZV1UcvPATbnSjTVaFXzL5QtiuOsIGi5Lk
3ZmSN00eXH/IDmStuE3UZeoaRneLjPmhQEWzLoaXukoGT4NYm3D4GZG0FRxxXXQRoXIe+nOggj6m
cY8Vb1JvA3l3sK+SxA7uhOEZ8pMW4+qUSs6FqaFM4ju3cjqWwODXfYLeZCMfYg3n5SH8qcmbNh/v
7ExZ9TYh3JY9JehXeNtdhYZ/ELZ9LTX+NtcDlxfKbmDYW2jZdtVfmgiSFE+TH/Zu3hioRzRpsTMj
7WBNyS6o8BBOlVe7BfqvVtqtNPrfHHvV+1QxJdGhSFD+bpDGNvyw26ZEmAalpMBS1kOuepnFzSyP
kbiGWpXb5XoUMuZ+A8kpv5fvVBze/Ty/mIZwB1w6XCNo3GLnjk0N5Mh6r4w3ZV3Mfp2rIH6X7HEn
/BfJv/a1/AIxfO4KxibLfS42/YM2tr9EyZIpWOLcYbAmQuZ/FeNI3E3ieVB2tnaP5dehKPQJVYBB
WslZiQm7Ym38wbrCR+43STXgqdNBSaefEWww4oh83+FA2hQjbGlFCQ7daJjbMHR+xnbae2oR7kdd
3cYhBgbYiHgOTtFvWaW8xo5S4ZJMHTbrsInAFGvq5Wk32TiFhVO1R1DsLi2SR2mCw9W2/b2QO9jW
sKckWZUui5Y7WGbqu7wPNFiMo+o1uv+g9ajTKkV8X0epgxl4p8EDHq97yGi7MWTAHI3IzstvF6ic
a2ah1Fv+eciQ4XOjHB3/phaVN/oNB6gIg20fV0+lHfteI4l3XEanTRFouEF30+hJ1fijN5q3FJ6H
p4oCQqj6vZ40POZFD2t+/txAaOagLX5WCOVBMw5yd+gGxwuHaC8Xpo8XKwalfowaQxn65UYmd7Au
lfY+SXvTU5RoM7R66xkK9mRaNtzEuoSBW4WKJ0zX3lgPgZWvdSgInNHZFSlmeLi9etHoTnWhDPod
nmtXcDoMGPkCQ6NCgzuvmZOHO/33tIGbakjytuU+ipXHrVNq9TqY7MfStvDncm4zU/wIQgVzHt2q
3TyQZdyl1dpT1fKqmqxXvdU5W4NRrCY9uMq6QV1pkqV5TcAVorWCt4EN45b20DH6qOdZ6XVfBTAC
g1dZVW8iQ95UyJOw2K2frV48W3X0PFlN5RalcSP1E1IBAAj1/qD6l5X6INk31gB8WcfQ1onTrTUE
1/lIUcz0lZtJKrAwchyxCe0KY2lHetCU7pqzB39X2y7wZw8jz06Gn2qC+HwMw+ERh0t8vFXR4UEb
5/dSI7hk13ay69N4j6/ho5QL4npv38iiu4AbLmFqB18EmE+zywxo32kWmFur/r/sndly3MjZtG/F
N4AJAIX18G8AvXFfRFI8QYiihH3fcfXfU7LHQ7VoMcb/qR0xYYdHQjWqUFtmvplkZuiqdjMnFQv1
EHZ7xZ5fU6N6no32sz4R+Dtn9mEsK2VjyfVZNdNY89IuCBMt9vUioyK+UOFO+qY6pAsuEAhoL3mk
S1B7/2Asy7E0ezNIQ5w8rJ58qSqz8DlReFTjsP04F1kyFZ45qJ0fx2UWTCklLWk+HZRueWwS3qmu
Fj9eiJVXqoiT05IwIFH04GBXdGy1Yt+MeC4shnFGoW7tZYNzdMx62znsqOUA5qPnTnMYa2eXlib2
EtgO+FGNeX5YfzabdbiZxmIOGif/SLCsv3NDB2UAavgXMnQCAqThsJYWIciHGE+V1Keuk+KpLKg+
hWDdXn1L1v0m9yijOtQXcdDeJNtk6wTigJ3Bv8DH/0HTBp3+n6Hpz9/Kf2zeC+uVf+1PYNr8g3g4
AoEYJV0YMnvtT2ha/OHI2D8Zue3AaoOw/AlN63/ohMohMAQ/IrhDPu6vsF6hm9ANmk0Ap2WT5fc3
0nrBn38iL0CSZPWDLnQcopnZrnsCZtZT6OBXwskjWznzRxm74rzkhofZgLGpFeepwokIYwd92Yx1
x9Y9xuejYBlPzOrCru1mS8xpyrrZ2Z6d49FThWN8hoGQsjMb7rQKkR/eMkYmCEJ2SyFiti+qmPo/
JGBQiz5g8RfW2mijLTbIRwVJM2rT/dpomwEgcgO2v7A1jA6eUdTlLx0rqKlXMIWWwzG0OetSrQFu
zi9ZV/FFK7H6mLJ847YYnLhpeZNSb3bg3lB4ozV/t5v6qVJm8A9SaiAFRsoSi+9DlLvbdJjOdKok
jmERfsNu986MtJdK1LdlpQ8BfinVRjRlQ3R5Z28nTDi2U2znO0Bgh42K24lh6beTZZSeVXCpqwqO
m87Ccm99CdvKS/XkPHKrYBi4d2Xyrlbk50ItdoVY2RSdhvyP6lmJlSvHMb9FDViYY2TPldpShljU
n5peN0nj6K8tGYUTV00CKuE8WuN6Z03688RdVi/7YFDbmXRyauNVLFY8K7UvOrPSMcxwHjOD+s/S
ihq/aVt+neAyYk1YTUT604zJi9J050MHNhAme07p15rbvq51hUDBYcuOCyymnJC8TrItDmIxz4tw
zjZqDzWfrCYRngXe7HWkkUJkd8VOuBh7df1CTIq7brK88hpXuzUXwtndzD4q7jBuxSjKXT8nITk7
RA9Vk+qziIabpTZv1NqagtyK8drSV32jZJyrxkYD2QKxekjWXA0WBfeGAecfyy4KH6ONTxRZrBtc
Fh5snCL0rK190xwerNS5mAfc1pGwf3XK+nwqyS+i+H/YGgMInFNJqgQIjjHMxn1RgPZwxS02atj3
u1gpbtK0MYK+iil4ytX7AsBx4/ajFohI3UWmcyXq7DzSxbrrpircxEroYlY1PrQYhgV9BJpVilU5
2hPJEc1Y3mronzdatN4ubfqcWPGVisrLH3vqceeaYv2xL+JAGZiRrQwLGarotbaXT3ESmVt9Tc1N
1WW37axs7WqZPOblF9iY/bJQ8Kty48LpDOusSKGy1p6/Okb9XXH752GO+CwHBbcyl2JWdiyE5Dfk
ciybIcmx2XDqm2Lq0m1t2Qo9v9xSwfY0hbgH40620zBOcsbki1k6x7xJ7xRhDtSe9Svnbp1biSb6
Myt5MbpJbKcV05iwxoigUDpzs4jl+2g0JZjB/MQS48eD/inrgGtipd1pGGNRYn4XTcqlkcwPfN/X
RRXpO62x1C231GnjJg3mErp1X64MUjWNE/jOdKauZGPrkxP6Va1yeKeq12n0+2jNDiEWRUUUnhmO
Xu+q0rpruvYhXsUnlrh5G7OMESmAT1PSipdaJVYTpVr6sJjhdesu7qYRVeb3mH2J0Bk2ymx9B+qH
AsEQLGuWS1c6hGGDgDlpU1NjjH0YkTiAKtJRbJXeYpp0GSsjXJrqEiBW6arrNasPpbu+KoO1r/An
q/Apy6RhWSmty1RpYqZLO7MxW27rpWzBLNOzJcPyLIf2xAMo26ZxwmVXGqNNMeZKFXYt0jqiZwB1
AtBtZ2NLS7W4FZm/Yo7FnWwChOkRWtt4sLVhd4O1YLntpT1bJo3aSmnZluPdFkoTt1nauQ0/nN0a
6fEmzd4SafvWSwO4scs9HUc4ZVIeR2kR18jkIjzjNG3ZU9FIWbCNnZyrtCHhS/V1X7ebtbGeulQl
t6x4dhUK6weM6JzYHjdhx6fYrUUekBP5UErfupYDViOd7AB67Y3A3C41dd2vpd8dBhp9oEoPPBz7
w00ibfGWKg1MYyGMU7WJ105GXL+kj54jHfXAT4+h9Ngr9WUfSte9Hvu9Hhs+7tTfF+nLt8TTZYZR
3yod++i0+0h6+BV2uF8KYW9c7P1c6fNnmaATygRgGSfxzSzdACNsAc3JaPyIsIcjZ9Bkl/ygHY3Y
xyDE8mGZkoBs9el8dVqQABWoxhnYRhWggs0qHVkIAwITkS4tqvRrYR5caNLBhXN4EsSYujiYu8SY
vAw6bi/rD98XjZxid2EtaTCFKaU7jCZ9YizpGLNK7xjDiUEHsZNRpa9MKh1mCuk1Y6ZTvNWl/0wT
rfZVbbvdXRNXLZCplh3A6G/s2tj10rnGkh42mL8dE+lq00t/myleb/ROSbzQKL9b0gOnXK506YnT
rc1Ng0mOUUZfW+maQypiSUobTjq59NSZpLtOk9Qv/dBcrBNwXSEdeCzpxcP8FVvR9l8XbaWwXGBz
4rru81qIGlcSqj2rJoo9PbU46Rf6Zasjh41DwKGlHO7EODwmYfOoDJi9KXM+s6qyNnokKj/ghLgb
e+ZLs4xEuxXPwJ6Gvw4OCibdQEff+QaeAYoxgA+u89faFPWuVNTGq0pF2a2L+NS3y+ci7h9z/Ney
fFQY6BgTH2wZM6fFaZDzire6nXu0TNzKzIxvj4dwAq+BwnPsf/G8q5wLh41ZGjbKajYtZ0mCli5W
jDrqqtwr0vGvVcFT9NBkxwgLPGR7Pg/0pY2vRda52rvtRqzzvpOocGEmTy1qJt+ZLEIk4k7bzliB
4Jusmb6yzI+jOy1BM5tfYxGG4NDdGRl81r1V6vtax6m/Kbv8bJz06TDYinrriLTBxENDtplNw0ad
OA85oa76qdHsFzUsKC4K00DE85Wxtqs/LfnDWM7pztWUONDSpfaSTJ839gxzgGYT766IA9yk6t9c
IyfvKV8blu0MQ2eM4QLuKuA0Vh7E6gqO2+mOD/Mb6DrGdOpsOnvbiWuOabERzIt5nNqwOgM3aOSt
kRu2leFbp9hOEOfquZI6D3obir2TaZdxPt/EI+Z+cxa+MGF7f1QzzhSL+60YmxfHWsHWQWWB2cL7
tRovMGSPjnnXKV5WR/k+FCavE48U7of8Mxx1Fe+/MGnPNbT+gQ2X4Tl6cgf18pn+Tr3Gqi/XaACo
qmL1fNLY4O1UgCnWmUqGUtF6Sm6c6YMZtOOMaWZfwFO01lXfL9851eFj7/YP3Zroh4bQcX/ojfag
VagDzTSEIjMiX1WnbWaO8S5PTeGNszPAV7dDkLYkEiuZxRlyraMtkqpmk1uGC8+oxFujFN+Jib6x
q5euJOF7AuLuqjz16lDcpI0TbdbWjAmnb8PjMkFhqobg0DNbKayQdRs3kNV1dRii+OBGt2rqdlhg
2DEnPucT1cNejz1VQOhnHyR4enGJ32pa5mxqsRDGWQKSsXJckAN9n6fiwUmWVX5T2iae8hvuy+hD
cAXKEnE1awPft76I4Mf163/3UFl9/5/vod6Xf1x8GX7VR8m/9dc1FCJfx/WCTDruj2+uocYfbKLC
4COxkHeq3BD/dQ11/zAtTbfRR5HtA33/ryuo84ehgTm4CPttbqiaqv+dK6jOH3+rn0PRovP/CdTg
1Lzhvqif4hhFQ35o5tZ7mCgF40xQJ420TZV1z9XBHKOxxfRUCT2B+a9XjxHoXKi/Cr1XuiDL4m3M
9RaSs1XP4iHHN9TKoz2nEfx0HWuLQnna2oMT4ROq6zuli0zPHsPlch2tFvJkwgU1bZs9toZiu4Ae
lV35JYyh2eaE1WWI2xdLLws/FHbZcbwau5epbMLdFJbGfVMI4aetUQZhlgSwEKlvak75hZmRGtjA
xfesppy3S8xmDQ0H9bC5stPe3qt2XX7ioj17qj4M+95Yv0+ZicPYWqbYPrKNOeHg7HJOOnNhaJDT
hcNkb5/dWJhBhk2gl/Q5rGjRaH7bt6lnNuJ7HkGUqjObQZOMXyK0LTkHjZ3dMsntoVCOhtmeDR0b
cqeNHdmS4b2WZ9pFli/VoV3DyBf2agCHRs/5HKub1VVq4qKgu9w03bdtpmyNCn9epw7jC+q4uq1j
rpqfr91hsePbMBIvdgv2NEb9hZsr7bW2NueUk2FjexE34xY7hyvWtGfMSyZOsODFRTayJMHS2ovZ
eWOBV08ytt1DowuwWXNqtn3T5QcgtvqaOM7wC5T0yPNDXP704rKxjWCdYoNVKnyG5YH8y5zQpb5X
VJe2kR7zfnzknOs3ZsvKM2S69dkJq/ZOLZBsFTAL/d0Ip3+GFPxR0agU7NrI2RdKheNgjEFc7Nkd
5oI7/IJtWHBzImKDUDYvTlmkN7qVGmgTzOK+tJWzzqjVTW9WWyWbduswZlwzu23KYXiMxuSqnjk2
xoaheMuCM3LQNstxdGBdVTNE+TG42rXB3vSapiLsglUrE7/nC+2aqD5UejdvdC3Ld6vqIsNOiwnQ
Y3HyZ60yFivQIr09xKELaAJutE2WnqsV0E68SaoheupFbm0Fn9ZdauhRUBLxJxFYeDUj5phW5eMu
G3AQWzWxLRwsj/IKMLY0W+3SxNkHx2OOiMNcFI8RQaf5oF+Mw2Q9d0qRHoDbh2ajN6Q1TKrGnBXr
B0KhU+0W6wNOA4TRkRlr68S7/6xEKvGoGyr8Pve1m3jKWp9p0N25AymlHN6smu+JG6WY7i8p74+l
yKaDqFgiDEZQ4vtzU3HauV2jFc0+UnK/7tr7abqJ6ogEDH0zJeZVpJ3lhurHNf7QGpPetpisiq/P
+GpzPS40cJ5hgVb/0Lngl0VSsEaawkXfCJrICv7zL+tFnKVJWNX7zqqKvW3jNSqyKeJsX9y1QwKg
ZvaYfhZYLVlGtMc667BOhdjzoX+U9vbLeMifYlH95kBGEKFyoq9uAQIqtWjrvdOrs5+XqCX0Lvze
NNq5mYvd/3Z0RHsECPAZ/+cdnfrHb//4f+WvW7r8a39t6WQQCzJsnJ8lz+DKxM+7zo9BkuLlPzd0
dM0gvLAjgjVKxdz233u65vwhbz6aqummLUsb/9aerklx4Nt5hNcsdXMA1QZlBYDfJ+VmaTrjhNgh
t2gyPPd746tdbuuye8R07nV2i/MVxQhJndzPy3utxLj6TV+9M49B1n/6AQDmIN1MZFnSQPWHKU7O
FOwBiOiyzDhYo/o0G2wrwllnGZsc2IP2tZmxUG512JFw3ZPz/TnPyHwc2XaH1bK3DsaUG3a2Ec2S
y5V6Xu6ElT/PotnNEUSzu5DqEmKpsy8x/AKdRQ2zjLdWLT7PqbkemyLB0Rv54GxiqT2lvem1Tv51
NeflAaWQ4dc9Fs2FsVAbFI9H1FupL2IxB+M8LAEilPXKHJL+U2bkFzPEgrfUU3ved0tPUHcy1HeZ
Kx6Znddj7YqNmQCxRbiY9HZobzLhXAthXGZJ8QJAXXuTu2wrNE+NUjsbBCy7vDdfUjEooMCShZwQ
BdXxsSfTaZO12DQj92s2EKrIHwjSaNsiYVcrOA2UzRmEV7NNcBZ9GKymukM/P7/0ekGyOmRkVPZb
FlD1vs5Me2cMXf46xLFzI6/5O24Na9DqXLFXbjObqLFe9LV5LHLjURvVz4gwDulaNKiyIi9J4K/a
EOWXOV/o4frI5qj7XdI9ucWMik24ARnJRwNsHQXGQEipUlZ7bQF4mNU26CJ8lcpqci5ivY3vzDmJ
tnANhV9EeEDbZfJ91sfrToIFA5V4EGczPtCYwl+qGNHHZXTL+mZ7QtUe4BQvXbU57+sIm+eCKHhJ
5BlDNAeaXQ43OSxfDNuXStqP4BDcB8FVhaQE23kosHLm97rwhQ5olBmntTfDJC4hLjNjk+8RWnfH
QrifYkk7stPEeyS58LVwks2kIqPol8eu7Sds3MPzRBKYlqQyc0lqLnMIXuRcWpLujFbxbEsCNJNU
aLqWZiBgRxHHPPAerjev3WUmCVRTUqkAoT14PfQq2D+HL4DVItB+kK+25GEnycjmUgkqOVp0sp9F
WTxHzvxaGZgQ5EbWbYZ1vSnTevILyfWGTo4wrRr7fT3FEZ87nLCjgQhDEkfUCXoatHFkxIfBkq81
wChT1HSLczjquh90cyaZ5yGh+Nyx19dQstLktVU+wj+YaijrAeq61ysMaztRb1XJay+xeoVPt5Qw
RZe1k6JLKC/FCmCVhRq6yY0KSd6s7j0mkr7RiatyQUAj4uixh1ank15HUks416lbDeLdgoCvQuRi
cXbZFA5vIRl6ydUjXfwciy7h8guPTwqE7qtQ+6vk+CNWNIRo9udw6C5sqQNoWRwRhiH7rlRT9Urk
AmWnXLfIB2JkBGbldkGOsKDIAcIQGhRSccAUfwmlBsGpLWgVqUtwpUKhQqqgI1kYpHYhRsQAKs7Z
FVmDodIzi1Q6OFLz0En1Q/ZDCGEgichx8PWXHyoJM2VeqlSBIqBAclkHy5K1yKK42ddSZ6FJxUWC
9GKRGowMfG/TSV1GXbavS4FSo5SajS5SucFLHUepv+hLh65DKjyqZnqOuuWrExnEaaV24umuvW7n
ufvCiITe1PcPQmpGknBWgAr6Fpd3HldKbQnVBkdbqk2wH8CbVCpQqKWZDs3aHGapTuGgeWlLvUov
lStzEd8aUstiLs5dK9UtK1daOC1jP40s8tB3ynki1TB53n8e5uU2UtHJoEK+r8LiJkFAo0oljSo1
NYo5c1xTS/DaW6S0Lcd58ZnvTnnO46TzsC4/TxJjJ9DqZFK0k6DesfPF2pkagp5BSnvMNJ12aVI2
ng2U9tmIktIvs9niDlogtlDWNpGsaOl1iZTB9I3imcX6WCkiCHXzfg2Rv3NVaQPTASsnTh6cSczn
rUFMjju1AWYW7aZWbfLA1czhKRI6LieuRguSvbgSUBn4OO8VDXRwygyb6ky84WdVOMGk59KJfDg3
tUgDwBXHwq0hZdODZdTTto7EvV3k+VWporOqlDjammVuerOoZxIo8O3Upsa9ygYc4VMMuP2utWdQ
NNjUNdOv8sYlMkHdxtVwFSnNYVmcW7vpb+KiC4oF+frgPuEKzYQ1v5nttEMaNTFx5z0OsXHATQ4z
/lK9C2dH2+SLDYO88nWN0wS9wx13Y6uN/E7QGxrqdI+0cfEWrj5btVSKnRs3hK/09R2nHeOMJ3b+
QDqLJ+YZ9VbUrEc1Mg7ZGPm9HYmgTtKLLByel274ykd4Jtiw8qpduO1qImAWjDi7J09GOEd7Siv0
7Zw36D8SfFbwvSaYwTrMtnreSwhfGOWxXleYUBPzRm21gSm4zwUOaMTG1NrR17QRUWYLhM6fdzwq
2a+d2Vr9vtbExVSlqNu/1EW6ny1jBxrCQrI6N3NkBEobJxdpHi4+oSufpqFYjqsRk69Y5YyfKL+t
vXi0rBHRZa5md1TqKge3xvp9wJlAmLBWQ1V9Qs5dBW3l3iymHntNZ4/BYnKE6K1qPc8a8ZpwhTw6
ghVnacRZTHjcV3Nd7xI93hV1nO4yqF1iKzRjw9y7FjE+oMZ6D9AxwL5rBipidummGb+GZync1Kxj
y483JbyriaZ3Hrdab1zHbTvc0efTnkAbZTvp2nmFsB08AuXfKnQgZLV+tFJXRXfVDHdqNEHwUXGB
ztZk++izFuoT6o3fnu3MojtWNhJXURk7ay3F+VgYL4WhIv7q6/Muj1+qqC9vVa26NwfzSoy2zEua
OWvoyXi+VuvjnFgGiPlse52mQ9+zWJB00Z3PLTfptiYrqYgz1rH2xTAWFHYA40ncfbE02ydpBjjJ
/hb1uRM4nThqofG0VjaNNrjzqBZKw1Xk/XZ2nD7Q5o7IhnziI5qOSX5ehnfIAACa+rvZhnewmW1N
E5Ayc+WIpzS8ddTpODdfojq/rZFNQdR1KNmwEmOtdL6Ebht7ZkQoy1BUW3tq2R9TZ9GB5yNEtlyF
g2nCihvBlrUFcAKp0KlmT1COxk5tsBbLvCtsFeSuKbbQQV4UoRO0loOtNPyS8ipMS/TKiw3M0FCh
EtrmmSk4aehKY+7CCYmTiX17oA3Y4EMwWBvDhUoq+gTyfIluxZBY+wm+j5EE/Dezbd+qnjNThjFa
5SdVKcQGnwBymUK2jH7NLtoI1IwA+nqbKGq8N1X7LI/dp7lVqwckkphQrRwTNaHgeGQlr2gN0Z3O
ybmbTNeLEJuYghINiQkiD2dXLWsAjbM1xsWGF2Hnn5JLOsza5qAbHFVCzkwod309VoEPmsHxzb64
g024ikg+03bkLK1gfYm1dckt8VmVkBs2E8icQDkQ5xcjZ5LbuhjMTb04r4Pu7ofIqvw6GUoYkTHG
f2R1WSXqNBjjgZyUntKPwVTPXJbgQFuXC7tEwECXDp4e5/veZoUZGYCynbuzerY1T+0KbUdoVPXS
qt2rDAz3SGrXN5oAIncLLdkVZX7bcH84WIUiNjNhGHuIdnEo9F7zrDXtfL4ua5NFJatW1ajbXHDg
LYV2r6zOzk5txyviQniExBD20lojVRX9U2ezClphijrSbTUKKmSKMBkdtYz1iYjAyeG/N2NCMaeJ
0IKNtgfrGbtiG+m9gzK07s/GalK2lDy1kCHWl85l3S7GArmQznFZWeIHtcGQfs4gga05vqyRwm2w
rAU0sELXU4v0a0gpFB7g+XXPqY0rSjfsmnimnJoEEQw/yk0o+iCEHPY7g9frEx2CHmUG2uF1Cqqy
H5F6R4jAp69uOlyiZuKKBoLlNVRnBhnrT6INw6Yn4W0IEa4jxD8OmXNej3HDAcggQsjSvpvUR4Vx
/5xl9q5Hss4i0aRBk6teMZd0nEjvi2q8UbXJDjTI6w0WYKaf1nAv80QuR8jdQkGiDmNUU+mwYD3U
6K4/WVJ/WPWEmqGcMXHSdef8e65RKcE2HxgG9Ue5jvJcCtujJBDlcNCKr9LpCLQ59KqVCK2YHDoZ
sTQsznVVV3ctJQ/AvuKLzgePq/FTaNIbOWdRtOytW92Y4/LQZ+XirUnCsUjAGjslQiVz0ayNpg5S
qM+1DnAc4OoZi41tRNG/MtjblfgKLnl3Tcg3BfuHFWruInSvu8PgQHeGk5X4RBtBcWnSAS/+FgPu
b6KRcV9sjZyuYRnPayVvPsVNtg27tg2yvsYcQZTJZjasAUHMdNMBTHtIpRc/sqtD342zZw32LTM1
UAtNMPkMyCOluujr7F5rp8e8VcAMouLFnQ3pRjzthcZVvKlWronZ9DqHZom6NSddyYz5+077nXLj
eYu90bnFGr1dKYnwZupQziqOpby72vr/w6r+iVWBNv5nrOr8Sxn94656D6zi7/0JVtl/AEdpEFD/
ZJQAZP6UQVK57xLDbNjyv3QLuPEvGaRhabgtChNLfBOfp3/jVbr2B+gSF9e/QK6/IYNETnkCV1l4
YQGaGSYPBAP7GVw150xPAXlIy6JS7CgOb3rjHTTqFC+1zJ+ffoKXqgaivqyeh2NY5Re1a59b7ach
JKPbiPWb3zf184sAe8HxUfyuW3B2KnyexOXelKY3U0zqtDoRQxQ5FP3c2vHr7xuQuNlfwN6vDZz0
VDkjC8ttGrD60LdrGB7725Qr1yX3IKCl3zf2c8f92thJx1ECx/WlZViWZNqHw3zLMnYr0GMk7Qct
/eIZIjsOSNaQiSP04Kmxpx2HVlbbYiD0hzuhWA5NjgTHUY9Jdu0a6WFqhW+k1jFCAPr7l3yvR9+2
LIf0zZBZUV/g/WSiOWA350bnWz2lwaHXWfre+Vu16f/sUBKU+A9cq8a7/txW1iAAtVt1wHfq6Dby
rraxP+jJ977At02cfCA5W3jLcWfAYbl/IZHmEM359vc9doIu//oaJ9+FC1phNymv0TdmSthkfdGM
MDIcx1YCR4dJkaKe2ucPHbQyMsGXlA/eUnvv03z7miej1pZDtOgt88Bu7k3l8zqg0ky7eddG5cOq
90dROa/1bF3VhUu9TUudIJKHu56kGU+Icg8FG3kZYMfve0YyYaezE0EjmnJJl2FU+fP4RmFIhBSF
Z8f6oG2tqzT4/ePfHds3jz956XF1xtlOCRWcnKAft5n49Pvna5LE+t3vl+/3Zi4QgtJk6srAzlFm
bqD8DiXc7SgHdMmJh7GrwUfIdxmXBgXa+oAqqhBBCf+q1+NXCsP3XTq7Z4ptBk5pcBxb6jaoS/OD
VfbdKfumH+TH8eZnhlHFFcqim7uJMjaMC3LjWfq3gX/s48TwP+gVOWq/6xX5c940p5SJgcqW5lp9
AVW+DrOaOmB9M9vfEz0/hJ11lnUSnZ4u3V0eCYrTww9+w/sjzzEJI3PWodN9JU+tEVjcZuTRdNvN
rsk/WgbfawG1iYVVD61Q/P7zS1Z4hoZCttByDFd0bMY+GLT3ZuzbBiT1+6YXESbpSyUbsO3vagxu
UQWJ9albv/1+tKQF0S+jZf4g2bjBSknLz+00pZ6pJaLz4xCvj6O9nkVJd63g2F1V4Wd9RPyskJfg
q4m5Vc3sulhlLL2WYCJKcdgG9f4nU6H4YQ2TW7unrjkv7Xv2iM5Pevs6ivCXSWPlW2PUgYYE2jOG
9poj/r01g/aUpfEVLbFBkCEx8UvPFSmxCB/DQPPajJtd1GvpVVLY54PdkIPJZdgbXfuxrMY9+XLw
E+Z0XqbEM4bqfJkuCSrBEolXUt/mffJ5UKkcGsPsg2/rvdn0tsNOBqZCZbQm0zgc01eQsI1BrNiw
J0w0HP6W0cw/t423DcnV580XMAxaO+DDxNlFfG5cG/SCUuMP7cfefx3XIMMUI2/EGz+3Eg5UiVFB
yOJQjt8S98GwMJ8gc2tCoxPNH2yF784alFh/NnayEnENHEdCZdkJB9xG6mq7LIr3+w/6vSaY+ELH
XITwduPkzGBQ7y+/Ft5H0cHDux0Sqd+38F6PWaprW0IFh+J//dxjU8lOlue00HI5pjwc04v8Qc0N
P5lxbshD54Pz+Ptv9O/2fpwF33wHVaSiFEfWf8xuKPEIqw++ZznAp8s1ryJQkzgUBZx6uCvLYs0m
tMtRNbb9S2oRWw5T8F902Zs2TuZMI9QaWQzHVRO3g0sUHqVO3sB/009vGjkZl9p1snjVWckyEI9w
eRzTj5z6f1ysfu0r4WgG0h7xi/XgYluLBY3D1cjcuNyIcn2vd8GwHra+tzoPqv7BAendoUfX82d7
J/NlivK4Izd3OF5sP1hcPnryybLvYCYR5gvn3r4s9vjU+dHw9Psx/6iFkzE3kqVTBFLjYxekBTDg
B13z/mf7V9ecjLYe1aPbFtNwhK46zFG5s+2n2XE/2IU/eIlTH66+avVShAxAlz1SspFSd/X/1Uuy
qPLtIt/zRNelUPzoRv7ymt7+/un6r7u7joEfGAbCJ1v/5YSdJviIdWXP75/rbRaPz2sabbOk+mbo
DsRGn9xHmX5IjPqpH5MliKdl3+b6gzU8Vk7/3BjQAmstqHYrVmrDLddHf73vnOSDfUH79cz48++U
4/BmjaOWpRwzh71u2mGgEO9W87se7UIM3B7Ew4cRN+/M45+bO9n0ZrXKNBY9DlfzcEmKz5nZrZR/
O3dlgzjDWm6Ett5bRfdUttSLDWK+0hL3gw/4121EV/H/opCWtUSz7ZMZaNWDkXRwFMcC1x2TbmWv
cf01s9GxaN+0Zfr8+2/h10+Z9gwLihB4x1ZPtYK5GuYRUdrDkUNa+ZB/8DbvPt20VfRThuBjO7nK
jWKoI3eswT5gLSjVycq/f5sjApwoA00WkVv66e93m3ASXVbRgp37PaXr9fjBbPl1SfmphdPJTr0h
pY2kzB/bRPGT8YxYNccsPpjwHzVyMuHz2a1hiXmNsC5wKzgro8oz/4uhpuQanZ0LNPRr/GKm9pG1
0kZrHRCHth8cseTS+vMuKPvpr8ef7EpxF2WC4mZGgnLm4is1F/rZsCYbVC5UEP39r/ZtWyezpGgH
k+pV2tIowTGzYEk/WOHlj/3lZbA/ZHJQ0g6Y9vPKY3bN0FdkUR3DMryMY+ofjX1RImOh9PP3r/Lu
yL9p6WSNw0yj1nHIY8tV0V65IdJ7e5sv0Qej81Ez8t+/WUpNNYt0ZPkDqr49daub4srVxw/aeG/t
op7i35128gUkpWpllWyjrnGAWw0SIcvoTG8KdmP7qBtwnL/vu49G6eQz+KvvMqzAjFFQbMpw5YW5
pfbwg5cTH/Wgc9KDzdjV1tBywwtjcR3103MppXroUFH7z7CWlKZomy4uBkqRILTCaDi0eX9jWe43
e5m+pZ1IDlUNgV42r0uk3oTUrFp191lZ88dJo/57asunGpHQ/5F2Xrtxa02UfiICzOGW7KButaIV
bN8Qsmwz58ynn48ezHGL4jRxzn9lwAK6uFPt2lW11mr1dpfR58mrZbh3S+UxQdGXdqq7QDEE20tS
msGQTi8UXTgGTRRvzXEMVqZ2IZfMcdZp1kYkSpY+KZ0gs5gl1IbJ6PaVU9f3p+JaoPYnNr/llcM8
Tdyns3ZmSf44sXme9FU9Jviljdx2ONe9P+6LYNetlTCWxgQFKG1ruqlTXVBnh0Aa/58lscsdBOzi
YgvRHcqlZuXownWTH9U1r7hwA34wOTsTmkav5zgNjpSJfN0KK/fG8s9P3f5gomjym90bkjuEKfyc
zRH1XqTTwy1Crf/6TUCuTPprYrY8ldyi/GdEbITfo74p3JVztXCGP/y88nH1U7l3JdWNyWe4LyKI
WYF6KowLjbcyUwvJ7o/jmDnaBE5QOjLY0EJbJpteBRFqSBW9AfG1YeY/h7bYJw1sVGxyWW3vmxHt
qHjoJsqfqIAb0QVxBZKlFstyBRqycAA+TMFsW8KTBccb/GvHrFPVrVxbAFajfV3IMPXVtt6CzJXJ
IVz2nQvX9Qejs42pRpbs6jCpHoNuk+fjpo83YbhxRKgpLhtaGh3hGby1kOtBwTvros/D3Bg9K+AB
ru3C197Pt+S01cIHOrUS4Cx4aJK6oBJUqGjAl8zmkebHAJFhv6GletinmnjKzV0IXeXl8Sx6kXMz
85mL28p0K8xIAjd2Ul4JaU3vdPQujhB21nSc8Ve2jjq9H9aWbeGOJVLncQC6wZqo2D8elyJKE4gL
COKMKHhrGzBE8Hb5tBfG426s3ZOiubvL4120yC0gA89AHXyeCixjcQBOz7kZ/nDRcf3thYegUqAt
21+2tOTMkLgmuwl2w6TO/nFsaQtPSh4K9bHone7neH/515c2/Pmvz/wY5Da+S9K5PnbqTrjalHAS
V5Qf7G4tO7DoaWBDorKGsBOojVlYMjaozqfpNA4pe00jD/cBK6K1o0W2sEEywbsQUOow/OElseR0
U+qe7liyigZU1n+JivpG0/trr2u/ZooVrhzHGeHWlEAG93T2dbM4Bo0PyOcjrgw3/NWFP0NcDeHm
ixh0d20p63dyYG5E6xeEBjTbsX8TNnI37Wir0HdR9J62+l1f+c/59G26WDwgyXSAg+DZEmkIHs0G
QlWVLuOVY7e4DYGOiTCF6YiIzA93GynhaFr10WeO/EwodiSSvpvNeNWaeeNIYf98eb8s7kbelCQ/
Ad/wOP64G0fBj/KoJPmgJXd1s0PP+vLvTx88C3sUqK/++f3ZOhA8GnkxVQza4hDj6ultst7+gwmQ
ycCrwB2Cdfs4BJCUxZCIPVd3SG/ja57vQ+H1somlHA1xx18bM2+o+Dk3pzll3DyAowBgD31DFyUp
jgJwQXMNPOFo1j0NY3m1lVB67TuNXAbQpDSqxhX5hKU1M/hp3ki0wShz72i6ohB2UwanGWzrXRlW
lmxpD579/CdAmCpBoWmRN1MNlAVVOTpYovQ8oSdaN3sc/61m0XRSz83N/GHYZKagu5gbjvIhX/ED
K1NlzNyhEBseNwzPGc0TwBsPuyBS/rfVMGahnR97cpEl5LJ+bL9c3nVLZ+d8ZqbBnb1mVVOEMHv6
ZT8aE8dlETSa7iG4HVYuv7VZmp2gWEzHUjFZAhhfHz0p26RtsTKWP55r7gjOBzM7QeCeAqQaPZ4I
Q6w7iWeCvqjEl9JKbgdo5DtI0neG5+2FyLvxymrcSVD5b90kvoVYNd5kJu2V01GCpK63VVRpXU5a
jq4J7cuQKmZq+whcCYLovHgcNek6aNSjFpuvSQ/2aOSXbQAHp4iWri6nwzIbK7iaqvo7lNDXQ1Pu
6048WUn4MvbGfUc78aZrYEYOQ2BedZj513UkdrC+WC4srWkmXV1e6qWsLFUoXjcagObPVXsBkGYD
oxNnWs5++L4Kw09Lqs9101vfGwTbsIJDrwo0udJJCe0vkn1mdu0Oa6WFxa1w9h2zA6OXAnQ0GZHX
9+/uyt229tOzg9KixBJGGkOslSnN3ZUPl+dw0W+dffrsuOg1bfcIF0/VT9q/zb2nPLhWepVI/kkz
u81lY4tn0zQsEUZGXaQi+vFsyoSifkqX+NHbVlZvR8UrAKjLJqYT8enEkJZDIsfiZpsH+lD5lkNQ
kLROmpPo3WVBsCszYe9VT5ftLA6FXhFJk1SDfTZzwAh2UpEWpnWpS7jtw2s3iMDcIG7xv9mZbS1t
rHT0VrADIAkeCrtdU49bGoiJbJQCG6eIeu3s1SAbvlS4Am+w7jsgpfdkrfNw5ff/PJnO/LGpwFqp
jvz+mKS28HuI3laukjUDs5Wgd12Ky5o3lyC/t8qdouzNtWr04rvubJL+OKKzQQilKJmDho0hlvZl
Yu4HFcAOqFSBDve88g7glw/VWP4qrJV9tvQ0Obc8O/9pLjbBEMPYFKcw+I12PemvKfIuGR7F9ufl
vbZ0diYuCtKOvIY+FZj8vJDytsKWod/Eu2QTSHYtr9yai6t1ZmMW2oI3RSGgw4bS3WeOKG4oM/5v
o5htaFr7BZjCsSBuqwilERj6UI1ZU2pdaOWTlbPJMme5C1j5/GBMOJjNGNL6L+ygOhXgWG/ek8kL
1LUA4lXSv0KPFjkC+it2NEqFU8WTpEISgXnSjchRzfALAKbQbioXXsJB3kMamKy4XXXBJ55/6uyE
ZAJ9CYrEjERJcZJa+J37f6fX9H9fjjScwNwKCxqpnJlnJ+juo15mNkT3VRCSG6VUV2KhT5uTLANl
QvwtHXSQB88OQqQ2OWB3/Ajk2W14kqUXUBL/PocyszJN5dlBh3ovBDBOwKUP37vmcYid4KmEY0DP
tpd36ac1mQxxCcJ5Qmc2+f+PhkINrHDtuTUaTc0vtooh1D/+Jwt/+vjOhhI2aiTVOakG/bsFhdK4
ctFOB/XDRTsNAIJmCmBUDVn3jwPQcoVUV2jWxxypYtdS9nEGPZXn71PLe1Cs3ql61fkPIzozOfMd
SNy4g87Fe7T8YO8q4VYNV6TP1wY1WxVBcyWBRyjtzcJRLkO7FB9VYdPdKS8avBGXR7O4of+ORp85
kAaoVBZaRn0EgRvJ1xybx9+XLXzytR+XaN7U2vZhrEQVo9EQ9LEDJbh2YbkcMmltp61Mmz4LUgxR
LaTIxcHEHRK0ldbbxdC5yERFCJpAYYKElCs4edMhjFjs1PA9GAptE/nlSy7BZdmop0LzvlVCeypk
6T2o3ede7++QbrkH90e1u60fAaLe+mo50koaH+qkRi9K3Jhq8za60KnlXvVaxogDNBkEYt4xC9tX
sRfglIYsOBb6KwH2XKnw38uG8luvd48oVH31/e6HZqW3Jp2LPN7A4knur6LLVnL4aws981xDPsiD
CLDwGEH4MF53u0xx9HrFPS76k7PdNHNcA9pmWpaxm/SDdlOtVUg+vRKmnaRB7yHBqUML82wI4uih
NhnT9i9Zb365Q0tl6tAq9mG9+Q9b9szQbBhBIglmLmOoSr1dXBtOIb9Uxsqb5/O7cTac6eCcuUbD
bxLFjNT6WIaPofC2QfaN3BP47kaxpQeQeuZaGL9oEiZ8uAQNml70T80owNdFvWVgQphYFBUjhJRb
4RtkMIewK8tNRghhw6QMpLjYFSoIgajLHDgUVqLlpX3CMk79GBxLYBQfh+7i3eA8jPGhqo9gCnv/
6fIKLm2VcwOzYKPza93vYBqH9ULYRM0JgIOtqs1+6KDQ7leMLXm4s1mdN+DoeeHjRSTS6aG/L+Pi
nlTBTde6zYqvXlu+edcdOmgBDMEYagVS4EP5XaMu7VQR3epmmz6MmAUycD8MyiH0NbCErHHer3zF
0tqdj3bmZuVSlJGV4iOSagf5bGut3K+fcUeci3MDs2MOwQlo2naazjzaVvmv0kQIRxH3MFGgcnfN
dMM83T5qEfSFb5e3zdpKTmM/O5JKKWRTpMTB7/KHsRceTe2nTlJ/ZQrXzMxOvuznQIvCaYRlt5OF
igp/dci0YuWULbn884mc/n42Gjg/pATKa1YKqorCpOJ3AtCFmpT6H+4Whc4qCUwJMdjcMcdjLycJ
zFbHDk5twL9wKlT1TSWot97I6C6v0dI1f25stkaNQWsipGLErIP1FjTxuzrAYABGzQTy3b02WuqI
UbDirBen8myEsxWDIzmoJUgAjmmrbBrAi77V32Xmm+Km28vDW9wbpKW44KaulnlKJ3DltIhzERct
vUEPrUGMBn7/so3FI3xmY3aE49BH1KDDRv3DOyEr8r/9+uz8VnpqipY/ElJq2nR7whEW/JcDdDaA
2R6A+6VE5IENl/xRHZLvkkK9VfRhZSRrazFb9dTNYVdFRvQoVJYtZze59LTKoccZnD9glLORzM4o
9H2mXHpdzU2bf1Fc8XqcuEkE9SRE6BmkSbwTtHqnF8rK0Ja97Jnh2csp7y2lobOwPo53zXR2Ys1A
dDBpSijE4Dvqsuo28yyI32T/oey8b16orCXlPmWVJkcPRSJwF3oiPhXDqqGRkl7J+QRkQqF0iKZb
OocCD6Wqx7Qd7jI9o9+Fev7lDbq8rP/YnVfJ4pL6Q9mV2K39O7eDjEWXo2wbxsnjZUOLXuPvAI1Z
FJKC4gwCgQFqUr7P3f6X1SOn6lYIHBgrJ2L5SBPRkW22ZGOe+tAHz9eavsErki9Po8eYt/DlwSyF
VNSD/7Ewe/fiMkrThA4E6EVMyVnbJ7T9NKfGsl6qwdpcNrY8c3+NzZ7AoReUeu23PIG77hAk0PqS
/YZO2cPTy+L3y8aW98M/xtRZNOrz/POkEWOoTh8UWBZ97coa/sNl/DcipQno42WsBpkxDBkhr2Tu
BYRVgBy+WXW8cqyXhnJuZeZOaBsMKlOKakQhpI0BjVmoTzmRla2wdHDPrUxb5SywyPoks6yBsaAn
qb1nb/7PRN/5Q2I73/79ypwbmu25kPhlkIME75j3vyAJcka9uct6bWU8S7vt3Mxst0WWhYJywHha
S/rhGfp+wAziA98ReJJXVmjpGP21Jf+hVD2bu78r5IcjSgDyfeUa74hD7MIICqna6KT/ZNAEtAHy
iwfXbONJQd2ZOgrax7Ty3kU/PTaTDS3q6egIrjQBRPXlRVvaHVDcW/BxqJRy5n0p3UBD0Ti9vYqQ
3kS/24uqiRfvHVkddwL0c2L/aw1lsTSr5zZnGyWbdHJ0PyMPiJ6nKyooqMG9BIkOrbNlQ0P5WhS6
5G/BaSpQUML3zyg/HgEUpgYRynBesFJRTjrlo4M8xv3lmVwc1aQWYIJMEY05JXdGjKYgBkyYk0Tb
yPdsCH+vzOCuEcRTFJorG2UpsKboItPXxj80RH4cUmGir2QlWAu9Cvnlsd/lIsoylRo5iFN4dh5C
CoqQ5Mp2WXJZ52anSTg7ELDZN5afsHRIgB9S9SUcB1iS1uAFy1P5d3CzDdJ6Q5ukOZ4EaZYvvak9
ecmrmwe/YanfpoO70jH+uVRHaENHokH8roowqs48ShhKelQkFZFjLBmotYEukKHJQ4WqbOQNMT4P
dGVrKB7Sv18vb5rF+fxrep6NyEat9tFvro9N+orUdaK/KGvV2sUTTq2WJlZdnmQSPy6ZKVt9NYoE
rQZYUgjiQ+jsZZTIYbIyR8ju4l1Tv14e1Z8AZh4oIwf4j81ZyJ/16G5pVsACSmhpxzjMUcquOg84
kmZ6u2LanLUceXZmqHZfQRw3RNfZYO6TMP4dZd5rktb3Ha3uDu0jKKsGx4gV8BLtmLTyZqhKZ7Qg
Q021V70JfjZIXG/yll5vrd9GYaOAkzWoHIfFJLqkInoeWtnPoHe9a0uuQ9urVCArqbzy7IQP/PPz
4HzUM+cdGmNfDA2LGZhKSUMaEgsN5Kolz87QKF/k0dx1WrqR3ORa9uWnMRHMbVrALACT5lbqYDd0
FTDLRrwlKZ06sQ6jPn7KNoLoIfVQs84Y4+WVWvSMZws1cyORVCaGMvDJcS3/dI30qYTp4LKJpfua
fn96fqcuaqLdj/tPSQ2t9jwdT5Wn2wb2ti6tD0LZkS1SHi+bWjpN56Zm2y7QTMMLfKoXQ3yN4OXV
EPpXhvBy2cjSlJ0bma2yOEhyXA1kgsfQ2rp9sRnyw2ULi6nDcxOzVUHT2yRK58hWfTaRrg+OL1ep
07MzGl/dy9NWod1G2qIBcVVBMH2IKnlveXqwv/wla2OduXvfRLrRgGnwmJr5nsb7TSd+uWxhbXfM
XL0lj2LVySxZhnCWYIZ3zfhg1O99kf68bGhxKLKhk0snCvjURp3AudlbNYbUathAiOOl0cpkLQ5F
IYoyuCEnNqmPGx2pL603cyxERfcl0BFfVlFXfyut5unyUNYMTUM9u4RladDKFOm/406NbhvVNvX9
KO0u21h0ZrxM/5DJwVL3CQvU+T5kKCx9aIRoD4WyndfjTuv7Y1DW9N9mQbXtpp73Mcue3Nx86PTU
QO7N3etk9uws991tCVF6lqo3vtDcjOLwLEpwEWt9fOrrRjx2crLW+rZ8cs6+enLRZ1NTV57vh9Bz
HKtSuYGX/dZMEH0ehiv01zZJLB80OX+j63YLl20sqQiO1tbKNlh0QmefMNsGg6cPVplS5Y4wU6m/
quwremErTlVa3M5nVmZ7oDYtaHxDvKrS3Ctxv1P7b0JT0dWpoKqrbeKss3PoKV3chhy6x1BtnSoV
QTT2zuWN8rlle0IlSCZlfXp0yCnPxpsE1VAVEW0JXQR9Xz46gqZuq9T9EZnN1uwS5vmptZoDeaOv
feZuR4hfBHTPLn/Gwpn48BWz+WgUrv3oT9treqfrT6S40dG8LVZy5wtr+8HKzPejq6BFqU9HCXqp
lXrvPWVrTClLwegHE9NAz3Zwa/R5aU14oCH+EmviTailxEvD3uv3QVL9FjPtaogqx/BXni8LG+qD
3ZmrH2HK0boYu2po164TKVeXF2jx91EqoiKsW8anpkGjLCvLN2iToXKZjoe4W9kAi0vz9/fnTYNh
K3tegv7gkRShDQUu8Mtu2Fwew0IorUGx+f/G8CdNe7Y2tCylUH4zRyTWFOPKGg+tjKztg5wRsa1E
k9J0881i6A/GZq4sUeJSsyIGlOkQ74vtKUC3mJjw3mr1e1fokOiI63ijSnYYm/ck22DQM27KoNsh
JbtXmuIpG/WviR589b21llllejFf+rjZoZeLONLSFifHjPuO7/ZvqTl8RX3x3QjMh7xsXzxBiexE
jVBz6MavDYnyps7vzPYuyqTrMAzujdo4NhrK1IZky+ipl8EVCs7OJByQhcLOLIN7AeB6lmtfy8aH
2F8/WbUYT5qjaFggXbmyuCsb9I/HPVvcoDdcOl+Y76TP8R2bSHy+vHuWjzakEnClgEv71CyZsy6l
D8zvWKIfMj737r6RkVGQnPBav66DlRzm8oH4a20WWfVqn1ZVwHgUxEA3XbDV1xD6qwOaPZz1qrNo
MGVAh9FOHrobhOO+WN7Oevq5MnOL203R0HQSyXVo89BqUoIFVgXKLI5bDx4A4VUMR9/xHiP5t1ib
TiuPhCfqfZq7WzOR17rIluovSJ+RqrfAgULiMH3f2d5oEexMlMkpF9atjsqwA436CeLUDKrsbp/K
0rOauAB6jdsQVULkP9YagqTF1URdEukoJNiowXz8gkqKmyoTaVLPtTG1U5T2DpyQH8loOFns38aW
8DPkfs+87FAFwJ0V+LzH2hgOrW48F15/qwMIvLwqynTIPzmBv980bxdEgkQrioQdVrhIFuB0IqlD
m9C4EfU0t2V6+jpjr+XpfduAq+kDwW7q+iFjtjJmTUNqyYE0QEVOUIAl3v2G5Dwy7flBt8odKvG3
7aggluXLp9QaECyxxGcxczOU/PRjb2jOODx4o/hOix8I4KxeyQotTrgpahKpPJpf5sAD3/S7LpCY
8DF0n9vUGJzS8m8zPbW2l6fxT4r10zSeWZod1FJussBrgR/1r95D/CV5iPqb4bm975+6t2HbmraJ
VPXYwuF9RynisvG1Uc62FXvdLb14IghCqVeth02UiJuxzX9fNrPoW01K8hPw16Lh8uPuVftEToYO
JF3UO9ld8+N/+/VZyBSpbVOq06+nSboVUUTWQ3clOpp+4vMa/R3ALDryE6NC3h4TuXB9Fdy5j4gd
XB7E4nV/NkWzXRAgVlWZIRbot3qAjoYDUwtbV9VQk29/+qF+Arb0eNnm2rLMVj9CBm3wp1Htfq1t
rJXhzMu2RVoqWSixscaxPNaTR/JU43ZgCKiS7IUwR2yhJ6FweUDTMlxYpk81XC+EG1tmQEgk2MZ1
ZaNQFiSntlopQi66YxXGPBriTEu15qBsQyorelswVCrNbTcIR8OMQcxnv9NG+yLq45UXyt+UibjR
FfxDJ6m3YILKrVElX6oO7W/VK68vD/0zTpx32PknzTeQISd1NYAAFkTaEQe9ereGSDhEWjNuyqHw
7Uj6Egw0lDZ1eJCnTxMC+ZuZSFfIeHxJxfh3q0bodrj/IQ45/67ZJnMH2hNB9U7UEOqAAqtnt0Jw
CAR3xQv8f9aEZKYOpBs5v5mTSXE+ilh0OBmlxGlKI8yZbWU4ZVVn2xS2so0MYRgJ8nGX6QpaNBHZ
V8MhhFFgvKx2Au+FvhdWCE8W38eq9PezZt4JHJBnFtP4K/+prbVT1j+TPXwSsIg6BfpOTXQqk689
/XMQ1SNuGIZ3mVKvOPqlzIimoRBNHKOYyieqBzNStFybSABz1NT1Tr5FKD4n+HZvLaWSN1LUyHtP
ymmdFuAjE0skOApfeBcq+FMu79Ql13D2JXPXkA51alb6yCsqcPdZ2sIF4FvHTEFdSItfRjO41pq1
gv6Spzu3OQ/ggl5BCmYApDEtv6QXETJI9dvlgS0agQFR1mRTm6BxH2+5cPCawPWYYiPMbbjed3Ik
rCQgpsMyd3Ak43hDGxLMsPNKZsPU9X3OZkrplXViqQlPJaskTcsVm3JiI8iUOYghQIu8Rke9FCuc
25Y/Dk9NY6PJa2wjVD00V116pYsryaSlrXFuYvaszFNBtJCuYZkyiUqOsKUm/K4Fnp2IDepKX5j4
FYtrg5rW9CyyVyqj1910mtAaH9jsNOS7InMNYLZohbyBaVIgFj81/Cg5HPgq+jjH0H8cWu1G8Z9K
/V+zeXMB6GdGZhfACAZJ7hqMtO95c6+feBmUXy7v8KX79dzEzJcrURkM0hQwmKjyjY28rYnD0Ze0
QTJfGea/pnL+OKJ5r0+N2FcnN+Dla6os3VH8L1lUMHM01sHxIyG1MjuxSihJgjLRXwuphNRPKW1d
nZSEXAzCPk9p99WLb80EVtL6q96TTmIc7CQ3/j4OY7KvpFZ6uTy/S2Hm+ffM7go1DVBFmh4dsa/a
tSJ+s6p+Z6T1NguSf888NM3u2eBnMS3E8IFlpdBpSnW/99vse1DIV1CUnIpB3FepQtsTKov7SL6v
LTnfXx7p4kk3dfRr/mDa5u/ZQjfboJuMe7G11xCHRz8UQpH+myEKW9KsThVK/kp0uOg8SYiohNmI
58x7XUbRcP0AvQT61ERU44PuvZpC0Ca2vndl/5TXCGk2SLbKJeLBl4e7lK/XaFr7x/bscApmExqp
iG2qI6WjTWbqNnxssevKwnejRSoxy8cfVq48WF56Pfpu8ph3Yu+gw/dbMbVsxfEtJm/Ov2h2lqni
dJLpES7Fen1NV8UkRUnVvB+AHJXPGQQOSR/emHxLn0kPl6djcSXQlJlEuoG3mLNzp+qIUGQS17G0
YSW6my6+N4tTUt0Mw0vtrzitxa12Zmx2qOhXQfGyJN5Q/QjZsUhFpUO9q5PY9lwhtilv9SOEFpdH
SNvP0lV9ZnZ2vFyESaE4lMtjVSvJSRClL1pT5fYA9aztIc2JDrIR7FEuFe1IKLYaIrn7WnSHrZqV
FfKiOiFKjxy2FyJin8Pn6Zhxeypd67tVI7XsJbWwq4MovM/q9mtUiCddK0EIea2+MZRWtH1VzzhV
3jYJ4GioDRldgwlf06r5JvUHJK/NN03QfySBhAxrCl2bEY33Xto8Vn1YOGIe8N8D6kyJKdDbrH4L
S//NckOBfgWxQlBv/BK60n3Ua5VdJuUbKp0dVDx+TugtyXbmqj/cHHlsUlTfqkZ+JFVebgQR7FxX
PXeu/kN1U2h+kFwjCk+dRBSfjMAd9ghSQzxIYq8eh99e4r/6VqjZkpCmtiZWpLjkHChZuI3z5FuY
9TtvCPVNVchIZCjVozKgFFmVhYtuXdnagIMBoMBquOlqPTqannHXeMWDHBgoHPcxorFj+FbG8eh0
kTsFvC09P26KIm3wQhXPaVWlBSOR3uTpaDoDejV5LoeO0E4Zr7w2r+uQWnJhUvH0EGTyWzfdtGhC
mH00OFAdlrsIyQgB6YihN9Qn2osDKMKMV2nSmWjGyNwGrXbyUKC9k7Rs7yvq/aAinKf7RW0XSVFT
zRN3aFidYnHsTzKMzQLMzSIMzlkNysZThZtyYu7UC1HbIalq+xB6mgi6plX7WlfJoS1DGDD1t6E1
05vaahylfet7f6+X1be4l2uKS7WdST4SiXFybET4CE2ICdWJobCfuApJ3FRwCIRbGFlTOpTo2gnT
kBZwcCrq8FihXvAkTjxdhG7mISyahifVeGVVdXMrAT6SHV/kLmkmcpdoonnpJ8KXfqJ+8RrJVhHA
duCoPlDBbHNextW3QHiMs2bfG8X3fKKPQZ3joVL9bYxPKuOvfaWeQrA4uhYF+0iQfKjQingTQOZC
wIBKujro15VZeLaWUWbKK+M7zFmcpglCX09g+iDyXiKAm9mE4Iyg7myTwlHydosEPKqpwYup/rAC
4VRN0E95woDCdJKACS0ncGiVWc85aFEX1GhPMFCBIpXE/FWcYKXuSB7T9NEYEe5d/kA4Dkiw5ZFj
ml159LXyd1yXd9IgH2KgPYEp7MTGRZisqF+rOP5iKl261b0IpWHvuhmsX57vRXYjAmXNFWmj8sp1
1MhQaODKb7RCuB2LzAGhp2/pJZMcqebM/8m2pkprZ4pLGN3Hx1GxfmjGAwyCdCS2tlfKG13zrpJs
/OVPzVDu1BaVjmF5LeX+N4kpSxAur1MbgTh4K6eWqjgRRBvNYdTAqu4K0dVTMmYSdwaa5M2YXqlI
WtrDVNfXKfBLU6U/JWMbUPqPuu4rSjb63qzafJM18QCvtsaKUdJBNGqbmvITmuobGKUfYezbhZSA
eBlvFKpCKtWhMGmfAvQyjaC8TtssOLRN9nVwA/FY9jSa61ohn8ZR3onU7jaDku1SJbxNLa21AzEq
jnXf+baQy+PWaIpnecrDsErPKMamjiREd7DUxzcir0H4pfqrAEIxxUMFLB9q6nvoCHPss9J2oxKd
D62vwfIR/HmGsXfLJth2gfdk6IJsN5Ino9Gp5KdYs540X35ozB7Caj+LbWssxG0b1cl+qJQ9hHlH
bH71tPoNsQcYk4r83UglauOpdS9ksFDLZLJsQynqTWkUcHgrGRiT4jlTQzSfdf4m96hRyyWtFdoz
YvDfvbT7MfQCPMwhF3nXPmixom6U3txLZdFxiHOkZ2OEbRUZxVeoS0FYmo9JI710iVQ6YulrCJUn
EQ/I4ReEDw1S9+J9Dk3KNf1b0UaJ4196lgdXnL6fZml+zfHyV5Ka5IizeT7ypoaxzQ39uhcKf9uK
ues0HjTGYhZXXEVuYpvJIyiRqEMIWxQ9f5uhF3VbIsxpZ7EwzblF4blKHuizT3euGeq2kVfXgZod
UTdvN0GgUVwQ9WaXuYKBAPTIqaNo7egGtUUXMOAG3tfQCXQN7mNXOoijUW+GIhQ4NJK1ydQs2Fpe
GZCCKkTb7DWSHllibhLDDPdpVaubNrUOQ9bex3qkv4yW+bNWwq+ugm5wrdavmexPjQsF6YlybDeW
39IjCpWhXftmf7QGzltNdOnkXX+glvSeoFbUWONWEI3brimkJ6/qh+2QFAkvp9iAxcStr5QS/V+h
UZ7DsImdrO+ibRJ1b5lq1vZg+ukG3vBTnbVPZaAdI7V8kTq5YKuF1Z2fROkuH/zXsKv9Xasrnh1b
LuoJ9FI6o5AcTV/TkUKxMqcbZIE2jCDfBHKab01voDsSNZm9YiWl09NWvqUFC5B7eGxkP3U4TDFu
jqStmioPnuIavIDQh0oy6YUg2rTDhvThWFjPY8nNR+f2DkCLvE+s+AcSoqxcIV0XsngvdspvZLL6
DQv+Va4SE+nWGi3VxgzsopsiH9nTtq7kvcvKEO7ivriDn+teL6pgSy68t+NcfU21KnHiRjui/P6k
jsK3dpSuVF5jY1DfWumQsXfynS+S9FOj+FBJZnqXuMlmFIYro0FDNZRfiTsyIgKRNLQuvuVKdKe1
/c86GmkDUsoHcLLkilPfos3Cf8lc79U1aLKIRTSXOjn47gnDtjfjZu+bZrXJkuS5QhR9a7ZqsoNc
v0VHuI5t0nq3StVcBxFWRUDbh6bRrxP0iDZwclHmNYTEEevoYBZSsg2EaET8trtSDeASeRxdjXr0
3I9lZ6v1pNleBb+TZJTsNIyqR3mIUcezlGM1xD87LTpJpXvrif6PEdCNM82zpDbahjJIvZG9TN3Q
FPs2SFJ9ikbhrVFV98ZVK3FTBtJr7A0/LXS5HfSZuXbVFkVfk5pmWT0bagglq3BlpslWT0zDrhGO
s82Ch0mcvRoKQHSCAmsj+el9rNXPMbmTPZx/T6kulvxMeFOkReBEmuXbQ6qVdlW1T2Y4HmWj2YBj
b5BpbjYwvxzrzNv3vafYqdcHTqyKW8TuN3KHtrDZpCe4Sm9T2X+nLkJBM3jLDdS7cpUGYiGpO1vQ
td+R0DwPnX9TjLKtIjMy7bqjVopbsRv2nZjRhFQ7lgc7nbrxk/4Ooog7Tk/BOnFWS9c3bSXUn0bT
d/d0jIVBsjPF4DrWU8WGhfJX2XXVJtcqOhfM9r6FFW+j1P21nLGKetAjtd0DqRkEmO/FKn/pm+Sl
H6vaoSXikGTmdUoMiSCi78hmqDm6nr3X3XCSC821qVuOTiTp3Etd9AU+e/P/kPdly5EiW7a/Unbe
yQs4uEPbPf0AxKgIKTSmpBdMqVQCzuQ44AxffxeqKURGKzqrn9quVdkxq5ODC/Bh+9pr8EVPkLKZ
l+UKWyTdicEN/SI07G2t2y+6W6JcLPNdNijuhwRXyKplZeA2ofQTZLFrLNUDV0RIkM5QPsuMvYwq
dL3WsS8Ur/AxsSHIyQcnH3Go5uGwNMqrXKl8ITT10OdJ7rlOoSFE2NZ8rY+cYKxHgoRl+YrDYG+6
cNFlEvHAVtIyzyiSHSWFs85jY/DhS+N4eXSoYgXnPrCWO8I6H6a+hTftBgGYIDjc4+LCsbspr7p+
6poKxLU4GIGH2yRFARxuI3iiaoKtitJcqibetJNfVhoFtRSoVqwCFGmu/9BzwRDw3b0h7FJDZZ8c
ugxGSSRuEcJdhu2i572zxyVP87qB1QtJFA6nMOdB1tmHokGRIpr2AdexTVnYD0llxZ7N8yRIqvw7
aeHb08T69zjtNymtRh/BshdpD2MJRdjoabXmrIe8fa60nAamPSQBHAJ5YPaomFvWK1AAaOlVHEdZ
R7FhURfELbc5wPfN2jY2+IaR7KOAUF5vOYU3eEkRLT3iWhF3xY9Yd5Cqylvwl3Hn8bIWx3HGtFtp
W+MiS5hCZ7x+RgZdGjgtW8kB/XLwre8NPdV9OzO3tLNwAGrhAZw8GBvCC0PLo2crSgVI9gPzBmpc
10a5Ixrm/kCGHa4i59y6TkFYADgdSPyQGgyy7UdAFW47cNOqcNuWprXKNW3Rdvt2aFeq7DefX7FP
we3HI5GPI8Vjkfedg5EKYCnJsjDPddQmKeEcbD8eYIYN60bsIrkIKEUm+RIo57pX6Sque3QV7aUd
JwtTc+7y3FznZ6MfTwLGR+DBDC6qnbR1yYRZiOUQbUyOiubp87d36juh2fEXBDODf4AHFGadThCM
wI7iDKj6IclOKr30zalk/Xy0U8Dx8aucXvURzC4AS3Bz6vkgbgzaKzhgeLqQnlacQbVOgS7H48z6
PFDV4u47pVZnGsKOUhSgQurjJtSdzKvMdliX1gjybxz93hD+P6/9f0Rv5eH3WVG/x2m/lmKA9Xvc
zP7zP/fJqyzr8kfzf6c/9tdv+/iH/vOuzPHv/Ld8+BP4i/8YOHhpXj78x6Jokma4bt/kcPNWt1nz
Z8L39Dv/u7/429v733I3iLd//+vle54UQVI3MnltEE3+/kub7//+l/F7zDnmzX8dc375kv8WwCDz
9J/7M+acfoHwwoBjKCzYdHTG/o45t7+4UOWhI4IQdFCrsFf8GXOuf0HCoT0ln0KbBVHdXynnhvsF
ITo6OmwIQHEtWLj+68938OEz/f3Zfiva/FAmRVP/+18zlI7BFx78QliUW/ir0CCeq/bqbixYnVXp
NtGVu8hlIxZaThI/blILmQKR4Ucm/6p31aWlimzFCxfnjF2Oi9Y24UuVQq5kOePCkUx4rtsiAXiE
wYtKp7wtbqrdoIluAbWPvmkqqRDJM97Xbn7hVNXWRU5vRpxbt7DjM8sNvoIf9q7358JrAm8JMtIT
9H1CusywNTPaKqR4v18igZvESexBfZSBl6mhJU7ydJ2ArLuIIgXXOmQ3rmwj4nDiIpP/SBTuTT7s
7CS7sGFYeeCA51YJz/glbMIA2IWxZgQprPv0B1bqqyQhxhpwcQ/BvFut3R5FjYXS1WNhZdx0ZUL8
yOj1Szdqu2BsE2eZI0UDQha3R+ncl2rVdc6WmTK9sUKyZrHtemFrlIuwYWKl7AiXbsg3va5x3Zu0
IzbQxDgtPQrMYYnkrmFZ5YWz4iEuzSiH2LZAluwF+uGo31Jck9qh1G5A95eHXGsj3PhwKcydoQky
OvIHuy2u+sxQvpXB/1WU5C4KOQCCuqb4vQUMyUYGIZkz9C4cS3JcsxLmegXtywoKCLTU8yHvPFOh
hk1akHe6arSXsaLxRY3aZZdREa0i3ag80AHsZ2T+oDxVqGYdoAIoqXvch7s8QbFAkiADYr6FOxpq
nxIagrgeL2I7H7wOVxwfFA7wHUV7L9MIcQ1xiM4lysu0obnXajbBJUqhf+9k3/upWzUYWr4yhsEC
TCKzZRUCD6V2sadj8T3q9JWRx6XvaFa4FGlEAjaEJihnSnpGAn+H0oxqJEbTexElUUBVTuG/Cfot
Mvy+5Xq90Wz30eDkdWAjyp4iTcG8xo8BwGFS8/oxHRA/Dq8IvfMjZ1LEjh7mwBNK6MBlQLpttnec
8aaQ2ho4WYBW0XQnWUTEWal0XNFYe2Fw8yhlKTwxmi0q4n7XOMN3omdLPbLvuLKQg22RAyzc0Qo3
xXd9gGY5ErdCmls7gXumUUKHJ7XCi9Ff8W2OuKo+qRHnqPwi37sFMIZKa9H8E09uGaO86mEvR5Hl
E9sA0RNto0PW7hmwrzaqGtdiu++W3CmXddiVi1Q5ZKHXGhKIh3qPZBL41SVEL15gaQgIOon7Q9YK
47odOJq/DZe+Y+n5MtRLIOQWfYmTCJMfBmaB6eByittl6csiiS5gS41bloYkVr3pq33BHQJcFnpe
GLYd8ii6jYf+2ozr+AUPvXZtMlyxKfGtHsg+T8JDGOXcN9wGovHCRHhanozB4EBSC25MehCRLL7L
xEVQEUQTK6OnIFiLnvkwQO+B4ZbiIsTGsQU2Oh5Uk9mLLArdJbJlXK+rYv3R1nkSjEDq151lvL0f
If8/n6UaQ+cPrF0kQn56nOIo/e0ubl+K4wP1wx/+80x1v0z5QyZ0bC4aRg62/+6tbqZT2/liQ4gA
d2bIb+F0/veZaphfkCU+RRtSA+E5ON7/PlSNL6BN4QwGPxPkEpgB/Mqh+rG0hJsr2EWTTQ5F4oAO
p9JZd6+SrNU6OH9tRraaelluui+xd2bNGRbe/IybxmHIikA5YJj4Z9Zhc5ohLtoU4xQyXjIe4jZm
xpcx8u49kML38VBJ3N9xsz36Jn/UEMc1A2rk2eEKbeb7u0WHjpo6OB0fq1lm547oMi3fVEzAAKjo
ZYCE2FXUgX9qpmLcJ4rqnkjJoa70t7xD5nhmwIxdswsvqsguHdInSsc9b7rUC6voIu5QcVdT644m
IPGYVr63jRovD7hlzsm66ktoqbhl+iZu9QHjlbs2UyBFbYLTIIz6cRPxor80Rq27YRKNgCjPik2o
jc2y4eN9Yqp4XWWG4Qt3YJtKb6xlEZZ3qSXMteUmMLN0cmuJIgaYvwEzZMRymwvapYHhCuCSaDWp
CBdgo4ZHgwqr7yBx4W+2ou9N2QvAH9Wwblz6LelwTCHDw4a1MZMrpqthQUhNV3o9bEjZO+hSICCt
N7S9o/HYy3Oy5EZJPFc6u1LiPLRitdGUtRIxu81wiHqWDHdWI8S6C/GuCy2+7zQ99TSb7ztEaWIv
R7OkL1iCM1ZVXsqK60JHNHyvJzdNbzV+lnUvdSS+ET0G5VEwbdmi2QUBXbuMRwGVXqaWA/RycKLI
r6SEiE2CZw8UJxl2DXTb3IPmx9k4bQ9CfbPvxmrcVHFM/LZNzG0Jg1mcelmsX9WoQbF3MusiNqto
Sc1eXNmJZS7HaEAbKSTXveAbA0x1kN6e0kiGy8ppKo9l9LV3gE7DhQDIvxtfMKu8zBVEvmVnruMi
x/ux4q8mWvbewCtkp3fhVcRZuXBEdRtZ5UvBYW+bhuj6oh0xeZAVyI0aunRlZBOFj6LfpmUvbZwa
u1iIRxrnAaDpJhhDcaGT+JC5or9INEddtBQIFqxWEyDV+gZfJPL0uAIIKfkiRTMFqedvowJQ6rQo
fXvqBEURXgOLeTUc8wBe7MHu6VXVqgLFn7s3jTJZdZo9Bf4M1SOxytw382pViN4CaDeuqxT44lDG
jh+xDDCFHdoXrjNGEDuzH2HGb1hrLBgV5rJTyZbzrlpoHWceuHz6oqrpk6tDXk+luyuHBJ0VmMSC
m5R9lWl8yYTcdyS8Fl1xmzeC+TU01d5I+I+RGIgH1FmxqhzqwO4VtlKFsniQm6a2cOI6D4ZQrrpQ
JcuRF3TPBqwkGUtQJ93oR68y0ErDgS3gmEcD2I6gSqXWPbMhDQn1aptE3LpWbpoEWIdxQCpdh/xG
GKuWiEfcIa+EAYs/nNcrfRCYcHyI/aEYbnU4I/vgcFGfFy91FtTE6i4NQRjQtPqStuiTm2NdTWxd
tcxNkb/ZWTHucqDjy6YU8FLg8IxpmM43o2aUS61BgZwP6WPjlMZjC5dN30qQjBfKg+VCMUZ4/YzE
C4W2rq18RGJkPnQiMZKjdB1dAESBaXrLAsZghh5F8HMy3eJOkyp+VFN/VQCs+lqiEQcALi3QhTGG
qIYTqgVVl2kgrXUoq+ahKIqnhNRbrU3X1Qi4REGle8AOEmKXQq/Z57BAh7OORRaN67xqYZRsSYOW
pIceXxfANr19AJb6I9amIrPluV9JSnyt61DkiYPmorVV9tmekOmPOOSuddHgKVs4K3RxubQVWM5I
hw8KG67uZp6xi64n6G9V6hZHWQmcsD6XUvcRvplOwI8HxHRCHsEd4ApEqcqnk4kOXgnkDZnC60GM
y1+vlP7X4Al/ljEGBVD3X0MK16h+ot8uZ6DChz/8Zw3kfIErLij4iOgDDnCMK9AvFkFoCHVdpsNb
HijQn7iC8YXCOR3/IIPSgEExjnY0spoY0ID+BQWFjVszIy7Yuyb5lRpoPgOoDWcemDjhL7JRhE0A
xvEM4ASSB1VEcmtX6GjeFkbp10Bxj97MiUrk1CCmSaAJg/LaxT3/4yAmyDrMiaD0GpDT17iIxsrK
HfLq7395GDwNhmCWYUN/NquzCOJv0SgWahsLdBQkmimXtXv3PxtjKrmOVkyGYw33l0ptB6RoDp3u
W/3BFOcsGj7CkEBFQJCFAoliVjgMcsIZPNi0BRLEW1tsR/RKcCb2NwOV15qKVjyOVyZyjc/UisYE
Qv+NIf884mwelIlMwrpmFVIO2ENUhhub9c59U2rLsZZrCSbOcuDJlWJ05zQj0iAGV+1UZT+xrFTB
5+94JmN8/2EoMlsQieBCfwoO5MeXrElcVFWoiW0YpQttbNd2FD06CfNzgF04NgePgxlihuqQ5iGu
tM25mLCf4TaQ8KF0QdikTRE4ac6mUl7ayJVQ+AkkLdcRTtE8G7/V2BhFrz+4oXUNBSgIQu6lHtLA
GlkAk6AlZ84DKtuNI9K7pop2eoioQHR6Edu16lQUDKa+bbR6F5XVAqwPRGsP0hutcjMMdBEn8vdd
9wPUe1z/WydmEW5QoHFPOfQECegfX6NZ8cpUdYdvmnHlVyFDb6ldN5RNZK+FW6lLoyw2wmoXDNnO
A0VuaJkGtiw3uK8Fdqiu6kFfSB59z1MnQK/Os8xul7v2PfYyDYWFsUzaao2YGgSoqgvhpE+pbexg
/nYIR/XNhHjSrIBRCiu/1AS4dnYebwAw7HkULWxtvAw5IgYrMNu9hpMVZsJVhgk30GYFKs/NMI5L
lZRndC7TQ88mOji1090S4ayI3Jh1Y0IU61yyEqpTmy/RHLp2U/fx8/k7tSR+GgJZ82hKwT8AhdnH
926E0BuDwFBtQU5FqdDWy65Hsm3EViKjP1wU6E1krMfSOjPuT/c9bBvUgqIDRmtg8FN99sG5Y7AK
PlLV1hodMCRQ5Tf6vi3YLkkY4D+qUDx2ezjsXaD/vm4hKADrrLqtnPhSGvo1G8iFZnarxjHB2NOL
4PPXcnI6UkSaQV6JoFNztqkhzGwwBbiCIDqhgVPkHqNZUOTggmaTD9zD56OdOHMo3gLi02CEALXB
bEPrjQhm7RIfoes1mGh9a1D8WYqe2Tenk2v+qXGkQSePD23DLuLjp0YZy7QObTXEK8dBbycBmvGg
iF6maOt8/jyn5i2mkw6zVLDRdXv2PJiyfdbD93U7htV1FZl73plnFHDWqacBUmNPpQAOoHlPFOlJ
yTBAdAQpvrwpaHFhORmCOuEXHGccGRKF/JoN8pstq23OxbNS7Nro2L0kCJJ285cGwO2QjwtVOEvL
1TTP0kew1sHaMuOA6WinmXa6CYdoCaWZj/bw8wRde2nH/X60Ms+Q4zMQfIS9M6QzDu2QQObiPlGh
fS1agvwrFX0lYWxfth06E5b9CK2cvbWVNvqhq0wQA9srM82QbSKtc4HdpyYvkilhA45aycI7mn3o
voa02sW2QWwFyHVySruIC7KYOKJIvj3THjw1eY9Hmz7UUZVB+xzqeqPFa3ajZ4K8Ny7JzoUn5Odz
6vQwf++FsxVZlwZcaVvMXju5d80YpKLDkJ9rdZ6auMcb7mzi5sJpE4lbDiCIal0opISkv6a/+b1e
QFida+HDQCPjzoYodU3acRFXWzRj9oaAylUaN7/+qtDJI5MCB/XYfGlkTTUWWRNNdJBir0jz3MfT
XbOp7j8f59QSnHbxSXEAzcu7PPLoy4/FAM1Bb2BDiYXvNtUhywvwj9IlgPozjzQdQ/O9y3bgvjyF
HU1EiI+TjFmta3DlYqhWvjZWHS0TN7kB6fCmjgc/Nyk6Kk72y4cAggVdBAhA3YkGuDU7fjMBfL41
arV1aul64PfAYNExryx0jIhbg7HZ/vIc/zjgND2PXqjgPZoTWoEzF76HXoIWn0OcXQWA45fX7MeB
Zmu2qfssR/xoB1nvsITikfhIGr1y0yw980Q/lxfTQEDAAV4j7cSerVo4B/LGIbna2sic9NrBQCvH
zC8KI19rklPwr5i+FBr7OlrhuYbtz3MGaWu4wOlThxz5x7NtcAiHhIbwS95Ce4iTgcGp88ngoKuX
N5l8YMgV+Hw5/Lx5fBxv9lIjUzldpHq4TEUN3HebO1AezlRNpx8JFStaCvAtmW8eIgX3DNUarCWY
u4eXhlxTTpCsOe5DFsUglMIHrO5+zdBy2rLwYNB+467GCDIuZuvAarmyi5LJLS9i5iHXBRxTzs4s
tvfP8XGJYxQQpLHegCWY5jSVjiZ/gqsajTqY46lRiCXwpmZlKlGDydfZG+kqIG9Wgcyjfq3QXF7o
GpzuOtYAZ7PHlRGqC61S6LPb448qy/dVoj0JmD15hQUL0BqXxIgNKA3qg9LKTRfF30Xan9mkpg/8
yROQWYE1tWdqx4L+TlfRJu7jCWsNUgtCjco8J7M8ORaaUijaDfAt6Gyy6fCHg7UFsBDLKr2WGNB5
d15KG7+Izpk4/Xzy4sMcDTW7X9a4Gjax6VSQ2S2s9rnWpSfVLznD/DHFjsaYJv7Rx4eiTatqiccp
IR501D4huIGdI7ede5DZDBswFXrQ6+RWDf3ers1nAl18Xhubz/eB08Ogwp6aaCjpZ8vFsSKWgLVb
bxlyJBtmLMCxvhjHc05Rp4YhIKlQXFLgPTAPruvDCtSBIuvgjCtuQLIMSJq+MtUdPn+a91N8PqvB
G9LdqdR28D8fP43RGriVGQyORHKovybJIJbEyZ5MC1TLROkPSSk3oh/uuMbTQCSusexrgXh5M3n7
/Cc5tb8e/yCzKV82yOAlEssLUbwXtQ7KgUXvPh/i3YHos4edzXXYLao+TAe1hasiSImZcJ0rqAL9
3B19GVuux5ockrr0EBedWrhW69eKQsvAso2NFMalo7WDT6X+wgBQ05qjCZhPAo8+BNc4hJBqYAgz
cTvfrOjKJeHGTJp7w0qDMmMrs2heCbShiSUQ+F7JjSYykMANEIxozB60aLDe+iiBBq21ik1fJdAw
wzyrY/KaJ5YdsIR5kQ3y/+gC8RAxrN8hVKhKECsIq4DOw60s7LPKzyGe5EovQGWlD70ml43p/jCN
2Mdd4mtnlN8pxGiVm77hfrcGirSoObnpWGV7eua8Qh7zxh3rpSt6HDlOtLP5ADlOrS4RYr4xctRi
cbwG0/KxFWBeu0TA/NBaxswNqED3U6BlMKCdB5nesAUkYS0g63jIbTuAdO5bG48BytU9mtQrYYk1
lE+HDPGsusb3ReNesR56EGT8nkuSPTW7YNaPXD2GQwgJcR+neTc4YVfr+uSPLs0FlMWQnlTt6+fz
69SuDXwLHW5w9+CZO9saEHoF4UcN/WqVX5DqifKHWoMSKfo1B4bft1MbMi68PThnwMjt48PIBDB2
08FPOXO6C5AF7yrCviuZ+58/zqktCOD1FPCCyhxO7x+HoSl2baeEGVGilICfBL1rRLOyHH6m7Dk3
zmwLsmORDqGNqJ4iH3Z5nKy7FKR/rTuDKfx8b0aRqE/Oq9M0AGno4+NUuUGGDKmE2yQf97ESa51K
gjZehMtNWa1ID+Xi5y/wXZI/32+wpaJCBlpiw/H145CmmYuszgmY3aMdBuBSDqvS1R5cSEbQeb9p
K3MZJVgYeekPafgAyu8AHS30vQhCgGIjjl7bkENVYa45p21gyH66iPkMVVLSjXuXszUHTcGRHYPy
1IKVe42+eRGNl73ukCANneukgLghUnKl57FfYkOAz/yydcaNwwmgkDrxYJheL+KwzX0w6sm96/JV
GMW5p9pGehGuyF4bJa6AB7yzScCM6sOi/crTYXXmZeFd/PSugLVPHaYpvH4224aulxBNlnJr9mA3
Nnn7FhrnXAl/5nii1kVjZiLbUwNXvtnKEY5m9IJhqkHC+VA72jMcQDovhnbQi6MWxSP0X10Pw3lK
tlqTbaAKuKor59aI0ivHLlKQD8Nl70ILHGV76ogh6Oz2hnT9haJmAriJHZoOH4Wn4DyG6A4QkpWB
afUqCIecA2dEHgMunV+tOnaCRMKqrkTTe+OE+q6IICFTlauCoidA4+U5S7n3KJSfXrGDQ9ay9Amf
mL1iXRE9on2H0kUZr2VYpQtlkEfAq2JTGUV/HcX0DalVb6JGLMwwaUplP8AKkzqXbseSWwO8vtxL
rBRnG7NNjwhQe7MyfszQcVsjUztbxCZkJJwAc+S0+MbiEl2S2IEU0wm3sikQRVX0tm+m/Q+oOpYd
Gw5GAkacHJNVr7rrEX2lz6fVe1n+00NjWukmWNMEgOXHNRizzqVCh9kyaEAc9BkIjPOo3pAMqi6E
y69wNKeBGikyXEgOAwmdPlJROB7N6LZNOuKbve7XpLpMLQvW4fGTypwLWLW+CZ1cljwO9BSXl8Jp
A8vu7tLI2rUwhvIKocB1pL0F3WXXTiSTMw92ctc8eq4ZZpLSGnalEs+F9uy+0MiVMqHRivk5APDk
oWbgSMOtDS9wfqhFQzZhwXG3xd3r0jWy1M96tihs7SuH/+znH+tE7w/r82iw2Qx1KJThyFPotg1i
jP0xFSlKsv7Qt9UiHKwf1uAcHKVD2Eu+lvbgT2JRcJEDSyP3n/8kJ58adEDg9iaC1udxVo6d6S2F
ZHMbVmUe2FGvLftSkoCG6LCCwH3mwc8NNzsoosyChkoDGRVp5msr1J6tksBQhkZBFo7Xnz/azMbk
j/KBTNcXBiK/rc8uSrUGIKCtYJnTRoLfuB2ItRA071o0vDptvEJWzR2u8alXxTV6yyAbfT7++4z5
aUX+Pf68FhNijOgYYXzepsYhTotrmHaQbcjsQDdzMGpb7UpzEm2pIFUEmRBepVm5yfquQKYJ+PRl
dZvVdI2MLvx44NSh8ZfBO0IPe/CS+PCNZ8kOd6r05fOf++SCOzo7ZgvONqmJk9IAP8FGN7DLA+rU
V65iX//JMGhrWjDNnvx7P+5Xjas4COtY16Tjl3lhv3WuhDQQnczPx5m+8k9fAWDrn+PMphyQZTvW
LET4lKV77YjwG2P9bSfc26YLvw95ve667tWo+3M42skbpw35Cgqj6bTXZ3UYLgqlwt7ZbCOXP1Tc
TIMikwso/SNPa8N4oeNuDcb3A42MrzBARHrsyEJQpJIzoMR7/frTG2AWbjkTLIWE9I9vOtNclrY6
CN7wEkl3XaIRHzYXKdh7wwKBvCCOEefFSKJL2bUiiN0CZLm+BS0f/Lisv6n69Nvnn+TkDJsIyAgW
Y0B+pl8/gkng7FtwKSJAmhQWGCXMv2G3sbfl0J1Zgie3m6OBZt++hSFX3yAGaysyeAmEzxpNsHyW
ZpmeuUJMr/CnV+yAAoN5jGy2ecWh4AEk8yKV21aPbgwQYUIKnmVo0QVl2neXjT/+wRs8Gm/2Brsm
0SgHcLrt5aMND5ySvNrduQbcybf3VxlF3dnb41oaaw6SU7eI8VpAlYOEpkgtNLMGQ8/+tbTZPzbr
o8Fmk5QYUSnBQ5fbwnae46G8bvJ88flLO0Fywal7NMYMnot05G33RlhtIaDZa6BI4AK+l1m/E9Bt
h2yZZH4Eo5ocNhEl47efj/752wT4/XHSQy+KLlONNV9DTQmHoDLykC55ldHyJpHpGYHqyRX215OC
B/dxsCFVMU/iQm6HQj7rZR/0rgVNpT6eeajT40yTHlcNitLz4zhO1NpVLhq5lbXxauYxKMum/jgO
7Zlxpi/z8/r6a5w5Jg2ba2kP8YCpWIVBLHhAU+LVkFbryvbi9r7nZxbYyQHB6UB2iY10W3c2VfJa
d3rholM3VtxP+YMZv9gSDkny3oRHDVxm/slO9dd4KDQ/vkhaCwMUjgzIcacflKSPpps8NmWxsiJ6
Bh84uQwoiIzgQDrT7XD20WgWGtkQAlZpKwS+1g0oA5AErDvDPBCp3/Y2uSO588RVtlZ2vutgbPP5
Ujh5NFIb8krYXk50qdliFxJ+NGUksH3FFluUGDhz4pXUQHXKwKWP6KvM02BgNv6/GFZDdnVhRtbD
5z/FVGPP59TxDzH7xPCAgU1Ehj3USG0fql4vKs91g84M4cy+qpsWtGMlsjDKsdtxXW1ceS58+dQK
PHqKef5AApL7aFCs9IiVL8iBholoulK2dUZQc2r3Oh5mdmEZaF0ywbAAE/61V9F6hKnJON6XfXpm
bpwbaLZzFYiLg88MDh3Yra5gEeZRAe+xPrkvHWP1+QQ4ORRsjx2AJS7q+9nXKYYJPKiweTG9uhx1
kFgrseib8HHk6d3/bKjZ5XwYGmVVYS+3odUhr7VcWIna4Dq2QOb95p8MxVBZgc0AisH01EfFVWPB
9EQ56HOxap1IUCDbDTeeG574n49zquSBOdpf48zW8Njnrlbh3y0LM89q8yVX92m1TinkXMOZq9zp
L/X3WLOlirID8OyA3RhapH1lpWviaKu6aYEoJmfm38n1dPRYs81RJUOCdGy08LJhCS3zwnTWEjqQ
z9/dyUFAlZrgIxDV59SWWqV9o+A8CaE3pBHRG4YEcrL8fJCTHwhFtm6AuAAMffaBBK7YcdVjf2vN
JzMhnmG9MUC/UIX4LTfXvz7YxBtgFGRI23y3oD+adWikN9jmUVqRuPZNaNd66GMqzV1KGDLl45nR
Zimiv1eLx8PNJgTr6xheOrjSWEmP/B/rAkaayAk20nVbV3C3awCtVilfx6n8bsB038slSGNufUmS
yfmq4K/E0S+zULtmGliKVOfKy+y4WaHPlXp2bdl7OG9+G1nswMqwvFdIUlxXZLQDVQ6IlUYx1UAG
5NmJIGhNjdVihEZoCTDgqekS/aLWSOzh5skXZdn9gxl6/OyzGRqN5iBsDr5SRK41hkyUDOJzdY7E
c2r2HI1izjbH1NYaC55z1TbWtl39LBBiY2R7ABRLy8rOfM5Ty+F4rNnuWLWGRqWTYCtJmqWdGl7u
VJtMnou7PUHWxT3s70k6h/icNG8Zj9A5d21We6Xb7XQLE6WmhX4TQYa5sSJQEOA88dXQytgTiYKx
FNPu4rq+hr/UMotS4OdkCJRdYd2y4Z1X/Q/27+MfcnYADkYuuS6wfxeVFpSqRurws+FeDrk4U3Ja
J+qf44FmB0WqqqbtsxrCPaP3K2wQbtueGeLUvn08xGwLStuuLhuInbYOQmp9Q/SBCZ2IIdIXjZwL
sz83iWZbQl86Fm1rPI7WtpGfJ9H3FDZ7DTkXWvFOmp7XjUcPNac5JxAaFpwSEEkKXD6EY6/tsNk1
Nr6RmS8K0EtIDL5+TDeN2+ytlkIZiSa2NJIrJqxd1ecBHFu3iaAVrAFKCOvHe9s14bYDfe/nu/Lp
9w9CimkzyBHmCGTYCh4NLq+QHENWsLIM5QZuhFDI6ovPBzqJtQJcIuAAmzBNmTcdM3BSGG8YuN+w
I3PMW9MosM2Cj+xOGsZuBSFH0BbwrIzOHdgnnxEBYCZYqIg/oLPtsKhzZGXIyTVMFl/hKHyBkESv
yuInmZeHM095kt3l/D3YPKAiRpCkFgqJ3Jq80ReO4ZRe0gqmfC1kmd8kmb7q03HXtLAabt1mHYZV
sYuSOjC1ZpnBUbHumoAjigs+b/Vtzvk3zZxcPuPW9RKRr/oYEg3L2tatukOW9dLEQW3grFuRFua0
PLRWTmesCRQebWaE32gDt6m2fWvgyIYJlt/qsfFc9PoAIqThQGYuQNxwYfsnjWXNx4ew1GGexn3e
698ky77bkhz0Ru5GUf/A6rwENWMtW7kbMmR/NHaA0LTSj+C16eTlIirN+9oxBVo+5YGZVA+UZLDk
A8DmJUYCfzWLv2mCt5eTyhP+m6VnMyfAD41s0fye1QgGsIbiibtj7xnp+E2vkbPCS7KowMrzipCu
kiGEKTUM8GRGeti/aHtbWQcrqhe0FTDXaqq12Y+vGRQTCVy2Ap5F2QrenPCVS+CKrFf1okj5rqwG
ABGt8xDl+TZxw5XD67VrdLDNIPIm4WL//0j7suZIcabrX0QEILHdArVRLtvtrW3fED3dPewgEIjl
138Hv/NMV8l8RXTPzVyMO8iSlJlK5XIOw+ydQe2AOckdRVHbS2NQDcY1kK4Vk+xQJ93hVmebTrVB
jjrFR8Bh7wB6KLZWG9/SJrvJMhhRapiJjzKY2PYVcG/yyAESHCNHNUtXa+xL3hrsHICKQOVYd2Zv
fhZgNVMYZ105j3KYmo9s8V+hhifYdf3+yLl/cm1nQqS7ByFjpqNvsQmIGVV3Kmk44CvVn2Ej2k1R
aK/9IFRPs8evTufsOpCtoXzV+eir4/hJA9rlNX9UlRPR9ENNcXVZHWIkxGHZDU2i+4kyYEaric9U
dhib6bFy+E9n1HZTo+8TqsSbWglPraL26K6lu0Rvj3WlAKIaNZsmA+YjACNCHY016mhoQDsRe+Dh
xm5dpYeSd4cxSvlKqLXgW5AwB1QdBoTRS/MpCJq4wkoHgQm0ywfwuJ8w1UuKU8RW/OfC5TVn5tU5
d4yzlR110g0Mo2wGYjrnFe1Dbq2gFEJW3vALQvRz5yWFWUqaNq34aNsBNQfGgjKvZNohnuha2kMi
nPonPD9zk/qlsqZEHwrB8DaM+9ivbXv0Ox6j7QpYO7uERG9Att86KeZP4lLHafY3vV0euEoeJt6/
omggAmpmT/Cb0R88vM63gFz+MGo3kVI4CEgqkFt1NvuqCTjdJPx+3ZAWg+czO5r16sxYgTg/ROXH
e1U1PaP9yeppO/VA+ElgAMrTdWGL9R37TJoUZSUNVQ3FwQwayo0/WDtsldQ80Akw6I74kpqY81fQ
9gAqge4UdsMt8Md9e0zvu9B8zrJwd/3XLCrZ2Y+RwrDImGIyWRQhH4vvDdA3ao31NOjVn0TJFM34
qN+ZBFArlzs8GTmy9CksM89xnSWpm1G+D+3GHco/SagAmg6vdKJhNFwepS5FkhOlmRDvAeTe6F/q
8k1JAp2ulOmWYwsLAwZYDTL2cineMKq6SDMMeuX5cIxi405BVRH0CsMrATa6TsVuAoux2xf9fiJC
d1UKKPhKfG/U4t2uhpdIFDO4Cz9RALl4ecw3VpnvKRDO3AmoD6IunzgIxdKuv0XLz4qnXA4Az369
pPI0p2NrcAyyKfjRiniddMdL0cnucAaA9NTrzNzTRubGGE67rnHzzffp0jqTLKl/wcyp7dC0HpjE
erJY/GC2+fa/iZCUGh0LkdaDNzkgCn2OqQqI5Xjl+JdXgXPXAcuHxk0pjM3tBmR4dsgCAPe+6EP6
oAvycH0Vi4l/oD8hhIDdYNpdugCKNAEs+gSjIXHyDXDmtzrohmte/pWKZguO+GPixBsjHzbEBJ1o
hphr5agWnQPaMRzQA5mAd5R+QDTUUUITDNkPQn8c7eiOt/mu68vX6wtduLYBWAWIKYzqAI1phn84
d79jFDGFCVgSgJxTVx+6va0km1IzHxTbWVH8JVc/rwhSqDEjIVzKohrQXQSB9oWdAfqI2t4CaOAn
2Df2Ux8BbyRdcXxLW+gA0AoJPYqM2ocXObtamqRLW6fGAGFKlW/xUN+kdjnD761NZiy1KKEvCP2J
8HtA0TIkgyZjB/4rEzpfYwIW+CjoEgBsnNp9ibTmgGj3i60o9/2YHGPQi6S2+QDKpmfeg0zm+mEu
/xDQGFFAA6BlQMaYiDBVboKpEpOZcfOOaO1er7OtXYKOcLQe8tzZwKg2nLL3qicPoh5fKkPxwXGy
MsX+MYsi+RmUOf/9HfITt8cAST4BMyCYyuYlswd01FXfgQG+GQQqLwBO2oNFCHlcAwxVpXgH1IDl
MrXahQkIensS9CaglVuR7GpKuG9HUzACThbvheiuMYBXiKdPrVWvVlygJ1WlD+oQ3cZl/ZShtdWj
dQakPa7sQycBx7kT3dmNgu53/m4A3yp0ml2XqUea2EhHTuhpKh38U0RavKluhymNMC7WfUEZInVF
kYEvAzCXkWoAemr4O2vIazxm9zjnElO9dr7LgdEvJn2PtpE7YDNRv69DNIi1ZNOL6UcfhuACJq+J
MT2ZeYsZ9il1WU5WFH3BiAmGPg1M1xMAqcmKHpZETQBlgBiysfexku/VCQtsVMC58ZWK6IJNXYiS
VB3sXqCBqHB3Ye1Kiscgf7S1cnNdjxccPIQgjtAc1JVmDJkLp8RjkwF2A+tJVfDkaFntKVHyB2Xk
CyHzjzjzDmhrHCqVIxQsLaCD1b5jRlsVZU2tUlf83lLUeSFq3tQzUYOiNXqkFk3QG8C+BKlRvEmA
SfpQ1gX4jRgSBqbQblJDeasGvXPhazwnBq5Tk3qxEQFoyVnpeZgvYdk+Maek4fLEf/UPgJGzHwSK
Oq3R5pAQiSBPZBx078rOZNatRsrWbTgBoRdGX66f6pLqqFQD2CAmFFTEbpe7MJo5Uu8drhqWosed
ps99Q74gV7OiPEtX9zwIPbPlOmhoVCU5CSZNgPmM7CbR9Z1u5HtDV+5aZbgn9XjfxsQ3OudVqcZD
oYQbM1wDPF+45YiKzjHsKvJsKpX0Kk5rABTWDsbWC+XRGAwQilT8CJS2I8ABQEe9Nvu97PQx8TH3
yGNYWh7KjgDi1jA2Yr3EfkhRmAHHyqkxQPYCAL8i7rYqsGnCht+VtnFbJjqekVkFhzWsnO+SFwIA
BADrgXAE0Akp8qNg7suHiuIGJKD+IvrWGsVTDb4fY0hWCFwX9xgjxiqGNhwsXYpjq7TVnKlAXlkB
OFjeAfE1B6uEDtxCawfIxJVrddEdaVQjGBIwTFjfpeJOTYhlmbjahW0+CjAnlM3wfN025jBLNshz
Dy5lAbIQabhq7DHpIKq3cLRr3I36A9Psp9CgbyEt3oBOkmJMql6xlqVDOxcsudoUhsqrGMVIpsdg
PbujnAIGznEFXevxXcp0XFwdkmGUtO8rniBjpsH/MTSmh6rpAy4SnZPkp1IW910d/ehJxl0BrJ5I
BcUP2nw2HHAaiSb+yiLFAy5dvaK1S14J+X6MAVgAMLdlnIGK6mE7NMjGYwhiR3MkXeq7sF5zSmTe
x88H/OtKk5ySKjoTOoQrIOqQlG66aZebavcAjL1NoSTbvGnu8z56UM3UQa58eJ5a9jiGygZt7GB3
y6Zy4wB9cDsNZQdeD8XeDlH/zdDS9BZ9fOmGttGJgIDDTaf+TjTMp1r6FKoAzTAz+1YD5KGvzogd
YDLVD0CSrE+FGL4CY2pY0af/zyn/WqhkmmilS40wHxlwdKbWE6P+xojt1XrVYRniVCkpkvNV81MP
VWSpM7BOgNBgPxT431EVnQA2/U7w5jp0U7fWSrBoxyhrgkHYQGwst3sAeAlhkor3ALoBv5tKc5uZ
QOG+bsiL9nQmQ1p+1Bgc/VHIPffMOOqjurcq7TZN25mebI3neW09ksPNRFaoSgwMfJLW38Er+aoN
Dl9Zz1KkgNY+vBEBEYzGesk/YByA5MDDQ1q3r/9Go11QJwII20P+yhuxrevmW1VMu+t7uLwu4FOB
5XkGTJlN9iw64SzKUwCaQqZqvOoCgGB5txIALVk9op9/RUjH5HRlDmjPHseE1yfmuqlbZMp+LAFu
+1/Wgif25VqyDLY3GPHcjsM2k6FuSajcXxcx/9ZPruXftYCC+VIEHUbD6ktUwYvpvSX0tq4P/fAC
Bh/Ax69Nun/YyDVh+qUwRLG0nOZ0Leabb+b3Dpjn0fcBIloMZ09u5qSAcku1/UjafjeKKAQvYbHt
cXt6QlWPLcgOOku8TSAxy9A24lZ24Q1qgym3UHxh9bjLimTfEoBiReXWmsEbpmjFRV0/eyAxXi7B
4UmvM6ATI/BP96CaP4EJ6pRM/e9nqcgvFUPn5qWYkDNM04EqKRh5fC9C9harZK1ovbYUyQOYcVmB
KgnWqRfFAYyrz5nFTjEQ6K9r2JoYKUkEnrywqgegldWswQSp+RCC6sLVQEJzXc6is5mhDcAzgHZX
eS5PHUel0jEGFDTg6W3AEZEIdohREomp4zWGHZioHF4XuehrzkRKyjCWqohJibJ/7Wh3UxEeeKT+
wZMZqDQUUwFgEEB+6FIRhgQTG8yEvjU83SiY/Gdhdh/iPXJ9JUuHdC5mXumZ12wjhuhIhUvT+3Q3
NkrrEnvcRnnydF3O4vtKV01Aspoosepykj+nnFcC0IpBx0O/H2jgRKBkiSK/TuJnJRkeW8sJIgQz
YVebKHerf13/AUv+DuMwQE/DRY7njrSfaQIS0YzivRM10dchi7fG4NyDUGITO/mmTKv9dXFLN7qu
Y3YVcIzzFM6872f7qvQj6VsQfgQgH78JO/5SdcNrFKkecJU310UtHuGZKClITDWUfVU2h2mK8Frg
r4PnD/SS+RrCx+IOYgoB5VMMMqJ4f7mkTAWsUDggiQP0ahBlfwXaO9EAjQ8CNIuuqOXi9uGUTEAt
IKUjv/oHNC4I0kEtDdH8wL17o/Jm0wjnrs3NlVfhki3r1NaIhSk5ZDolW7bNUEubZr4IjXo/9A7y
ftYfZNrORUhG1jsjLVIgWQQgNXpWQF6Jnt+nrkRLylCLFcVb8oYocWGmAhxNeNtL2sCKdmJ9gzzG
lIJYHZBMEQDszXvRWRtuJl8yUESTaPx+XQWXVIN8UEEgffEZMtJJ84q0FeCzxki9qZvQs7jmtVrQ
sHpj92tvwkVpDgDX0C8Ag5ZzJU5SKXBQsK0RLTgCpEigjDRQfaAHcEY8gjz65frqlgwMM8szJKZj
zYOOl4pf0rSmLcUEgGjA5ZqMHDiy+gAkOWPl8l86OwBLYHJkToXYMrgteiwMHkaw5NQw9lUdH5Ik
f7dCkHX306ujTKD0BUXR9cUtqT/UnsJNAQINhOGXiwO6txU2YJ8GZW10U9TVQxsqb9dFfCAuyOEf
CryAEjXxIEBC5FKGntcj6yOLA/AKfXpiwnRyxLpdbbUHYqT3U8afkpkhGNCNrlHaAZ+inW5N27Af
nuo0BjFCfjdVOaogCeCR+tR+a5zuzUqZrxmsdbsYY50TcC5g5Zgc2hSk2VY9c3nTgCTXACrwtKvA
7uw44iE2ATzpJGioyvQUZBhgfRgtq/UqkHOgSwwQzMDABz8QIPVdBxMLeRqlezMmHSgV6se4bHeA
wrvPx97Ph/wWXd++AhojNGNPXgwWJbs0bvJE3bSj8TqJMkDO691G4dwalIexq+8qCpyCVn03Yw1p
9vqGDclfRaR8sUH06Wki3Kljs8vQO5A7aB7J+j132B/0jCI9PiMkzW8z4JdcnkaDMoOS5zDWoSKA
6a+Ug442MTXLQJ1SxCuX04f+SGcPjHi8mym6CACcIEkDfmyOYRM09GUKWiTUlITfi0EX24nQY4p4
H0TxYXlojTY9AUoZwBZqBNZq3o/tm3BiIABZxmsNjJCusPdEx/MkA930DrPcT6YSPTQ2KNAxVvQd
/aQHtKjrr2iCu9VyBird2kHlykHDRuEAYcIMDR9TUeNWYey+bEzkGSfHq3v74HRQu6lJQQZdkzen
10GbpligLDa14qmfuZf72tSBCqjcE2ih28TqIaUdQlkw0uZD8Vyz6YW1VeixjgZJM2h3seockg6Z
DBC1+kLV9iDPduvJ+kYAXJEZaxgDCw5qhgM2LcMC6j7ev5cnijZqtS17BPR5nCMK0LZp+5eRrDx+
lxoQkKCeAyjg9SJnLElBZx8yXuifCIYBKWLQzuTosYSPR3UWDF7JLR34z7ICUUxGQXRNmiJecVVL
OesZpAiARYYGtEi5AEGirAe5ucMClGAQczRfmRHdNGCmn1L9nbPmCZRILnfGO9CNHYGXe8JXbiLN
3l73ZwsuEz+DztAyKPJjzO9yuxsCi0VzKG47vd/kZX47ltbKTTB/QrYac2Y3wgAfuBLkiXInKutB
HSwgI6chASd19U0p4SCt6hApzZqJLslC1gRNg3jW6h9YZ2ehqtULxQlb5N4wT78narFDFyayrfqp
d9ifLAtlfLxrdQtZfymEBIp4F1ZwaQHnjd+W4z0Aw3cRnZ5ooawoy9IhmWeipNen1SZdbjRIv7dd
8ncpyHOLh8ZKmuYDMv/XMSHymDsEMPwzY79a6BeQIgMHIPQ9YjG8A2NtpybFax7S5y6rDLcf0YrJ
uP0tqseHwXkrBWhhiu6JqiG8C6rFiv6i1N2WsW9EY36jRgctf5lU9QCmx02rgkSlLHeFpm81XryP
Y+Sa8fR8XY8vlezj12P8FkNf6IdBVUtWssxKrUzv8MQESAAId5h4rOvoYQqrGAyB8e9dOx/SAA04
BzfIn6GqI+3VlAFWsaU9C2IxBHFb7Ttw0EfGz1hvVrTs8uhnSYhlgKgIfl2gdAHX9dI+h77WOrQO
DIHCK8y4fqtsZ3d95y4d7j8SMLSMzBxA6VW5klQ6bas1ICQP0BG70QCVnXhhnaz0QywKATIzWl7Q
f2cZUtSEbEekAK0D47qjtjWTe1ajD4VMKzp8GUz/s5QzKfNmnlk/Zzqf9KIZAj35WpvRezaA4YBU
N1PVPEblSiT4WeNwMmfC5iWfCUMbsKBZhJMxrVt0onvAzI8wW6WtQYOsyZn/fiYnh74rTY2t4xgj
S94NegRA4XUVWNw3CyD5YDMBDaAlnU5GwDSOjvEheCUkQuTphWi/a2+stRlaaZT7nwM6EyQdEFAa
TDMHzlXAouPc8m86j+R90nbEeqXaPfk99P/P4qQjAmefo9qAbAjaPcipk9RPoo1j/7y+eVIs8VmK
dEA2S7JkigosStQHEnUnB/lng4Y+nM8W6QuvHymqPvwuVJ3fSi38TzSSWnNtAhxF0h2ENEBY8DEd
AgA3Hrujv0Y7I6ESfRYg3TxthGC2xNhkMOkgESFPtNl25e0EiDeWHrnzouu927a36XTo6lOvnABc
4V3f3kUHaP27RLnZvcT8M5r8oyEYafQ+YURE6MnddRHL6v9LhORjNbvN+qyBCCoOuhK5ZXrH9CNt
wXb3e8nWT/spdyrkqBekYxjD0qj7cn0VaxslGTFS7YptqziqfqO+YNTov31dstyU9KC4zvF19tpv
2ub3v46EFZ5vMyGIg47FSx8X921jTB30ON9ixG3leBc25uLj+uXHhT5mIIXAnutqVbqgO/w6IOS+
vj0LTvpChrT5MVe40tfYHvXZbJ5b2gKzZWt3a6jkC9coCJcQCcxAqpplSvsUdirGSEOIKdgNetC8
ckRt5b8KkfYrrlWGki0OAxzCfbUFZCYJ/+BSu1iIvF/9WGX9vBBwIZ7C6O8ONJyJCorMyPb/4GTO
tkxSXEcUPA8JJOVNuwnBZEnAifKG1/iKBixq2Zkc6a4Ze4tjPgValk++4hFrc30ZCz7qYsOkS4YB
/kyAvWAIOu1tiJ9D7itoChke/0DKTP+DViUDr1LZ3bM81XoKkNkBg1JeIQ7U8IzU17Xn63Lm71y+
NTTw7P0rR56MLO14KrsCmwUk4InsUbEIfQdF9dRzxKFaS0WuSZOsBrOCegoy2j4wi2NvmLsuQlZh
6vw+aryWbYDf7fVMXfE6S7HOxRolMyJoUe5R/sUa2aZKv8+4mOpRLW6s/FsiEldJ1grtiz4IWSkb
XPQg8ZNbnwvdTkNzgqZzukUYZ+U76jO6Yk7Le/lLiBRxlOj9nuwBq0JQClzW15G+giVe+4Hubzz8
dsPbdUVZcnjI5AIkAoxUYNuT/ERoDqlmzVdz9wXgF+3XyDhcF7BktvOrEUieGtCcZY9qW7zrBFJx
AfmqU98mK5H12uclJSjQpglDw+dn2g+vWcO/Wdqe818vbc+gAWbnw1UPANQd3QzDgJyv5MqWThy1
P+A/zdNG6LK4vD4j2xYEveoD8r+7ojtppq8xL6mABnxI2pV4dnE9Z7Ik7ZrYMCVFBVlc29a9F24Q
Of/BeZ9JmFd79ppyLFaUHWgwgsqj98qP6x+//vPReHv58RT5kf9z0iDrdcd6z9eKb0u3ABow4TzB
U4pVzD/g7NfX1BIqn2Z1qsnWNjsXzxvkcPudWZ2s+A8OA4k0dImhaonDl5TLzlpO2/lxMT4rYlsO
P6Z+bcRnyTzORcx/P1tPgQGnjKJPJ6jd7VpMubRX59+W9qpt0Ug6lHCHYkv1wROeNW6M6DVrN9cP
fXkNH/i88Lloyb1cg4M+u3pywj4oTI8St41WmickIJKPNwPBGOoMADwLkOHscgF27yzB9aVxlISU
HGWhHl2OeQAyOD/SIj916EtsZvskNw6AYnWjWN+oWrxF/zsQ0WtPc44NubXM/7ZwuVel6dHX0c8L
56do0/y8vqtLXsdGlyImKTH9BapGaVfVsMPsEj4OJmh3Qvq9eAacXmjc0elGH1aELd2c58IktyOy
yqxEBWGEgH97kyQvZuqJ8reK8/+cI7A5kAKf+QNkmMXOjNSOtCaWNJ147evEu75li4p49n0pRNSE
ko2phu8PxV1/stQv/+3z0omUFo9CbbDBn1W7Asi07n/7vHQGbKLgeErw+WjjRf4ffBt9+cC0dfDM
l1PbdZ4rWoEmlkD3blcSmx+jlnIoO3N5/u/b0g1vq0wYTYRvT6jo+lzdJFkGhpCN7hffe6CbDS7p
PcXwABE0/AwzbxXSZOHY5xkL1MvQ9gEGUelchGBD3aG8Ggyda2TuipEv2OHF16VjiTnFfDgv+gDj
LHddbYPVd4jc1MndXgGoZlP8BPMN+p7EyuUj1cc+rOVCsORW01RvbcKxrLrLn+z8lMxIyOn3Upwy
vTr1aXUTcsOzWuqhonrbd4c2XQl8gC0JJyOdLdLvaFwDUoyODijpBnSsocnGCc8Up7MKzxZgejF6
z6ibHwUnX3viICOLdgBX59mz5oQvjGrYoC79ofH0FX3QrW8ze9xwRl9tpUXoL7rMdRSSuJ1qPPeM
/LSiVENerXyph5olrjWyErTY9nMT2qZfFOQEYKtd7oxAESWFszGn5q9Ki3+gcf6uzcrcRUbgb+QA
v4wgwQh7cx872X1kJEEbiieb5vgiUQMOvM4RP0+lpHGryAOfQI+hwW+dYn/DQODfXctftKa8K/Xy
Pm4KkBCMR06Uex5jQDGvdn0FAAZhvoPNocBodvysTfYjEP3eqBFvJ91UPKQIT+BEAgS9+WMCRPdW
hM0WOQwURcLxsYydXRyyA0EGLwyt2tOb/C0b7T3NSLIvxvzG6W0sDhUXJBxAjpdrmeK1ZqIchzTv
wQSkPzOFUBSp0UdaCtszBma7tNNDP3EK2FsbJck2LY3bGqNcLqYXQ8TCgFBQmaIeMF6GUjwmpV0z
a5KdUTW2r+Q9mAnA32HV2ROwrR7J0GBQu6Iz0cammlt+IqW/TzTrGXMawFAZ6wdEjQdNaNoRAA1B
zTTMJGv3qaMfStG8AuHn1GrxE9cBmm2r6I6qD0WnFD6hyi7TDAG49h1PNiyMAULSJUFos26DCY/X
MgEta07r70UTghKhKW7jin4BCZNwzS7fzq9kUyTFS+QUhldbo7Ni4Qtx0oWSz/7lPAbLsD6QS8I5
AnOj2lqedgvYnqldew8vXLIXcoxLOWPIwT+r2CKYEL+AMgD4VVlTHMdM557RpPeoSlJ3SI3nOuJf
DZISqGoS5Lo6okxQHu2pKIEHUOlodxlH/eG3bwj8OCTVZvh1BO6St+liDKGPhSNgK4AhgLLtSaus
BHJLrvRMhpzJNjsUP6omFAEgke4qZ0jcoUKB9WTVX/vuS21NhYsW2pWgY1Eo6IJntlq0rsiZVZi2
U7BiBGMasd0QDqGqe7fiQZFtmXPMhhVxS5cRxvD+FSfdhm0GzDx7nHoQGpI7Pb5lRr7ilWc1+eST
zyRIPtniDIF9DQm1umurp4SmrvF+XRmWUjcACsE6VKQd5gG7S1WtDT1HT5vaB854H/IHJ37IFGdv
2dRLLLLNp35XWM8maTc1eIf4RLfX5S8uEd4Ofg1ZXlWuZSeO2ZcpKHgCXvhTeKdEp9VHy3xtf9rF
MxHStY6BKz2m4EEPypsxATIluGxjr6BeGPvlSoS0thppM8PRKICl2SL7dkrwRgGW0/76di3q3K+1
yF1/IUkVRReiB4iMp32xVsJeqdn7/wIRsG3/7zTkDBG3SvTOUJwGyd45z+CUG8+rY9BH7RS+LfVd
kmFMby2YX6oqQgd/iZUsaRzNLhmLvg8UpX4eGuVLZnXuJJ6K6RUXLCYUQS6X3DnG2hzm4nWAeAcd
qchMfUoxdKjERI3a4LWpok8DbeX1qxPekPHAR//6uX0wN3xSwjNR0oOl1aZIhHXdB/EN6V4HelM5
gJri+zrfpupdmL+z+AshQVZsp5Wn0qJOnkmWYuYEndq1ETEE7YCcQr7JH1TbL4i2ImZRM8/ESFam
06ygGgpnweCcassnxc/rO7i2DMm08sQUBslxVnruj0G4BzPOfxIg5+kb9AnFXYUFdLlf6jeqdXBW
xyVnhy1pAbqDbXhaJLZAqSdl542WTKI2JzBOvyFr5vzVI0BlQe5sTaCsE+7RKXTZYLsNca8vbsEH
XgiWLCzpQt7kDgTXO6e7pfqxiAOmui3gf9dyREvWfCFLurVy3Uox1wpZQKJyhRa6pXmX5/es+G47
iceMlXNbW9qsmGcxXdmNxkS5hlADLIU+CM5GN+Ya9+yMV27fxu227DEeY5ark+ILKnmx0PnvZ5LR
wVSUGA2B5Fflm/1k/bh+ZgtBJErE8EtznDZnwy4/b+aKatB6wD6q7hRvE8Utta3T765Lmbfnk0qe
SZHsNueREsYFGFHHb+xWX1G7pYzBxRokq43R/sryEmtAbtLothPbqd1+BA5MdxLgNCx2JA1a1WPk
riMHMfVu2X2h6Msa4fb/0zrlXluH9qIrRyGCbLKeUursNKatvOPnxXzaSjQVqjPnByaIpAObpr7J
e7sWATsk5AsZjlqA0qtWHa1y5dDmL12TJB0a0Us712JIirIfHI3m+Ek+WnonroMzbA3JY1EPz5Yl
naFVOXrLQiaCRjlGILnba+TRWjHiRVP6JeNTj3JOBQULAOANa0RnG1547VpxfGXP5NdBUpatCbgO
ESAL0Rqn8CY7WOKJ9Sv34NpKJE8LkKI4Nk2spEi8RlePprKd8nblebUmRHKxTh5jsD3HWqa71qVP
8Yp6rZy4LrnUXC+AFKbh81oMylGfGGC02Fw3x2VbQePgTCMDQMx5hWe+kzRaCTD8Do/Q0UUfPuiF
TJdOxc0Q9n5cjm4C2NwQox3XpS5l2mwb6cP/iZXCMJwMQIopxwUcov/zts8OmfbObyvuY4pZb3yg
18XlZgQ25+G65OUTA3YJeo5N0BdJJ9aa+sw+XImAPCqa65j+itotH9mv70tHpgEbeWqBrhUA6AXF
3cF+ym2Aafy4voqFxmmMN1m/xEjHpmvgt64j+ALMe8avg7pV2h2PvSZyQ9DE3GhB+ZDus22zGw+W
7VmJ10bbahu9Xv8Zy6b861dIpwju7iGNK2xmrPnkgR5q39iVK6qyGFacrXT+DWcKOnAQx7cEMhjQ
msGAzvf0MbyryE37e0AVH48uwNpQCyiMqJWgAeBSEojZW9OscXTIvBueCnx0JGUA6Hx9z5YU5EzK
R/73bD2ZbnJLabI5AtTJV7P1h9QztWpFDWc1ky+mcylSgBt2VNcUkkINT6X3J5fE+ccl19pWGLoA
QKcIwmIHtxGDJHi1a3dtmyQ7ZYbVGCmGWAOlZ6cwbrY00X3CBmDp+Qn9EYVPBaBqW666JbLjxHHb
rN4QiiLlqQ+NFSf5MRF5bTslqxbx//x8L55VB+ERSBCBPB12GHwKs2wDAIBpJhXxexJOXjKNJWDN
eb8Zpn5jKEV4BM3JsVbH6ACY4XKb8CT7uzGY8K05Go7SGrmQPgP2aKbdkCw8AJ/h3slGoEljHtlr
Q14cRZdUuyTJ3KoCmCy4WZ54h9E/K63cIlVeCKPGbjJE6YZ4ZLpmOwq3rEBz4sSV5plZxzeYSC48
pzLeOMtW7sE1dZPcEaC0s1jvcFqAwCm9aq1O9xGxfd5/ANNh9mEeT5CcAHhUOmdMC9yzW+N7bmyy
fF8KL2fIKmJ00CU3wO/3JhQ6dGdX/cE4BPzCL+FSkAeWi7gE1Ae83F3ir6FzLr7Szr8ueZ0x4bWW
AqMnKDDPrzJ2ZFHkcbVwefc61Tc18vMg291nwxrc35LzPhMsx2G8SUXf9xBsuSj1GHfNa9pgFNS/
7u6WUlnnu6dLziLLcxoPFcSUiRs+t4m7JUCz4C7ZDr5t7cdpJfW3KlDyHGYd/uPG0+HeYT43/Ng4
pJlX02+WeZv9HqbN/26Nf7VDjtHCHpNIbIJ2JM9F6hv37RoX3eJdf35QknGJzAjt2oTyq4CLBemp
T3S/M7fAkgdNY6u76dt4yn6K1o3eUedhpftkqt/VaZtFkwsi3uvnuRQvOsiZEPBYoIFNjhc7JD5R
MsLF4sJxmfotLW6+T/e8+0HXmJiXLeNMlBRdkKGzwjaGqCr3q40w94TfRgBaeQby6IrSLNrCmSjJ
v2Qz2gTKP3j24AbpcJOAnRAzzJWvqMKryVoWaD6xT+4MeVbrg/hKk4PQEnUXJC0SvPXLxo/DJ06n
bZ2tdJ0tCHE0wCgDXQ3jyo6ctphAcEIqHYFTZYhbbmlekp+6/PfGBD/U/0KK5By7zGlsjUH9I73z
M+3rhNL0dY1bMugLEZKHrGtLx52Gw7FFioZP5ARBQ6y6deJEaEgetsLh9+mgUb/guOCyEiDj7WrG
cA6YpCM7/xFy2sJSKqLm825u/chdnYNcKPpffF0K1zix+4TPr4ZWeHb06Kb08MbttXbxpeT3hRjJ
F1MTRCGhCjF2hhnwRhvohjZh4RWto/rNTEIGRpha5I+jMfxdTNljpaEAjqrQtp/ir43d3YfY7+vH
u6KmMtSZM2LIsOvwm1hde7llR55oaeR2rZGsKNKyJHMG7AUWBaHz388ib+KwtkARH/mTcAvSKnVj
vV1fykIUhO39JUByWAxDzUNRQkABMKUoom4as5XdWnBUFyIkR2X3kdZGJkQI+5A04HLpj21ebgpT
Q29M8XR9PUvCCCijwfbxAaQkaWXs0Irl+dgFuaBvWmf7Tf4VV91BofE+BsHJdWnz7sgWRpGBAPic
baHhVDLzuIoESWKrC3g07dJ8GDcxiYg/JbFnJsnuurClozoTJhcZuDa2ACUMu8AiL2oLJsqVa3Lt
+9LWWWZbWjAybF1tlC68PaA7FLoiBM58tlh5085VTnK/I9PHFHDnVeD0irpnXTT35xDFvFeVvNgk
Ou/dqc7fiAn29jgEzwJp0HIT74AOfmAJ/2Kl4TFVUYqNNbQnF5rj6WNXgFNuOOl2dzA0dse79tmI
svvc0m6yHlWf/8fZdzVHjmNd/pWJfud8NKDb+Hoe6NKnUr6kF4ZcgQYgSAKgwa/fkz2zu9U1vVMb
G9HRESpJmUoSBO4995iwVxb4LnxFchLg4REdyMoU3Eic77GD6EbktE89vP1MNNRbFwKu3FqWt4XK
t67vwwRmWTINrBXGfzL47Bt2b9r6hVBjUrshxSTgUOlWMGwmXZMEROyZ0+x0H9kJ7LUoMrvglSxh
rHtqHO9ubvrDPEDE6Vv91u7inTUJmFVM9fdQLjLV6EvSzppfsMc8+oO5HVrXZGKUcYpsldQhPYie
ddUf1qnGSTzOu2AaCm8mzzY00IkVIONX+e9wN8pdATd7eIqlgvpvYHXc1Dp+pQiPtNsxcxcHbdji
3DoEHKdVlQWwtBP3SJtYSquEWT3Mp1fAFyUoGCOTdyaOD5KTDOzDCFcUNQC1jmtpZ+4AUQoN7e8u
xqWJHcyZt4IINgRlCx8NxEbBEa6gY5s2ng+sWWfBOL42YZj6WMRBbxdKYt8WpC4sr3fTSqFL6iJ1
pl31PVr7g6ORXOvE/a6fGzft/DjtusVL2k58tpa9iarxS83DjYMIq5SIqxLfkW96Zg+t299GwGIS
Oi67cR2xiOLhu7Tb72qK9yayb1y9PlfTNCasQlyWFVSXXq00F5yrYhxZHtdqTDW1Lyt0UZkP7zAQ
XtTJqxmi9+Iugim3+2C51b4TdpVbwPAyv/JBeBAfNhHbyJszCpKWV8d7pJVdJsdOfArz0t5/jGe6
D+r4DVAlz7ouTGuyvo5VfUS4H7wQ69tYkT2jZbrAs3hWQcZGqxgm2PCT6ImO/DhNVuoM3raj8Pul
5rzO7Umu9TmYtQJVSKUlUg9TX3uf5fVTWHKyM03JCQvn3fZoAY+Uc0/0oVRONig7TGohcj+Sd46w
tnHd3fl8udc6yFoW7rnmh3HxbtGzFyudt+7g8U0AThKpBOLoeA/zgLmRMJCw6sMswxzpZRmodjO6
+TJTst5UtpPDRX1KaDMC/hiyAMYoDWx/vGl8B1iRwl1nb63k0DUwW9UCyncfOmTbylQl0ojx13h2
3lxryS1qJ64AblLj5o/mha9Iy2XDkjZdwDHpqrMZlNJFYzjUzXdlHWE0EB3QBoCRC0gmFvXLDCgy
BaUFaYFhZBedAgQ5nJba7RA9VrHMCOh4RZUiTu05MmhUHGe4GVSPKL7ycbFsmBYFHLcMhtkuty5U
TC8jE5+rGA48DgroEvA5W/6qrGBfNe2nBxwl1GI3lzC6aUi2kvIgKMd7HAc+Z7bVwOidQi0cbkW1
psgiOKyVGFL4pmZV452qQB2RfF00PYTz86LvQQw7uk71Bq+5JWHNeDMGwZlqtYuNm5Ay3oq+PKsR
CGQvg0KVZouNIwf/EUug20cN/UYMvMi02VIYCQvEcIXLUtSOmuFJBOZl1PRfA2sUcoAcP+spTPOu
02UxNZtWLjvmtzvb9FuEpmHPAOlchAVZEdmm+rt6FYfFKXnOqmmLSLc5Wav5wxuWuyCAWCVGy9mx
C9XmZJP1C6S/ooZQms49gmbaG9dle8ROAkIY/YMpnXx0rFx0zdEHNbLi3nGQazF78o52vkiH0dJ9
UrN1gdrW2QP1ohtltd/mzh1ShMx+G/sWPj4EgBLSYC7xDC/kkCSVvyBMLwbrsNxyCyf24mPXNBur
7LJycFPStWkp1AEm6lvlIFkQaWt1f+PTk2kapBPi+th17oMRod1PQtVhQuVrWd4NNJRn0pui8qwd
J+yuFXy3VjQZJIWVEUJ8Gpopq8psfZzB2GsDPBsVuFktNh3qw/bBT1ZuEgODPREGmR6/OF+rtO2/
S642vGK4DbcwJ9jC2AUv9uhbFLvb/G7HazrK9dTQd+MMyFPNAxtYOl0+tdJQakc+1inPl15noRBF
VyHP17N3HNTV1dBsYlaC7AHEHYLV5zgZDIWytv2Er9eNW643OvCSoXHyAUgmR05iKw3ORJPGZVS4
HbLnrg/T9Gqz733M0tK+naBRhUlh1o5PoCwkFp9y1Gs3A4V01Tdp05SZU74O0bQltDzWSB2MQFIt
kQlNhGUl2hnSSNwGPUfkVtwlk+uevSVIJcaIY/ApfOcRWd+HZpqctHHEHZOwF8FSrzSHymMTVnU+
0ikvEQWh/bfObbJZt5mLKMf1A+jls72gMGynzeKahw4shriL8ble4jhKEMaRxSAsj/WKqXOX48rk
q4pPSJ0/lPISmTCJYenYVdd6QqzI6Ih3ATBVyfoC4S4b2tkXoYPNGtvHyYkfkIW2RUQPjGFWtkN5
t79GN4rmtOK16I0DUi5tyNam1pSMszNj4dxpVCRr7+E0ac7leAy7d0d+gysRbI7OfO1TaiPlMUys
6G6Rr1F5QZD7qQbjaglObYBf8+/k6IG/G2155OW9hWUW68PsIb5RDcloA6KFehTp2Lz0UFNE2Yog
msh+naQsFsO/yKiKtXuPq0+vGjZ8jnIBi17t1ngcOvg/2RvShJkMqrSenxfram7z0ttdIYD7OsPO
jcZDpUBpnoZtID/N2iRlLRPckGSF4xmsaFO+2Ek0LImGdLp3p6QyEjowmB7Na8bmZsvoUIwQoTt1
j5i126Z5YQHZujYqhmnOXWTEIoAjSBep0sXhGY/jnbFkXpJ173YB0nv421o3m74b1zRYps0AF0kG
SSiIo2Nem+Z7bwe3rej2squ2vg5M6i2swExxw2YLtOPlte8UuMtVm8Atbof2Ba3tVKVVY27bRtwq
S3qJXaobMtupK8PtEM+7xrVOodd/wFfp7FX9purqzdquLT6hxl33b7ljvoU0ehlKK7GnGW0zk7cl
CxG9EDxOhA6JDsetM8+fMHnPF8a/Ss+GY3J34Pb0ya1pEwBVT101DFuH8EdseHgJnM9+WNIimoc3
RTjQBhbm1UweLIP3xhU+44+4wGwWPBapnqJZv4A2gnoTaYidWhNvjLq01rKo3OVE4+WWetZJy3bn
DdG5d60vC1D9zOwDN6wY1xhcfQdDz3ozl9BY2ZW96XWJ3aViSBhF3mTq2TXualPFGCUEe2ItbzPe
PZnt9n7yqbWhiF5FucXWLAhX4LftFJ/dxvq06gh3fHLuUITfNYFCZDh105WsqdDWNgiQe0sCZNFZ
do6p+Ju9OC8gxr/ZDkdILFJ1kM623tdDszu0AcOcFBKwbJ2Im6E5SzVKOxi+PQg7OoQE3OWpjR6o
8qbU4+NntZg2aZrwJS7jh9H97lnxAdEn8GQcc+RHoNO4hmzCYS7pichdCY68G4FnreE/qVcnDVFZ
sbjadRXdjVrALQ00lRjrfmlJEknCE2b7mwMKthzllyCX2e+f/Ta+eLM4gAKPEIUxr4x/uHr9KOru
xDhfmDRHPas7whjmMPW3uuPI/Zu2VtS7SVSHuWqXwoOLYKLj4W3om6PlwdVO1PI8lySZO3huK7hR
pHBx/ZLIU8q6Zt4Zxh57MkqIMRxIQm6xj+YozfcKEka4tYubvqJjgn4HdgYxapi5hggABopiMtaH
mC3gcnFbnS2N0AXFHKQQqqx06HxDSsaw8zYFjDlV0gt3Fy39dzyCkD+znMDJ0V05QlzdTUO6Ux0L
nJNXqyuve9QqeiTG3bMOe5MxEM34Q3tTXiPnmOWdnAh2mF4kVG41YZOto/cwOPP90Hp7WKwyODoy
nZZkbDJr0rdNrFOcit80oZ8OODWZC0kHiyFSMDBhQR2NWt91X+De9UARvD6GzW7s4z4dr5KBZooe
o4Ce5wFVi0vB63TxWIbQF5ja08naVnHSXfUHVSM+xFWRYMfNN9wRna9lsx+uqoVW5KLesKuWoWmq
bXdVNyyQOQjt7iOU7X3YPHSQQZhIfWshizCQR4yQScC3BqEe0E0MEFAsEFIgUtPJauk/Ujpd+qvW
woPowoX4glxVGCEb7yPIMuBb1yMoYcqUy6IsYG29may+RBONUkVarr1rRzmm1TCUKJRgbehB5Qig
F7Sw2GnwlF31IcFVKdLVQS4sFDeemMvUjQNe1PZAd7BtOijoAQ5grKM1wpCwuY4Ll+vg0MMEMbL6
Fc9ARIoyWgPsXDpIJP7M3ndfYkz6kmY5snnd4XLAAY7Abv464DMdHnGvDuC1GGCblnBIcxUCgTGq
TcuVdmkULN4pDvBXh12777qx2Sw83AQUT563xt4dir35rBG6UvhTW3hyMjlb/YKQCNVTDwgctIaX
SA6nHjh5Gg8UtT/gGa8O+9y2SN7Pcq9i6xEOddgCkZCaTW2ZwUcebb1p3uqF+dACQBAw0eE2piFS
jZd2by9VlIFdPyQlZihJq3iZjBozDErkXTSjgkNMip9NNSDIyqvSOSB6y1rqIzWlel786bsczHct
EMYR1OUKjrz7wIewS1tq16g/+j018Xs4y8cwYGftTpg9jfYdM9ie+m440MF9t63FTWJToU++Sq0G
Pr61HCaWdelcJmHuSzaDxVji0tdj9cY5eRE8Ql0VNCfT11jsSzOkYJtUKeuaJisJJMtqJO994L+h
/9jYg+mzORZWVimEz3EZb6aY5jUJBMK8MMGOAJdka9kBGzHrkVjym1/79aXiyip6iDdzWcavbTQf
0Viqa5B0m9gLjucWMSMp3D8xA8XOnsf+JDdRDOtIgxeN3bDeUNODUA2wLYmBvSD6xbmXJURhQa+d
FCNPF9Pi8jIOc5hVE0k5NofUqupLtNTPPW3vW3D1trIiNbRc7s0Y9wta1OnDqKYIgwpxyCiMUtuZ
bq5HUNL35s1X1QP35X1pKqjXAkb28FwHiVy2X7N6tioE3IwOwlXcliEltAvuZj0+Idnn+xQ77g2J
minjenDzMUATAJTqG/AAmQlAV0oF37p1vW6hqBnbUHUov8ySwic/KnACBTj8QGoNERO+a4Xhm4qE
IRRQIU9Cg4vIeMhuxdJePEiCQPD25wLGdhioWcszt3DALDB+KNZZ3XcL0KveHvvN7Kk3v0flG2qn
2jbKg+iPSpyjA/SIDr/pasR3k+orojXOq/I+tDTb62C6m+z5TVZBA2ZESzciRPHTqvqFLuWYUW8I
NoLHOzni/nlAdIG997eVZ6MI9LxtgBSpi20s+PEO7nHRi07DxvMA8NSsCDUJUafJvePieQNmUJSe
gYH4BI7PEIJCsBhip9pxGD6/d8Gof0l6XV0GMb/ZlT65aAKrdgZ/tX0KA+vBUVMSyubYS3coEPB6
G3oITAytszdaieyCPtXE+lDe8B2YzZqCRNalZuiRDuhSOPbGeHol4CN38Z+JVS6J9JcNiVhzbOY5
Tiss36MKxdGaO1aAgXpDF3LmJVqNarBu0Fu8+2i4xQNyPlXaBhPCaUwAFxic0Wid4flUIhwOBTwe
eIU80A8kdeMjyggddKU+yqaEEHKgS+H0/ZT6CHuDVIIitWCeXyjhyCk0OJ43C9gkd868rJtJInun
UnpIIhKUp7g1bxIt9qVCeiEyI4Hz+KvvFm0Dz2FH8TCH1yTdUVDJ9hoQ68WiskPMo4DjrlkQGh2h
MfjPyPRfDFj/hPD/BIPLda6m0gDht3haJBy1R/D/gX0jJBgid7DvYvje/nkOAnP6ebqKz/caMlEv
XX8xoviruW384+tfsfEf5izBSic3bMC8bJ8maKuZV0bQl85nAydWGIYdQz0eZSN5Qq3oFzyUvxzx
/PDRfhrxjEMYaV7j4kV1m7XuF2CQ/3x3fvUGP4143EC7ooYcdK+umsBRpMuKGEHrV5fwegv+DdYn
EB9eE52vMUA/XUKr8trWVNNeViFiJcmcRghFdmKyq1pjkpUsN2MX33QGD0xLx723lEfUyLCmH/xf
XNK/vJ3IlkesHxKJAucPKucPt7MEQ1QoF57jEWDoxQB10NiagsVFL7YUJBwOynjnqA3fmfrFdfir
KQrSEhBc6ICPB/fxP18GGURd78Iq+srhnd3kF5/sV6/+0zSUGiZqAsx2bwXk0WDaIdxfiXGuy+Hn
+/jjB/jpURt7MptxQMtqhJ1jmH4BzHaeGwLHnF+Nyf9qZf74Vj89dZ6OGoyafL1foJHv7Db15d2k
2vw/r/+/2p1+GAn+vDAtiZ11pFgMYqb5RM8sbAvOdZc26I36nm1gNnisYuv+P7/tH9kYP1/IH943
vg7Qf1yEngete4lRpN/LzdhNM2w1YXPeMnkaA8CRTn1HaAj5rqyclKNubSbHIN+zLUrK1sJRw3xu
5p7c1QzF5eS3drGa7h5GtFum9KO6bkcW6Y8j9ifTaIjJdZgKcIcYnOlxgHq71tbnqLFnVLN+5vp3
gjTztpfhC/OJLKRez7DjF2nX21/VIlGz++4Fj1SZdgYHEltRJjelfTaxvNUduZvKe1m57J9S2P/6
WP4H/RKXf14R+Y//xtcfAtm7CDVTP335jwfB8d9/X3/nf//MP/78JX7lXy+Zvam3P32Rd6pW663+
Gte7LwR2qj/eDG9+/cn/12/+7euPV3lY+6/ff3v75HWH1kqN9Yf67V/f2n3+/puFTGo82zBCx1r+
rx/f518/dH7j+P2s/ur+luB//9ff/XqT6vffHNv7+x/WLVDJXs3krt4w89c/v+P+HepgZDQgPgds
5auxSydGVf3+m+v+3ScBfFjg9wLa7x8sGcwC//iW/XdEpsIZMrjSBaDFjn/7X3/jn27E/7kxf4N/
3EXUnZK///bnzQYeGfCYRF4AwBkHJmz2z+SDPtaWFdqM7EA+TxoabuBMnP5wWf71lj++xZ93gH9/
i5/OpnHmptdhS7BUV5C/Tus8HLpfSurd8N9oAZGHCxzDH9WDdM7/I3f3h2dxcrlNMTklO1nN5kE3
w/f+ivTZIKmqsr6LbGtAiK517uaQHAC8n2jLDgZ5XBmRJccA0nyrenAXTO1uMTSaMKCFTxmzGKCS
uQ2SucYwL1J+k7pmOphguZs4R/+2ZN5kIyhdNLmWwVM4Wk1qxfM2Gljmx+LVitQlmL1CGesNA8QH
5BcMae/Zx5lh6IpfOVsNuUZt3ofCeo/1jDmrGh5qXvuJF0LnwqP1UDYAXGJCvTyc6m+A99s0hBVJ
DqQdQHUZImytJgBWtHxc6zVlejmhsShqbn+IgK7ZtGKBoJG07iO5VoW9QljlttWaSdGQo9+7n7D+
q7NpisZ05WEPBRZ+3usEVPI9MCJPXIECWrdPxLP29YBhfB15zwiyHbaeiWEkqCeEIFXwuwgHxHWU
tv3Kl7XMXMx+ckzJPxHucuX6hp9t331OFUE+q1ddZO1N+TAZnAuV6tK1mW+XmW8BC+lbY8cFn9f4
7EflDCXY4N43GphQHH9ZAbgBvCvpKzAtNFwIBc8IK89zqJGwq4avaImbPOq7rRlEteerPSTd4rtZ
Y2MiU9krBq4A+LDg7WyGJQePTJQ5Vv2wOmFq9RwwtiglGj0gq7rhSbyWa9qs5PtIGp3jIfd2ZWff
+0DH8h5dEuAA9Krg12DyV7JDrbnYgfTc4xAqA8wZMPGWLc6BEp0kHEKidudYC2IzePvUTizCUDqg
CTcUM1BPMRQVXOcWj4bMCh1ANdw1uWnmZdsq9FOlo/boRrZuM+1CYm0HpR+GXhwsM8Xor9uXpW+v
bOf5NLYV4FaLnNwRDr5+2M/JOEH2CM/5B1YGNy6D+2uMmWmObnhNXIfe1LXYLrifsl+LyUZDRCLM
iZwQzo1e3QJiCuQbPDv8TNWom2sCZ/sKM9rUbf0KRxV4HhWnbO/T6VjPYt4hfqYrMPV9mnh3W8G8
eGeTEXF/Y9g98iE4ajxyRzJ0RTTKXIu1PaCxlhnMEiDFXyjiNUj55NW9B0SP9KBX1zVAkWApNG9C
gB0MbpkCEAXyTk8LW1oM7TyYnZRziOkS0emqMVuii/GSuZV7t3eqRC0aR3Tv49CV56ZWBHNUGSEI
hAmsydVkMJU0Jw0HxnSGvnKzugzjRVjMpE1by4IJtpODthDdDaR7HRqvCFplIWS+h2HIqGAFBP1V
Ojs4qscxXrcaVhR5g8DmtNMemBJGcWczoFrJAkkYBibirkbq03NQwSpVjdCfcds5SsBjybSMMoNi
lqQxn+W2dBUGa553nhoNlGPxEAnukQ8WxgOwSeJs5ujqAdHA9XLQlYB7l8aaC4Nn2prvowNlwhCM
LeBn3KjLNTVtN8FGJAujmj/rzrcTWXfnxotPy6qwBZQQWkGZ/uHFKEJJVchRyg2mG/yJBe16isup
LLgZ8yjCdoTOoEXnLTZD2X/GIUzgJ/6itf99tOqycEo0JcyQz0gG4NCUjrttecRQr/frjja6xjW8
zjLHb2YuhyQe2sJ1eiu11gFT/tW/WSOM0ZpOvHhQXmS1BoIZ0hWeMJ74lA5opBEC0/noPtRujQdI
wtsnaBdedBa20esRt0GYLNs5FXLU+j44VKOWG0pnhGJP1i18PJ/GFfDUSHGr2EoTz7DbBRPpBVER
eS8wE2H91BQOV9jJJAhAl8Vso2BIWxWEAORbdmk1QSc5jwQhOAHwgEjat3FgBZlVOW8AM4HL1fqh
GivAesx+CAHtbTRD7OQ1FqqJo6Oe2FR4AQclYY6qzMQcg6rYNGnUB9vS+HsBWctYYl3AlGOD+fFJ
WfrMXGfGjEbdLIRufYmR/DS1SbV6j3ZlNoNHb1jHCwnRfUXUjruUJ8rYn1UUYijg58jp7hPiQ1Rr
x7qIhIuRG/hWZQQwX2Ez0EPDUotqXDKUlkm7DFebqXrLprnbrIH3NY+RLNqoDLMFxT5wxPVcRowk
ysdz7Ay0hgmfB06HD5Ad1BiunSc7MBtO5Cf4diSLR8yTF4g7E3sEmWil6rFaKMQ7UU83VHj3I5CX
eHRDjJSnO1CKNrhjT1bYRRjMziyNRhrnlQtukz8DuceGn9DYyucBmfWVT5A32goH8uhZZaEB7qyw
J6fVZMfAZCDkG1z2Leq6COqX9jk0k3v0qQRvJvKR4lY+QBYvUmDD1wE7eguvx4lI++EeBf8IwsiK
Qn0xfeLAAzapO7orqQ3CGwufGqDAmMUj5TFcMYIig8Q5JcEbixx7I6l3K0zjb1Tl62SJZwBo06WZ
ANBjDh7meo0wthVqPaCxJomeZe7S0j42QwS83/HWjQoQ7BlXrErRpj5JS+0IGzeV4XcRKMfSFgaM
sHJXTtFmKl2BGIP12CM8JY24PHrGuafQBCajUhuz8K01jED8wnGvyXtYey9+IE6isbetoQfkcRzq
2EDFox/8gebYX/ehsWHQxYHhcpot4fJUutXRbgBIlxFSXmFjyBLSzzsbPfhmxYqTcEoTXZzTBcsw
anZx23yUesi6XkU6gQTJTfoAv81xRAFlC3ZOcKt7O0OO5XXs1vEMNl5bu9yjyppWWebRgHkjwOFq
P66qKljtcERAzcGjX10nEwzTmTW6wdFQ5kjNw9T5aTD+u2EgXZgyrBOGsDwX2HYBtliXw/1G7wcx
wn7AOeLALEIHmVWNBXsxhICQay4S8nmABlyYGtGe2QsmMbabdC3oW7G5LJV8pI79HtV6M2n3uRrM
2e70xsysxZDmdfDiooIMq3HgL1OCk+gCFsTnTGTUvzgD38yL8wwHz90AGBFnMrhlcIJmzwNaLdRS
Zgv5P64A8rHtih0lqZ/jUTgINqPBFsNdzImCI0T8QP9BybF6+WTq/jTPZzjJfyowdMqBDAlF5QxD
h/nQWh5mPcNL7bDtMoUHARoIKpaUg3CUIA03lWx9MfV6EqGz5aTvMAtqLwhjJaAnY6v1a7vf+627
C60lsQktVISOlJZZH5ebsrUNxANxMVmoSmko7y2KnYJYHIIeVMzJuEyY4vnLjNkKQjPDmT8h/ApW
X1MJrg8eL6m/DJ4mJj9m5GI0NZDGGCUl7IZ8C65+HtvZ2LagvqhB9MzryU+QWVUg7Cgd/WDbW2GB
o5Vy1Nc3M8QFfrPxyw9wep5C5AwH8mBdiYXVOBbTiPREFb655ojInDMM1hISgXMYomQUJL7wBZwF
UZqHSYyPTVe+2rU6GuKcK2msTHR0SMN2aPfWYEASitkLV01GwAASJmQgZDhvKNFdzFdD2LKFsC5C
kZUKzC5NLXAUq4uQz0J2xwn+17IloPNwhoagsXeaYyI0rt6b1q6+RNhqVnpeZq/dItlApxjBgENE
hodybGP4uVW51vhTmyo0KYKN6ny+sufiWV0GueH1dQPxR5SGXpnYPYKZgPTgDnpeoUfIEutvvAXz
NHDBXYzke1DxDxezfw+RkFk/eWBjRtGNawJ75zVP3ADyh3B9S/HcjiLY9X5jw1GjNEfJ7Ry5H1sA
5AkL/dSMK4zpguDJJt2DsAxMqxH5iWcGpVPA9o4fVFk7e0uqrFhC3hKHKdH8i86YG7YtDoAmWLB5
MZoorXMdtxiYiDvXacOEOcHesOFQIyw6qUQRAPvH0dQgiPokphLOpeIUDQX2hxnEEw4v9TG8D21r
u/QiV378VfHxsW8bF3nz4NzOdeEOzb1XQ982gJqAAwRzVaaaMwdnFsS/63NnzRk3wSk24/tSme+1
a8ErJeiw10TFUC1xPgxg7HjUB7qPSLg2Cp84j3IghZktwW5sGYbe4zAOKcb2uSPNtkTZuUFv9Ngg
hBN/Sbck4LxDEraylJSicFDIJ5Nq2MaJpveOwGAJAyT8s8q7zmJ4YtZT58VPtBdgGS7lLfdacOnC
6iDbCWOaecXZwpcXvM6lo/UnZSy3J8JRMUPM55jqFQUzmEtumQzWWicAl0SmZgRmWHAgTxlDDzXY
NErCfpoS6eYm8C5LNKT1Gt6VfIDohaEKw8ywDr9KsVW82ftx/DSF1VGwvsIUD1BVrEE2AD+ysJf+
YAUKy6DWOzK9/cEcDSuCpmfA8EisR+N/hGC26dh6GrSXUyK+emLdYmw/ZAC7bv2pOVfemIfdS9O/
Bl13bKp9rF7LgZ6GSp+nqjyDPdBN/GoHDYJY5G8isAsGDJF01N8Ce6MEeCq8KmOZxcb7WEh8i7Jd
2s1Db6Mdd2Lx3gGwSEeoaevOoBvGcPCksBwUWvhuyoKAZ8786KBMX7rlkWj1rebl8xJSjOXsnUJ7
tWIGztf1m4z00wSczsAr0lqzECqMdGqfJzLkYNYxtEvn9ir2h22197RG9RksGV99ecI7oSj7RnoQ
bZxPceXZDSDbstNAWCrYiEQC0GsCB6NGHAdZN6K5CasnTO3v0PDb6N3joiz1H7GVj7MHL4PK4fBM
ic6r+ziBBGwoGTIa+9W2bvS95fK9NY2FCwZn31INKOGVHBmJTwOMgMHbd957Rs4RFUdRV1tnFYiX
RE3WIdIMQ6++sCUoqTy6wO6TpCSe6hRUdjBnpvhlYsv/JO3Mduy2mS38RAI0D7d7Vg92u+32dCPE
TqJ5nvX055MP/nhvtiDBdm4CpAPVJlksklWr1nopWzCUKBkDkg+GD0PVfpsGtu2kmC+BnL330847
SGXxAHwGOPkhsUzvEtkaey7Jp51S8C54pyvSX1nVPzdjyi2B23wmKbz2rVNhF2et5tXD8+2C3vND
j8Rjl3n3AaC/ExCHjjwr2AWi43wV7RT/WPrSzvNOdjiedK3zwdt2B+68FzSIT7bPoTWWFhAwDiiD
vRuaL43y1g+eK6jPdnmk/p133VMVWQ9OnR99P3grG8ohUx13CO1TkjF/fmGdxyDW95HcAq5+PxXN
hYvjly7PvgQ5DRCgZD5lnqPsVcl5T2k57nnGt++t5sHscnunNh0UkA0tlJ76aDifZB4zhQUIdByV
b+M0PYHk7XwF/Pz7Rq72cdS9Q3Ll4pc8w7X8lNe+sYd29Wza5hepL/uD0knPfmKfJVt9jAF0DJyG
7jDEj76efCmj7DDF+idz4uwrWvldPOX03PoHI8WXG5PKOIdGO+gfB9N60hFQhUKmzptDxOyYIMKc
bG/K1UGKYSCiN8Cr/yWBsg+4sdgc9TuSHYN/TIbojR+Xe3hWkwR8LCvW95zmdjRdJpzYi6weEFi6
Y7997UZS9r7yF6H8UjRlSxbH+jRB79pd0Gj/VqnpCeXZ73Fu/2323mVsIprF6D3tC/tzFjVvTHB6
FBtUk9uF8i5wOg43fzfWaECr1R6JYfk00aQaSpyehtl/mHzjY1bzv3hkQj3nC5KK5nHK1Q9JYZxy
qXgKTOkOsIk7llNytEoSYnXafZIMLbhX+6l+tC2ut9SL/QIQbhQCWlZzYDcoNs1MNSCrZFCGknGI
U3fIADHSJiDRu2L2ytvxX5TZyjyDitKsXDX1X2QteDcUxoPnyNmdY6efIq/9HKvGGy3tUlrvuU2k
Tv+pk0sLcID/BNGLvre7UT/2HlW/kEaVKoTesq+07IzVt0lTzI8dbgh2XXcAr9rPpVPHSKXT2x3q
XJhkODP2LURP3NxaN5nqpyTvZ1LO/CNzdA6D4dEwpX+QKysOcjfQnKOS9KIIfe8MNIHY2cFBKmVX
84SkqQSGNDDQ9i4yo/tyrE6FKZ+hDjg1Y/NPqDUz8bM0a/HqX7oKaFvslf9QVHgGQFIdzKD6lOdO
xnmvPRrcA38pG00tiyyxQ6edZVHB1Cli3lZs9JKppu9bdx2jepZB50ct+4plWk963+bVX5vRbs1U
QFdbib4h1xu5lKsPffSybmDuoLqpPM3jMCBQd0h6y6+kKErVLKu0DTnN/qmSkpv1pQa33Z2c6Jv3
vG5qKbF+bUpo5qLRu2z1AFMSyube356D1ONLXTGDG4ypr1tqhUEJ9eVEqrpCGbDUaBcI+zWuK9qx
l+81iI8VwDnhh/WRrU/iK5GKbDR8u+w9za1Drl2RM4Dx1tL3avElxHWj3LbYLFwE1q0u+gZCqRQr
eC1BanrrGx1S2oByHI3mCt4xNLLYw2HdwuKKXVkQSi5hV9T+AHrOTbp6548yuC/zrDcGQGPiYvl1
3dqravK8alfW5l9zXXihPpDTYaO5s8p4vVf1veTm8bs/MyI4oUNuvfFsjPTvUvoFo73e33n5Rul9
2QEtB0nruTvd1oXKvgP0CdSDRVl13OVvGrTG30l3JdmzDU9fXqCfdoQoJAX9IKWVrrlK5O15Vd4N
FV1NbeC/UVvtc+iX5/XZe42W+LFGPw0K8cjM9MAoE6aPLHasfmjIGOqHSHO1Ym9aF+fcbIkjLTv5
T4Pz36+cwuhjyYp7k5mMh3doh8KHolw2BjX/6Fcx8Gq1hI1k515OoeSHTxjvJy7vh6Nqn582WJa3
RiJsJjVBVECiGODqTflet2nKHLe0JRfcgTBgqDTSQikFu/ftZPEEVyYYcDRXVe6kyqXzxvT38ssE
xG59yha2KsB/ZE0Nyr3Kgmhe0tRgdzS3imWy6fRaHSrpKAcb8WfRDOkERdYtzUFF+XY8HSymCi12
upuUR0DsKaLrxybfOAEX1kVRHTq5qKqT1BBlURC112FFxwjc8zuEFPeqrLjr0zU7kOBgCkVleDTR
uFdtUXFYLfK2TDTOo0GfDhlM+oqdHGJ/a7qWRnJtRogGIfWgTqYOy14JwU3pOyOVf31FVIBKCtPF
ncEUebTlNprge+LxOybOeYByTT2Fxt70ptP6jC0M5caOEKbVIRrpx5jtpAfyMKq1cXYurMjN9wXP
6vMyoxlS0lyrst5VtdtGB0CyH9YHsWyEnC9KT0AGHSFYBpkTjnLNtcCuHoZ7qzyZ39cNLOwPRvHT
wDyLV8ERwIczqAXnc92zQeTokGt/mzWtrEm8sR5LlgzZBg+hKir5aeFAq9oArIvEhh9AN6bGY8FD
pKGBPTbrDUtLk3ZtSXBiABVNDzeP5kacZFH3b5K6aadvnGOv3UtXuPDKQDwMKBlE5J1a5Tna2ez5
Sj3o5ZNGjml9ZV6P4taAMAq4r8228zHQfZa7l+ZB1rfoPl7fOW8tCM6Va2lYRRExJa3DwxQ9ePGd
d2cG+i75a+QSuj6crfkSHM0uAW+30Nu7wyHbwim+PrQYCIxLOkHF0qDzuXXiylL8MLIYiJlT34kp
LURf6CvaH9aHsLgiV2ZmD7/eK9RSrTQkOPKsDfrTdF8Vz79hYT52ocGleV90qghNXHqCsCA5XyQS
AGo0HVJv60K0OA6IPWfZQPR9dSFy5bS8DErLUmSOPuwlRf2YyO0HW/62PpiFVVFlWVV1mfNXRTXs
droMH1BFjju5igbv4LPW7mPtu11dbG/DtV5HFvBiV4bEdakkO7LnrWiUj5m8y/v3fnJSrI/rw1m0
YsCXDOZCthzxrcTNqIko3Ovkiy9B6HrlpUSOLEw2tr0y7+vbk57RWLrGhdXSOCeFXZmluT/1PnZK
fScZj2P0Rpl4zNzDQ5I2h5DWwQz4WEszzvr4FqKBKtsQYelcZcCBCDc/n0xZ4sS57lpzF+8dVdKa
rgH5PJ4qaeO6vOCAN6aEo1lKrKA26Hxxw17+Z0jxPSS92cJ/aEbwc3No9bquMt2NegrkDgz21pPS
RRvet/BSY8F+TpwqIG9jry6CBkV5152Rtfu2dVM6/+6VLxL9pM4hkzYWamn2VGVW4ANt47yiAdJl
iuhDpuAg5b4h/QoH1QY9+KIF0JiKgdqwbooKWyNiWE4ORMYdHsb07iT7G2RyS1sJ3Oh/3xfOgiqa
iqhXh/ky6z11Pj10E5psrfVQWt7GUJaC0LUpIQiNKDQDKWQo+RuJCtRJUfczsfZWLm/LjBCCtBRk
hT31ID7pK8yi6lKrxouiqyeromG233oNzJ4rxoiZi9q2QO2ikCt4tu2UTjEFLZ6NCFZ69qNvpfI+
ApED3rL42tYb67VwdqtX5n486a8OvhjSUQ9AkO7aevXUV4eBxP968Fn0uPl9RjcH6OMfiNorCxkq
iaTlVd4d3WFENGNu4sw39s1C5oGKN4pLxoxxBnsi+ALYrb6g1EMT9btIPihg8d4Z7T8UaBQIQeCW
qdMNgsFFP+cGTc3UBCBtCyGVVnY76jObOyJUKmp6P0uvVUZ5ANvmrs/foiUT6QUd2jZkSYVDo/Rj
O9UqaDw7036gWr+nfeIStr1rNV/WLS2GO5iV/jMlbF6NIkPoVKHhSuohmO4N6S/9zn8KIkTsmo35
W9xVV6aEBYsNc0T+T9Ldopvc2IHU33a7+RDEJv9lfWBL559qmmCeHK7Wlsj2CoQVOhYnM2Cg2lG4
i7JTWz4r0kGDQcL6a93WvD9f7d8rW/Md4MrdHaWXECJEGFZpPyGDfkioRFS1+l2OJyqsORVJKQMv
d/wzq4KTJImc8l1G6P9lRA+ldLSMo0RaeQ+XvOJsxIzFtbOQ6jJt0BmUBW6HqGeeEYxtZbikfPO3
PSil9ljC3rE+pB+3oVcz+dOM2PYyeQX1azs3XPq/Q1jGdpUDwvNdW97LB9P6J2+3BIwXl+7KoPCM
DW3ECylGMS7/5HgvIxC7FMqqlzHYSPZtGRJ8ZFRUwJJqabiARuMTwETNONblfdS6Fh2rdbjhksvr
xZtAnaWRdDEtI8lOSOMcPZ61ejcUH5zkCPbMkN319dqyItz81EpLJU+PDBdw0p0SP9jFmzg72BBf
rNtZPLHQTvjfaATva6miJCWoRpc+YvVuLDcC03IQnAt35PllBQe/9e7UkcFp5MTbKYCZQm4D2GW6
8WNQ2Dpi0MEB8vdTPIFvzmbyrkHTaleX8o1BLk/mzx8hXDrMcXTKPsAVgwl6hLQ+N80nX30aleZo
oRq3PqNbxua/X4WsyhmkKa9Sg1rb0Q/+UZpkVzfdG7kujnrRbFQ/FmPx1fQKblIbpOlH0tBu2n6N
++SNZryFaahkJh3tPNhblM3zar0OIj8nUvCWOkqzKIHgy9Ud7w2t71AO3nflVrpl0Sd5PcIiL+s8
V4VBZZEB53zszKifs56D5tuIhYsrdPV9YRShNpppwrHttsdDV1++tTXVlHUnWLxm2BpanFzRZmUw
wQnsUCqszONA9mj+KMZLXV8AnZ3zaNxwtx89Uq/W5MqUEP6yYNThFOPsp5kj0I/NeBplFBdpaUgP
41QcDZpWlPHSA/OO9uGn9XEuOgTXUJQ9LST3NOGkzElW+aNPMAT/7u+T5j5SPq9bWHIGTWYIpsnj
kZrB7Uymjl8GjekbbqXsodFxfrmqR2O0ZVp8fH4iiBWJQKtDZaC1CRbAXZo9QTiS3IPhqrZUKBaH
cWVH8Gmpy4xIo9/LnaaJPpxd3RUbQW7RAvUO+LLIHNvmvFRXccfWIq1y5oqE3mhf5LGOdoE9bOyc
peXWrmwIgVRPu6LKIE9ygx5oywSflBa8gXl8w8zS7tFsKAV0hqOoold1gVyX5UBFQvWeAK4oyje9
dAuopH7Dta7MzDN6NWO9XIOQtefCB1STMbdLu6wPv2PCkk2HahZvGyEO1DFo06qj9hH4XrTjoX+E
Nvb9n9kQAoA3Zr42gcl0Jxqnm/RYAA5bt7C07MBvHPYHlchXgrJBJWv0+5EfKscWGJi9g8U13YiY
S0GZRlu8y3ZAzIrXKq8pVDs0aQW1wfiE35F5eBzJsHPgnADZ/8ZeuTYm7MZ0jMNeobPDtVAJVZ3q
yVenjZN5cc54Yiog9pg58eIT09ETTvTUuA49nqrzr2/Qltl9XF+Y+XeKsX9W+P1RUJUtMdVawh9J
RrAxaSQ5K9WlRda+dIPivYXo+cZ4Fm9y17aEvU/RrbRtu6LN4xB8p5weFfATHbL8oGvPRfYyyFt5
1qWAdm1w9pir7ekbjmn1Hgb7/BQ1O7C065O3+P35eW4adHKTHrr9ftBaCPuWiel68JHH9iHsy9Of
WRB2ZidFbT3qkenCWDlDRLnu5tD3rBtZ9IGrYQhHcKJrAa2BGGkgt7DmLth/JgBsnrWl/LgUlW2N
1iHV+FHJE05iK/RTM5GlOXVC85f2LW/jvTp+Xx/NhhExg1aodZGatMi45ggFSQLa31BLt+lgBg39
l3VbS1sU2B9QAUPRZi7/WwcolDGhy5V+CGP85BvDW9OzHnMYmtatLLoZ5TbHBvPHCSC4MYwWlUkf
q+EioLTbUmZdHMLVx4VA1sktWe6iM9yh0WCzRqQXmBXsERsn5ZYZYelpV9SsaGIMtlzAUZqCFKdB
odtNo73xmF/05p8DEmsERdMAIk0aww2fSZvl/u4vE2w4DGpb4qFL5w01dhPqIsMk1Slsm1omTzs2
ZA3SSjnqsX/q9H+jwEQFByB2129EgnmCXgXqK2uzk1zFspb2NbqaC57ZxqlM39PvaAPq6mhXRNR2
Y7EWHW5Oz5EQhCNCzM9Z1ghHWM8UFhNEWAGdO766sUrLw/lpQghsSh8acZy3vOqVeM919NnQmr01
vUz+ZzOVaKQwT368kXdZ9MGrYQkLBkuMPnXmvI+goNsp7alRNxZpa+KERSoSLzTlgc1U0bIMB19b
5L9jwZppOzRZc+BBunUDM/K02Gxlw2278FSiZoVAJv36vxFwyG9bINPmx6cQcDKr1Aradw23nBtD
ymZ4Pzbxed3G8m3gyogQeBJ5NKQK0DaFlfo0ZfmdmfXvkWYOL54dFMe0jEJ6auS38FfabiQb96VJ
M/H6j1hcrxnxye0KVLh4xXKmpAPnMOARfXboBqh/SQr/mYn5uLrat1Dya7Ex9kSJ5+pvGGfXv77o
0lcDEFYqQixV6iW+Hthzfx3tOZ4Bq+YWQGYxpl6ZEdbKGcIgl8aRTKxaPKQ0cVX+rgi8s6/9XVXh
22QcN8LD4sLY8yNU+fHsEW5WGfHdNqs59Ws3FAf685hrn39j6q5MCBGIrpPa8T2ybI31rwPfdDC+
yKjXrBtZPCOujAghBw7/Xu4s0l2ho+2tUaclZYKsm/R5r59zpTusm1t0B0qVKpgCXkIiBHOQUNZW
a44k07efpu5vr3/TqO37dSNLawNZkqnONWsZKqFbj9YpHjaq0ppuktGL/87IN8L0krNdfV8Tivyo
ItXwVHamKw2n1KQ7B/Z3mkAPaXiWzA0/W5qwa1uCn1V+3PPmZSyPCbwmd6P6G/uTMMpjlIev/aph
owNH3DZyb7qjGr6FsnvX55NL69T6iswxRLwbXFsRtmdlO40cGhMzBkb+pMaQXj5UEDisW1nyZYdq
rswTm24FMY/WNZbl5Z3JWI65+hiFR+hZspOVbb0SFtef1hMwOXNOTcRFNyqgiExi/c3hmKBYEB58
KvsxTTUHy/+4PqZlW7yvNU3jDSc+f6suMqbBGnkhhm7nvQ2fm+ahG7OD+ibpt16jC6vEbUoFgU3p
XSWC3e4bY6obidOAfWPGu6cAXhb90G7l8BYWSQPCCnkYOlm8SEUjRk2uMrVNt/sbpiuykLTJ31e9
seELCzHgxozgcVBuBeo0YcYwjt3cY5sqz+srs7AzNdmQAbA6Orlh8WguLChSC98x3Zp2XoW2Xr07
SbXxW1ZQnIL9zoJeTbtdk7JTo7iPsGJO46Vw3sAkddziIF2cKyCA/7Mx//3qBjCzN5XEa57XSfAt
hmDLqZV365O1ZWKezCsTkl+1XR95phsHdxYN0m0WbqBGFp33ahDz368sTK1iIAo4TxQN2RA0SNEz
PIenvDysj2R52X9OluC/sYz6YBRix0b6qP33O4W/jQvZ8kgsYGSsOdSwQshvR7nyfVM1Xb9Heq9X
95JmnFBUOBnF1/WxLK/KT0vCDWNsR3SrIt10o/GpgYHhN7LPPxoIqGrMFHjiQTxo9IIqvE3d7sN4
+I3M0/XHxVM44LnZVzVe+/j1dwKhAsoJqkNH5/EsbDpZoTFNHUvTHVRlj8JH53/u0PL59cm/NiLs
usGOnQj2OHJzL/aIPJK7/vmFg4Mg/nMMwo7zAqUdyobPo0ATfTTK9yZ1H9qMS888oML9G+H22pqw
+xrPKpukxhq0CUm8p1q2PpolbAfDgf9SBtmNxwp3OtPzJg1mE7Z3/gAlfVqcGr3ZoZ1l2ncGuZom
+KfpLutGl44q7qhUzn6QqYqvTD2MitTRFM5e+a4wY6Qx0CPoDlHqb7jC0lNzvg3/Z0k4rTq18ydj
GLm5JM0ltKa/aNP97NvSRwfBLE3/WBjSm9rvTlmUnlt9CzC2FNLoJ6EWPavkgTi/DZ2WaiSDp3LH
hL+8skAcDcoHvQz/XZ/NLSuCv4dqmylBPZiuk8D63qDrbhjnFv3WPzMj+H0beBYkFlxoq3pP+yJy
LyfbCo+/YYREJ63asolPCiHapIoTSCQ93XgCi4BwEYhpeAZh0/gzO0KAjlFNKsea4oekpTOzz75T
7mjJXzcybx3hco4Tz/zmoNmpcQgn2hgVWtF5BYMpoR24S+J3g/7Vbg50zpfxVlZl6ci5NiZ4OjmV
KoHxEV+r4scx/IKG6Xl9OIu79mo4QqSoLL9Q8pxI4XFnfupQNnFbawt3vTgMG+SDMxNuA+i83TJK
ZmpJleNlw27/92/8fpt+OINWiddK1IFuKmiyEwsANoT2Ay1+tXlXboS2eZrFNaeEzjP8x0tJbC4Z
mriGzNQiqe5Bz5WX8nsVZZedNzMHmZV3VrL+38Ivvq0PbWnW9BlxS+Wby794948R2NZQLDBcqz7K
6WGa3q5//7Vks81V/MqA4F3c/2IjTSfD1QLtCc53hKcQZOGm/h0eWTh6KL32geJy5PcHLg8BZEre
CfT0m9yDqX0syd/1Qf9x/Vct3ed0k4uEMve30vF26yvJoBgQm1BUktCPPRYZYi6O8jbscpjH9NLZ
CE2LK0u7ENRrqsE7WPBMq1NCvZFCTmLLfpsnDmx46CqhEAPUeDA+QgT1l2dOX9aHuLTn9J9GReSl
HdRNoGnUGWHpLna9Ol6ckld+50PbHM0EU3kHKf26zaWBzlzTOjdIHsZibdMZDCSqIGtxNWRe5Ki5
SIa/67TvafEyOTE8htph3eDiHQSMgK1QdDDJOwuB0m9jOac4BAoTbi94LlybpLAB87LZWu/lnrok
NF4QOl/kGix03u67/Hks2o25XtpEFPbVOV8jm6+Q64njJTDFkRJO5RRqZ0gG+w/rA11yWC4D9P7A
40FRTzhCu0zxtS4Crlt30PapKBJOT/CyeGH26+Vp7drQ/EOu3mymZqRmlZENLFrjgirMndye1oey
eLMyUO2QgXJbuKiw+WQfSplcnnHO2fQ4FuhO0r3eSwgaRY9NDx6z8Fi/ejo73UMQbclBzDMlhNnZ
tkNRlKcpdythgMgbOqhKsS/aQ6AeB7h1t3AeC1vvxoRwRSjiYOpodzfdVj7Kj8XwZCdvx2YPDeP6
TKoLXmGAJLKQG6cWQdrrdixNRb0HKlDOpbR7Hko7d+HLMc8KQkHwxxUXa0SS2EGVJ7Btep6gJd3X
w/CSQoZ3xmUvGRxxUeurZ9nuvrUzfRzMa/AmwihnzspMQw/b9kw2F860c8o0vjgzER176bI+ksWB
zKBLMoQAccTAYfd9l2U+r9LqvkFkcjr4zcZcLYQmg1L4fxaENRkMc8gqKAbpVTB3qITtBwnequ6S
Ki/OWB98BCTXhzQHddHPrg0Ka2NkEiLRtNG5jYPu9XiESkyDfxJx5HQfgE3fAMpszeAcoq72bVFL
Mcy6c95A+ytFPxjhwWPWB5cGavD1gS1bsuAUorJsKmLIhaLcIMSxgQrJ+1T5qKDL/mGShi9Wl/x6
1GPRfpqaF/VqUGXd2J3TsZFqGtAiA7bH0j8VXXPI83RjVK/DgkkXrMpFBRGa1wnkMjQiM5Ro+VCB
M7WwSHYp4m/n9ambF+HWJzCiwQsz8yswMiH26Fblhc5AhWpuIbkz/vDrgouXIdwUpsbXJ+Vg7cut
zNHrqMaPd3QLEYpZikJEek5l0+tGSz1vcly7fUa6GzS2vQUteb1tbq3M3ne15Oyooi4zrovObvLg
xHTO+vAJ7mjFez9ugHAXlpzR0KIJDItlFx05Lb2s0Dwq1nr0sfhaoOb29/pyL4CkTd0ybHPeKky+
2MmtKg06zZVnwG4SHdEKHdpHKbtAjdmGX4f+q2F+8JX7vjxH6qd1y6/3KIYpxDM+kxyQmAhn/uRG
4We5rfLYocgc7CDCM3+94HprRVirvm0zur6w4u7e/dnvn33xygtMX6uHuLdB/iQ+HHazWIKdHhLZ
OTbmr5cmb0chBJkO3vp68lkk41v4Ekobx8DWSsz+fjWSPO+ymhcFL41jbD0oxRmBxSz8uD5dC62T
8xgcCt+gveZ/31qRE6u30C3lAhqgITLA6QumPTzGM81vN9P5NRLU55o+5hdZh7vM90zJXf8NC7Ft
ZsyzuYfw/uapc/sT0K4MpqbjkWN54zMqd4hVw5m4buP1IU5B5MqGsFRjYFMBCwLTDWda42QmOB5n
quOynk6tNVXIHg/GzmnIeK4bXuj6Z/dyO+H+YNszhvd2dKAp2y4IZxTiTLNcw7fczcTL3UzBXMsJ
+8uAKSvrOd/bdHKOpHWlPYSPd5OWjxtP6qWZJjOI7I/CRfZVlSuTAslrJhIFBYzQsfJMxD6vD3ch
CBMWf1oQNnYdtVI8tlhIKNX30FbDmt0MX5Og2ueaeSoHOG7RiV43ujAsfIdmcIqENBOIwTJB0yA1
xtnoTH7dwoINl/zWU3zRCOw23DM5iR3x9j84Rdc2HrBVOai4x8Lag9b9+jgWnNQgsUDUJbeACKPw
VGsSI4SzA1cJEu5enTrGd1WElH2ZBA9FOCFn6iSI9/z69ruxKiwZD23byBKimA7Hb1vEBw9g7vrA
FrwCCJmC1pQBiOwV7YBPDimyVHZ4OX2QSjz7UiOl2R1K+4sawkKwBWFd2nQ4IUQbOowe0CkIUU3T
y4LeURbLQo34vSHv4DfW4f3cDcXeU1Ft+cTTrfI3/HDhWsADWKYpVjFkuFHmabiK2KnhJ4Ov+dxv
vV1XHeX2IJnv12dyeWQ/bYiFsqTR+nDwmcr8bGkXhFVSHxWfe+QIo0/akw4LdDNsrN7GsGZxseth
lYMZ0xhL7Mx4bLfNOSz6g1ZvwcKX9tfV5GnCHbQJddWPZCYPQt/H1Pk3532wPncLByrLQx2Qiw0b
WGyd0sMgCvIyxoJ2UhOY993wrkClbt3KQmLJvDEjHDVchIssqFmht2O4l5ITct3Fh0D9Eman/Nfj
+Y0pweF6knS65ePmNi3fDbf3jZLyorfhyjRnAVagfC0czbaTKqXekwoE0+ycS/WMClMRneisifeZ
eirRdXYOUfe8PoVLrnBtVZhBxyclZgVYzbJd+l46rH99yQ2uvy5MWlI7oe8MuEE0OB9a5RwrwV9W
nj6DzXxZt7SQr6Lx4Of06QK2LO2aoQ9iBqJEJ905nmRnLx+nCdWgL9HGvXdxzkjvwTBF1Ydq1u0m
TXUPzJcyX6LQulDhxjbkaCMOzIstvEHnayJcHpRsFdJQtyaCLkvSYD6eJFh3ktwfjiESHJ4OCXyJ
KIfjb9FZLRwbQLKAgHEUGjbZ4VuDgP4KVc8xaDiHPoczPnriwhKP0c40fn36rk2JbRxAHKUmGDkE
zfFR57wI1WnD7RYOd3gqZRPkL22n0E3dDsYxi1TNU+JbhJTRgJhHNL0JOlT60D8Z0vAUbdYbF9YL
ixbQNmRZZPg0bi2STi8Sp2NMRNWdhDK0j2zXxQsfzC2SnKVXxI2p2TuvTr46Q2LDn3h1RQjVp7sh
+9IhGpNfaLfuy3e58Zw6G3treTp/Dm4+tK4sdlEjJfaPd8tRU5674k2K9urH9f27NYHCzaivVS3x
ffyvRB+kQCyl+B5Up/qybmVh586EmQYtHeRjbfH2WsRhkqMEA2i3TGCq+aSmWyj+hQP82oIhhCHN
r9OhmceRKxdo3Cv5Eg3H9UEsTZWu0pwEEJgMvVhlqJsUBoiGQQCjr8x6Zz2i/Y7WAIqf64aWx/LT
kLAmctZEqpdiyIfC1Dmkn21zIxQsWjB4hyqyTewWrwmFHEWRo7Nt/FDfK2DoO/SOZKfbmLGFY4gU
C3gDHi1Qy4o9w1Zcd8gzMpBAfqNlxSVq9Qc5zo69kW2gjhfCKBpn1LpkneI2lZPbrVL5iNAEOZHH
gW0/efDxZbRwtOCsHxXERpyt43tpa17bm/9+tTUts0oq+ot58U7ZJ7ONH63E2sPaQQ62eAmpF39Z
d4mlmby2JxwTEvqMhVXP55IUHyobSHLRHmwFeXDvrz+xBOT1dmSNWdidYuIajmXuUy1CbuVFS8tj
Uv76DQgCR8OA0Zw0IGfgraGsmFQjdOYhVRyuQ7+foo3jaHHSriwI1201axNKbDhFyjyhYGQP6MRV
+2zLzRedAS8HW0u69BXtNHduhZNhdgb90Xae6x6Blu86QqDtTqc8tL4+i+cQ3XH/WRNcr3cKn/TC
fOQF++xTLl1qdMm+JMOHcqsWuTh/V5YEp0PaTavbFEvJ9I/hpQe5/Ep8P5AZ3hjTUji6GpJ4h5xI
MqalNccJhAOQkxm6t2SUfscbuOUDgIa7m+7SW38btbD0yA+SBURoDiDrftBtV9Hqg6G8X1+ipdOO
/nJuI/SxktsW5o2k26AOqUUibqo/kkY/plZ//g0TPPKQyEUk9xVpbF9Okle21H5CKo66eVfT37Vu
Ycmp52fk/yzMznEV4QZoPD1rANTLe39nVN0xi+8TBNaq3t5Y/SU3u7Ykxm4PpussYiwprHl6v3f0
97V1117Wx7NQDgateDUgYd/oel4EM6bMpcUr34+linRKMasmkg0bd55tHnCQh8IM7uSmuCCm8mJV
EerIYesGavtWy9L0TPcRyppepVymuLnzlPp9V+jGyYPq8Fzr8X1tBd/NsPV3oe/fZ179jI5QuOHH
S9eQ63EI3hXY1VAoPQujVMNnRCu/Gbp3p7NA8bxQhr7x/l7am7BLGIBIVLokRWixJYV1ZvY4M7pV
5+KrDllOPT2vr82iDTKbtFhxdr/KO/IAQtGu9C1eJkOFNFGMnnWPRmqKiNSfWVJvvbpUJb2Uciyp
yU495t1u6wG5uG2uhiJEmd7WGlNBD9st5a/xnT7u0Hf9GI/jG0mq91GVboxn6fkN/w685KwOcFgR
PeUH6LVbSDi7vT64sQdySfqhHNqhfpnW0YORKECbpuNgxA4aAqj2Ntn4sj6pi/Hu528QwVROO3i+
mvAbNLqxwt1GNF3096uvC/eEfk4wQDpguUNcf4rmEaTt+Kz448coQ115wFvWh7MYjyC8tAFv2+Yr
jv+wQ7mwKW2aAML0ApHSvtIRo2qaWX7QXTe1NHM0FHAzhueIrLiwlxtt8LrUIaMRIoB8NLX9b3xe
0xkG9J28yIXI2lZxaQElJbnQ7saKfO1p/ftL+5ZD7r/vCyHVs6jmyHPWVHHah7obT2yvkxLKv16K
trjd05IxozC5Bt9u2qqoW3T8yGYZ/UfJKHaydwhlbWMnLY4FwAYPVP55xV5e2ikS2jodf7ohXSr9
Ta5bKMZu7JSl6IBayH9GhPAT9WnVWC3okAB4dAZCHyYd2L93Vlm+zZqnDPb331ihK4NCOFJ6xaJh
lsPC5JDgORl3nxqzfl43snglvR7W7OZXd4U0tFvJGxgW5dy3IeNJo5Nsf+pL80KF4kPqh3vLq3Zp
s7FTl/LQvCsBq9GgOxd4BAd38iZHwpRFc3LvPpnUf8ba/tsu4/uqc6ZTGfVQ1PT62zb+isQJSYEG
xQZfV3ZePGYbe2Epalz/FGEv1ACQvagaTFcdv8aJFNBl16CN6SV3Xixt2FoMG1fDFsIGfMNhq8TY
Kj5rDRjSLSWqje+LhB8d6ou2b/L9oNvBMNz5G1nWjbkSS1d2345t0rJsWtEcFbV90fN3rSYjrJof
1l1zeVf/5yCqsOEMuYSzsB+ZqblLMN9p52xqN/bY4mxxWPAkM8GginCSyUnayBvoRulqRNb+7YeN
7bU4W1ffn/9+tbsKqVekMuT7dnJGszeiR0RTTkq/cVgsTtWVGWEvTW1klT54evKbqOY+PW53DS1O
1Ewm/SNB/AqHMVZ954w+gEy//i4Bu+iqLZ7Pxfh6ZUFY7gFp3ywMcVyPfdfMG1BqzJBahPkBGqaP
ZdOkd8qYJb/jZVdmhSibBtxKtLKkG0q5k838aEDwEhhffsOVr4zMs3vtBjNeystqQnlrfWiT8aPT
2MEZdeqtO/LWMs2OcmWoKeNQ0SYMtWp0HjPjQ2Drx/WxLBXdaOHXIGHjRfGai9OXq6nJLI50RZlO
tVw71U6bR9LoFiE6q+5KPXwizA1QZ2nh0Vf8+ylKLvLG1lrw+ZufIfiLbY1SbqNX62YEOv8BphRl
AzG+cHu9sSC4hpfnxRBnGaHUjf/tjO+Z8dFGp1D6xYSupYJXoy42s7MShMT2mCjUpKmtRsvtXOMi
n7qX9fUS50n8vDBPkpwqEO/0PJuysyW9NfV/wi06q1cvGdGGMFOBUVdyq2FDqi7ZcIKqwFAPuATP
np3qn/9sQMJmIntSREaAsSj60vrPtfoi9RuHnBiL/n88lDvAVcusiXBIg6iM1K6rLNcpg2NR3fXW
eGio9iaoIPf2ZRw22z3m1Ox18VKwKNZAJiUro9rOrJmNqRiiz2GNZPyb/yPvy5Yjx7Ukf6Ws3plN
gAvItu42Gy6xKSSFdqVeaFpJcAG4ACTBrx9nVlVXpm7dm3N75mFmuqxelFIsjAABP378uLciMvAV
EY1/TSG2ttub/8pH+Z/X6X2qz2oy+VZudajPPCuG4KBuKmQY/2TD+OsF+OeLfFqARI4K/i54kUGa
bWfxeJx3gfuTe/Xzxvf58/u0AqXSlaYdvjEPwwiGvQXVT+7Sz5vB5xf4tOrsJeyrpRtQrJOvyn7w
kPBF+A1YCN7/5LD4yeLz1s/zuz0cabmihakA2+vFbEcL4Rrellt3qioeBxrRzPvJ9/MNSP2jtfcJ
pPSdYZMaW7Yvsqh7th67axeZrHcNwqWT/7319gmn5DQH5l+XgmrcS1MvDzwf3rvR/Ky2+Nnd9AnQ
L2MT9N6CKxqDYq+CPp3Emd+fyp2f6zPDva1FNz8zAfkM9T4vkE97hiZGd42Fr21Ut457bjebsdou
7k/SDX5yM/nrlX+3OIjNh8UrcWWZzpKgPPnESYqfLIif3EufNbdcFoEc1iuxg8WPnaKxY9hPxf94
KXwrFD6vOrT7MAKOsVYMKn5aCzWCvNF2xg3VNWTrdGsNmJ9NSEgN4Zo/Gu/r6L4wUg6HpRwg5kFO
ky0GCACLpAlHhVgl2kWLno4a7xSDlCXUenXc5c3GGsefdCj/6kP//q1+Wk68wBCxKke2z4tmW0to
kMVlnY0/OXT+agF9/yqfFlBXmBpsmWL7gHc7L2eHgdoHuN3uuvG/sIi+e6XPNSIXTqPgM4eletmc
6vgnO+VPruNzhUiHoPK8Ec8OBnWw4f5Y6U3tXbNp/49X0F+/zpqCGMI74296+oUVOnNYLrgKWLTD
NftSxa79k1X6l988OB9QikhF+1sX5Q7zY0ODY7nff/0Zw/eX7/+75/60qjBbyTzbarDP11E1p9Qg
njr1pp8cjD97lU+rqgT7avoRVzAcVHvp2ZghTayv376Jf3md/zV/l6ff7trhP/4NP79KxNDzvFCf
fvyPW9ng/39bH/Off/MfP/6Ih/z+lMmzev7hh1QorsyVfu/N9fuga/XtxfDi61/+r/7yl/dvz3Jr
2vd///X5reEi4YPq+av69fdf7d/+/VfYWq3uE/ic/uX7F/n9Ly6eGzx4tTf45bZ4bv/6ge/Pg/r2
RF8wEIwMcxhmQz+8Chem9z9+g74epJQU3aN1Av3XX4TsVbE+6MuaE/6tw4g1BTvrX38ZpP79VwTe
TgRmVQhBRknw6x/v74dv4M9v5Behm5PkQg3//isSbX9AlFDqQJDmeNBv4BkhKg0/La82DHhLUFrs
6hb9mIUtBx0UiqWiGVgahl29WWASknA60qMlNVCmoeVuqseqilHVzZsMrGpkFyj2xQJVdGAgD2zC
mu4nrNYuQ2xnr0iaBfpJlVmztwiQapFRFo8ivKCtA6vhEgy8pZ0wmTVsOOzcO2h4wx1816m3sFiZ
Y1Y3GZLDlJN6gl60eb1zRsTplCF9JH0gDznt+f2k834DU2bnisqaR8ESim0m3C3vqZXYDO4R3sTP
w3FWZ5PH/esqqC9YPuebqRn82ApGmEVDAajyLYY8kZHNqxDB5p4QRdSVY/9QEJanAzUW3wQETxwP
dd0f+nYad60OIML0LL2QyJXVHEZG0GAzGzHRFKPvxZ4XDYx1iUUg4dbcHKTTv9XD4G6hfLvV1JIb
12oe+GJfdtSQlOXTU08NFDt9Zq0DFl00ukGy9MrJo06So8MXID68eVZY2zIfxrhECs9EsoPqpoM0
xY6M5qtUddL1hYmKnJYRYXg+qs4VHeDt459ZUwFz9CH7mDMb1qHmCKMCEi1LXyE3MrsOQ35p1z2a
6bAI0M3oADAb5FMH4lHIASW7hJIkRl6T3IzoPZ3ycWovMc1Y3sHfu0gQMZAlzizndDazd6d1M6Xj
KHuDMVBdH6E7wKfiV2XUs+zWcYJXWjQ6KU0QJiGGn84q7tUXpVyKSCBZOporzT8yy8d8CR/ciFSu
jrOiKjfVXFd5hP6RE8En3YLC1zvvS8mvMpgZ7f2S8LMKcGC/dF5zQlOdXTB7UTeWpGMEN3o7MU2F
73Um9hF+ATwR4C1uZdiNm8brl62QtD9gIqOCdhOW2EZ6N6ylm6w472oBn9+Mn6B6M+dT79oXZb6u
7pbm03aAXGjDZwpLcGS3JBXrX1Uv/K3XgSbvuzllQXlnAvYc8CGLSux1McyKHqTrjUlGrQC6kuqa
IuaW89QKrOXUWjVP7Yo9Z1kYRkJTcPBe48R5GXrbxXOrqC37R4gi9KashuBByMqqIx6MUP25cpjD
pJ0lv0Ubz0G7C5HWbU2COMdiRZI2INbXPM/s3874f2rHP+evvRzkh/pxl//xmPh/51ywEP+HSSgE
+uKI/PtHw+5Z/7LlzyL//mj44bF/ng4Q5/nrVCn6Xggj+/50QMcX45MYbPttyun3wyH8AiiMFDgI
++g6BLAaMP5+OIRfvimM4TgJ1g17Gli5f+Z0oGs9/Cf6Xk8H9JshiMQoJfx44C75Yx1hDyq0MQg1
QXCJ+3+qg7OWUJnowLuwWpfHVYmpr4WVV6FXwVCgusqh4N4MFX2nSsqELeWurzITjRl7siHgi/N+
vhLSgT9WpSPkVneRM7VI9Xabx7LJnETRKm0ZAoxzN98hoHeT2e0dK33v4DrzafCw/VnFfFno+UQK
PUStGufYRaBlwyDKQqIgiWxYB8dssFnMtH3tz7yNLCaLeAm7mcKY2enV2cLCZKkbMcWeyc2LyhER
gvaXm+J76q/LkL21OYE8IXMLdBS06bH1dltsP+xoZHnklXU39nWaC/PWKTit0lAe4fAhU9/qD5yF
L10730/B4kRZ3raRod2WttMTd+VezFmAj8wr007bw7uDoOP70SzivBhVHQcu4oJmz3Q7VVsS2oKG
nIxveTvuhOOjCfQWxlhPLdFjXNft+dxmz50LV56qFBc4K4p1Y7yQo1w/6SLBtLWzC233MAwTUl/H
7dL169OjYhjyip1MDWUrLS0WOZ11YrnfbZyF1AkiFKukqOanojNfeaebCNNVOrFrjuAJVeddVBS1
2CCur017ZUjk57559qb51WTwVHYzmGbUgp377VLeNCMnifbqqk4czvsoxxz6R7nM/NogtDjGvEa/
H2ZLIY8U5Lrn4LzNtElxrxx9r9jQwUonq9kNmXvn1vqU2WI/N/oEAxs4Ks6miTxrwiHbvXBbf8ix
7yIqadpIeNePwYjjtiiwkZJIgWCKfNK0cVm5H6ak7247hrFL8am1Dp+2ayhRjDQCb+dVlD21Yeke
ZWHytCHFBrbLy8H2Wjvy6+JODguJjeX1SdkH7o4vY9qUEofw0D05OdTD1TSrtDPYWxeyqLNicbx1
md5Ak8sOboMStahZm5S1+5ApVKaQrVwp7cbaRWANXl7F81Sf3Kppotb4d6IfdjAdcJPJ1VVUOTgX
unm5sE1mJ4Ucnq3K2hJWwu/LtdLGLd9hAFrAN3c6erLbCMLmtHDrr10/YYll0E9Xy4zytFuizsMc
FLNvWLlBwmli8ynmHmJ7Cx+6KYu1DMBDf/z/Xgh4NnbGv7/b/w/xt5v9twLi2+P+3OmhjkeeDyYZ
YOIYAIn/UQe4X2DNDetehpQPtPJBfX5XB2CiA8w/IaupEMODvqsDoKtdqWc4THkoV/6ZrZ54K9D/
YavHiYbeAuw9gwAzjvZaIX5HGbnGM2RoGrMb0XTak7Z3r8tGt9E8dsxEjCMfsxrnNglYbyFIqwl3
QPHWqeZ5n8iqLGOsaqJiYGzlJtZcuCLu0dcE2GHluFv87N7Ki69Q723mrm4OQ/9bQ2hIJtvPIkgy
XNycAC9kUo84KSv4M1X+lureicvFE8Cd4B0J8E9IerSLQkAi7c1fs6UMwetYY1IBPjl+q+JwRVRm
zJ4DQCwkWqVwgMEA/Yq+SsAwa8VjPijtSK0YrVvRWvUNuM0rhkNZaM7rFdf1AHiNe3RKslkA+2Sp
u72XDRXcN4AJxYoO2xUn9kGjbvmKHdWKIpcVT84rssxbYMxgRZv9ijvtFYHWKxZlKyrNmhrqEL3w
qwmQNVyx67yi2GqCugynHLAtXVHuuOJdnWErqQHJkZYBC+lqxcX1ipCzb1h5Rc207TVSgYLXIXCq
CHD3xl0xNjwr6uP0DXiPKwY3KxpfjEbzZWZZYlv1EpGCufdu7TcIS2lxhAZjgS+6tLp3Ueqbwc5U
4nviAuC9OgSNR1PPQbxSlXtyWzroCfC+oRejN5dpVvv5tnVLmUxOcQzsar8IDKz2ChHGbek6l2Cq
HJmYoZM4EZtnx3obnOkGAyr9LtRDk2YjdnI/b/v3alGMfLS+a94N89UTtsgsiKt+KRaEEzprQlUQ
csi2SgaHBMX3sHFj7wLxi0eUPGhxs0Ed6dRiMeiW2JfUmhb3PkdPwWKK+shIaLJ0dKrwUhDzDtQQ
W3OAgdeggcj7/9SG9wMPsn2XK7EwfEbKP7Al/zfRIwy88t/fFY/PzS8rRfI9BP6NVlkf98euGHyB
Ce+3zAIHxaGPbeePXZF9oZjYRAQhup7ofH7HjtAvEETbq9Eh1Bgw08fm/MeuSL7A/Zraqw8mWs+Q
bPwzuyL0Z593RbwyYOjqRY9kbpi4/7gr9vAkn+uB8n0HxWCC7f0K0VjvcK8zyEFuvURJv9tNXlnF
JeX5JfQOIpnr8jYYNA78PPiK5auiKWs7zK7ll8qlfDstnUwb5asXgoSitCwXfeZlPkkU95Dy7eby
ru0Amvk40DO/rtnRbqwqcqntrs555TqPO+/U4iFGmyFvVKjqDOXChSt7F5MjsormkCS9pgl3Fo6N
yh0SVbELr2U8rrvhwisQWB15bc0vBgzXJfUs27sMcwyT3xo41Isx7sIRpX7lvhRjM+CKfMig8z1S
kxmcGQOkg9bqDn5sX6Gny6NsKbDHsrMQsZHJPDZPHseTwX2ujGrwJxDZqVeA2CLCyDlKdQTjJCjs
aWRI18ez1gYhUz6LFaWvS1DZOCAoNsApc7ej3RUQtck+Zl7Ok6BrHu0RQZG66stILu5zVYli507+
WQliKTL2vJsr58WesgDFx4z3Oomo4v2QetIJjiHQX2Q4vYZe7TGbh4uWFA+VWoKo4OFdN5X6YQq6
PApQqV3DQeYsK7vbIseXPU6gRnKiWTJiY4skA4fsuR3gKRvquGmzMXb6ZgSYHp5cKs1uyfqTq/KH
rAZWWycWHmtTPWaqwgzyGMgNiLdyr2grDnOu3EjU2tv4tViOAtviu7Rr8A8wALiBulPEZu5Wqgwf
keNOQH0GB5hsEDQ62DdWRYt4mAYgTam3HelAHcjuUjlQjlUNrL4WZ8OUb6duCVZmCiuOBHvtXll2
d3A0oXFWsrvCBDK1rcFPYAHFUjNi1omF+Ydj6SzCfLbagIbzz6cORge4sm1YIOZU4xBOyzEskzlv
YBcN1gK2BFxubYf0CZzZPobWVhEkvCwmaErPTnYVtP35UBUXIVbfAyWdl7heufX68DiPKJ/4wlLC
6hQzs0ADtp3mM3b30SJd6lolfDgmCrJpRff1NfilD1Z64XHsputcC4Rd9PQ4Vwy+ZmiHUtIECfQG
p9kT16xrI+JacD6jyjnBqGWJA1FOKXKHeCo89YSEWDtC4qm9Eb64dZ3hKEp+B0PHJl6KEnk+tj46
usV4MHmaxYBjnYfnDRjMAT2wXT9nbzBhFxeVG5ZR4KsiNixz0StHbEXlVn68KJ2EvUW2YQVq0W3p
7azNNtMzUE9eNolT13u7E9d8lRhhlm0U9F0Y6Cz56H1YqrlwZufcabyTI3EVEIRf+tKGjWi2nKy2
PPjdRJNGSJJO3MOIRSDneCq8bZF3b9pq8S+5V+0w4HBhQnqabXzA8Kk2+XiCHc6Bk6qN+l6+WFpd
COp/zIPBFVBUUEVDnkMB5FWxZeNN5LqGXV7iW0BxzJ+jbCxEWqkRMV7DqR+7F9rRGwuHL6i17BJM
1ZmLHUgFKFXQHolgnnLAgjlw270kXnapGYWD9Rjiu26bVNnsw1f60bGnPu5l+xXU+YJiDmZY0hK4
06YcvCoMVFmBzzA3bbvBVnLVSnYEyTlGXcvvMeH4AMn1my5Qvussf5U9jPyyeWm3chFHv0QaYOHy
nW4qunEaYEfZjR+9kWI78eUY2thoJyk/ZpFnm8rN7QjDDE08eeOUQDI5xnbG+qSa2CtGd58sDE9t
6awJeAj3XnJ44uMIiQNrujRMmbiZ6K6ZfZ2wTJ9J4X7YXG1JO8E2TCVU4lYo2rNccQSt5f3esfVr
BawVI0DmZaHhrpIT+vkWeGQwnJgRkCgmx9fZnzZTr8S+BAg/VUKBN+eFs+3H/slHam9E58LB18lu
2Vw+L1Z/17FB4KopjwpH4DTiHAZmbI9cr/PWIBVXMOelsdkbya1tS9qELO4Ct8RxH47udkFWOBSc
kAUhUOJ9FG4Qy55clrV3hVr03Gmzo6zsPW5E2JI4B2Wpkx7aLVnaB6MFTYyVgb8nGCvqZ0TXIZ8i
Nq0XAN4buAaREHbL7lM/yO1o+G5xcyxN4SA0mZ6LZTwhP2lLq8ZDFcxfoI0K49ZnN7OBwhdl6qFT
822p6nMdOKkW4jmU1n1hh5e20+PWCdQZn5aPblnS0R8vqtk9g7fzKyfZrRdaH6rub7qCNmB+cN4E
bLrSQUajDNtUhg5uafJrQtkl5luzKFMwBsfxwAf/DTlrCRVOEmQz5vNsnkAMeBOIKbGLaStNta1L
P+V0wL1uDqixb0WxXFZ5vaXThLBoUx5Ey792o72FnXuznsgG3O8cG75l2NkprSEaWeRZYw1ny2xj
xD5rYpkNezoJ3PYMqyXQKZ/GF4L+DNzzs8vSF12kJLr83GvPqHaw/wVdrIs6nQWLKz2fY3C/jlw1
7bNiWD+GFAc6DjKHP5Vem7ba3hR5AcokM0dnyZLSUhK09HhOOxZpdByQcnzAGAg0JhM4I8JhbaJN
JCXcmTVprw3pt+hS7nzNd6oZ/cNSi9e6pU5s8VaDcmkPQdgzRBf3MXHK4drO5nOYzKuDvQZbQlD6
bhzhx/YYojITfq+iLMzue9HDCA/jWrDTJWxDG4R5k+IS9l1HXW+KXtqwpADLN8h7Y8wzc2YcY+yU
1eogfIKnK8KHRpf3Iit43HWyiOyx29dGX9YyRAitVGeehYuc4Nc/QBAper4bpy7YhM4Z/Jeh9vV2
Yasu/CY/+LD/iUtudaju5I1mvtzmVfY6ToOOBtdLAwrw54HnQxHltuCdwOcNg7ix63k4c3jlwmYk
w3SOkSzOpvIiX4Af6hont0RkabTU1tHuOdI9G/aG3L03OG7JxPEXnkJPWMetWOyzHCVd3Cnva62t
d0fN6UgmHUkbs6+lgL+E309p6Q9nvfbIocrRWEO01XYZmudgMDIOcMEwUedoj1Xh82TDbkCSe5m7
D8jcClOqWHWBy72zMckVCdcZN5lVfx2rDH6Qyt25Pb8dGX8xfVPEuV8uMcLo3IjBECLSaj7H0IVc
CYPHakY0raWhCLHbIhWk/8DYx5KQYTxAttBuWBu20UA1dqRifuyr6r4hi3XeUvs4QcudBkvhpbpj
9rnTObe9Y713eTjFbje0iVU6wxnTDoeRdrBfiintXVg6K36e1eZmQQ/xumpb+IwukHyWDHUdIeuG
NBR5Wk4MdbNvOQdeZVsQYKAZBlIfJIethPHYlCykAd8YFgfLN5ddie+rgldJ0tmjk7qkPGmXoDXo
N6d27cCQDOUkLdQtGnvjAW6AYeJW9YQ/x0fcK/wFZEz+SQeg1dDl88HKjjCMksK/qsfyxiYFMI+o
RFyO4E4cKKy2ahT8dhGVwpuFbszWc5KZN4Y66wz+tXmsqsneqty5HzMg/YmQi5BIelYUy4WhLiYZ
HezzsxCvjPZt1C0l6O8sv5mn8N5r4FElDS6VjSj9p9I+OrU8jXZ4PjNxbwQHmS/NkixqYnFR296m
HtVe5h1STjVNg7G5HiBy2Q8lgiDrcHid+wl3AwPdPJd1tUMrb18w0yaOlZ0E3DijQRsD8GMHae2A
GejD8kHawc4bi5vAg26RlfkzCOF8z2GIjEzLUEf54uSH0JuOrA8u5qBdkhIBHDiVQ7H3FLrLpKN3
mLuFF9YIc/S26K7nQN+gvIfcB6ZLiMKAVX0YUYe/uhowwM6QYc440DPLh6h0oPybq/tiMLCl7GnU
zPwCBgnhWTA1ThTSEtsk908gyHO0k51NIOYugSw74W0fMZZ6A7LqYc3eTC9ePTSxbbDOkMrwnvXw
Q3Era95ZonywZfbQCelvOQxtNrwye+3xasuJX+8qS7oRndh5qS1Y4eYsjCvQSxHuZffeM279Toq6
+NqFU41iCIYdQ1kV+xlDiREzwwftQbHlC7ZfStDylvNliLnAyKjpseAZdEcDuCTioU8zsRHN+WAZ
qp3yGvvJodauQOJmDLvOOysATmiCcYotFMDQk1Z2KpsZXPdYfx0a302Im29zSbI7RzVgpBk25QqO
D1FYtG9g/OWlsou3ceHDDiOH1YZxjGCwoTivqeqSxlnOTDs5INflpgeV+Jv+7L9zc/E3dsQH//v3
WZVToaE5kX9LqqwP+4NU8b64YCxAKEPCgpFRCHb/IFXcLxjzRWK454arkBxNzN+pZkq+MPgige5w
MA5N3JUA/p1UoVCjgE/B5DweCW74n6Oa4fv6iVTBzQBpC6hrD6OFiLP9TKr0wq3JjMreoDGH+yAA
bOYYa7X8N/gsJG2j9hkT70TwKymcr9i9fQANhE2xJtvYMArT2XzvI3aZ8RbRNOwax8WSaFG+tFQe
p957bXR2X3mZSo3E0i9RfqODNUG3IrIlqufujcyERMU0bO0CQie+1rCuErhzqvHDCSv9AitG9Fiy
iccFJk02lu6m8w69qTMxhfUpNwh8trkVnnmtt+xlYVl3JQmKx3m1wDGD5jeen8PLTI3o4bEBd6Fl
z2ChUcHyLYbs+xjCG4r+nXI24CCRSJv7Qeqj5JuiYR5kGvbmJcj681KYZssbAmV5OeDol+UhoO0V
z6YTgMeCwHEUcsw407WjM1wmyashMQIe/Ii2aI4jzbpN0ebnxBZwMLeRDjDYyj5049yc7BwjRp7r
QOfaS+QV93MUlmGf6AY5e03veZeqyST8ALxyn6EpFGfhMIB1HfN4QqQAogbEJnQlBAp+AGd16onY
a7orwIZghwQXDgUFuatbNAMF4R5gYi03siEl/Orgcl5YOaIfbGwNE2YXq7sBEq1+Kh5omwFgaT/N
kDy0Z4UzRfM0WgAxc7vVrAwT5ltgcCgk4rrOVkXPpsMWk3vZhnpWGKH/duNA/4zjzo7KmSMEoSbX
eV+Z7WDKWFph2nt97BX0wR8DJ1aWdysYIJA1hukykybhYqmg5L8IIAeK2rbG6EhY4/ACfK9dIHUq
MKNaZ3OF88A5umWwH1D0RnkDQ9YqKEBEtcjQLkT7Nozlac5Qb2Zin/fDkcDTjOT0kU3OuYHVdtL3
vRtJP++SKgAeH3zvQXmS4mBk56TOs1jbgiRNBRUUarc0x8ATm+iTNy43OOUewgbFnDcHwCR9f/IX
40VD1ty5GZQhzK2erBa1U1U57yV4btY2Txkq4cxCM5/azTacyiN6uvgciwbgVKYV5cdswT8w/5n2
JlUTX+Fdc50vtognx77Wdj/Fjm2CaMrtejvNpAYvMLANq3mXtBaK1EZSnbq2uHZz8oJW2E3YZO9k
YcMB/fkzXWXBRuXNh2ztMQKFckSrFKHzYfOo/fkDurIm5m2HJm9ZXxWaheDeqjoKJ/uI87s6uU55
0Zekw2fcnU2tHzyAb7vhtOAQNaFPNIFeS1FJGDQFsORFHkYe6W8UX8sWwzCAVBlUe/P0LGZwJrI7
6TGEoGhqqx0yaK7nMfeSXuC8q91KbdA4QVEMnuPMahmDVg3gnUwdAhpa1m14Ic4nB2ccliTeDNBA
gTIkcm3gdR1yHfcBDOyKxh+2GgZMdxOcdRE+jU7xlBOWdgyLu2JFcYTs4DWYqn1PkU4d4N2j/0sw
YlY4dZRl3hkPiyYalNudELEBWjUgJm5dkJsG0q6dY4EaqWZbxi08+kp4u0bF7Lww6B7TqRXBDkqS
feN25RYk26UdTu+USnkGMgUqNif8CmsMTGd13S2zyZAEsr7MW/fYukrGfacuxQyGApxaQmrg7xIb
beQO7B6ly5vhmkZzH1xaMFiMbDOOO+F2bzKQduwiXXGDRnibyIHF+UqB5Wj+IPKtcLch0qujbs4A
ejrBt3PYvfKsmbad6A52MV4LB0N2w+xeQyjsp0qMUHbTzt7kI7+0wf5uPT2XqCS5RC+v9WOXLAe3
0NeQ0dHU0vn5FEhvE2gNNT+6R1FF4czQDRMIR4LiJXM5Mh7c/mXIicENUj26pPjd0fe/M0L5TwlT
8A8b4vdcFL8Aqbx+D1N+eOyfSGUVuWI+0IXBBbopfyIV74uDzFcHI4QIZvU9wJE/kQqAAyYLPeLD
IhK2Qn8iFfIFAcuuE/o+JFUAOOyfaf/QT9MHiMsG6IHr9dpgRzgCwM+P7R9sGmHnLXl1kD614mly
wxvUvs2NC1eZnQLXE0v8F0ksPgg8b7C+UJXauo2EXe/cqX+0LLJT2XDeO871pOqTrau3Wjd5Ipj1
tYDlRVfYz33FwTw28HtuQQ9gdhCLFcwSpJ8bkzWHrB37CLF/VxivzSMxdFed66RYrk482gyr2rin
qW38qPDQFUaQIsTb4FZmuYeCBUEomb3AMS1Em3YcbygaRXmJUGVBxqieuos+9K8D+L0Yt31B2Vwm
2vbLKPSKmz6o9lUunmyimxjTJMcC3wZcJtxbjbN6qzKbg43DIYiW2Haizg3FHYdJpDc/m65tTuuY
B4wD/tNig3RiuHpgIC+CogqMln02LuPRMPemZ15iqKkBOGxQvwwSUCRSIS7GMMymtvXGWOHOmh4h
PYam8kwOGKrgxYbN/CGzvWYX1F0R1wjvQ8QMrZKZ2QMQnr6QS2CSnoEphooL6gTmUJy8y4aI4p6G
FsXG14VxjeH3wJPrziSgWhAwiffpnKimRgqGWw2bWpYkzXuLYVOpYdkJ0JXA+VztstHmEQaiZnQm
cCXUns/KoHiSmbWzurLf1HDv3g3EKiE2Yzl0pH63zUdyAQnVtpF9HbuVfs98AcWtJ55X8+9NuHjd
drLIXZiF5gkeFmTncm02YEdx8OpVCO0PBzqgaaOK+YoT/ZGX5a1cOwFU1Uet1OM40qd+XFV56JxG
TcVztOh9iO/0BZDzg6yDBRU2HsCROLNpaJij4e1pGLbj0Ea8o4VzfX7u5XIPdZaNY7G0Itsa3cgN
ixx66ryOvVadihKC1ckEWEM+7dAecZ66tSBtMP0djf+TujNbjhtJsuiv9A+gDPvymsidi7iJlPQC
I0UJ+77j6+dA3VVMguiEqWoeZszaus2KXemICI8ID/fr93a6ilPE5dYao8Z8jB/LMZKM/h1TEl1S
7y3W7RhxOmPsSeVzx9nc8v8145tijFDFMVbtFDL0UudcFpGab4MxoqX64kG2TZQr/wp49TH2tX5F
wVY6rHyhvrEIkDMC5XKMmHW96SmvFPFOjPMrsW6ENc/XUZ5zyMxLuXM/ZXpgHB1Q0Q/AwfXYrtG9
3P5vAQD+D9b2/zqnDR5m//0huk//ZXv+v67Go96mLWP2qB9/4s+j3vhDJF/Ou89Cmhr6tbejXv9D
0XS6Z+CWg4NqPGX/xD9xnuugXC2esmOPgvZ21NMiwc0AFlczTX4XiNTvHPXvO3hGoCvqZUQ3WIc8
jt6K9wf9CMpMiwKcZeXdNW5+UfXA3d0l0mYyXO+evtwj9FuAceJrYVancWL8+ynKKhESz00CfZ8X
vrMPiuAm6cX9EOWUanlIJ0dZ980r2Tf8NbArjnNBSvVVr8evSRS9+vCaAe3xBMPWyf+vzJhnWDlw
2nQq70otEPMvERVeRKuQlwx5Fm+c0pBXScGrqfEDELKlWKyjSHwIc7PdUy4ixlR6QJ2ml9x0Zf2M
ZAZyi9x6dll4pt33Um27QnKba2bI9lesL6ZY+4CtChqN1WhriUVJ2s27Mp3aWpEnytZ53Qt2Kg4U
LdqB66mrslXaBum1ZpbutmYv3skFYXHrdMUT+uLSOjP7YOtXDpenV5rwV5UcpFkwgv1FSK3IWPUb
k4YxO8+a1y5XhZ2b6Z/EpvFuvdRyVgSowWWudl95Hr9qUX5VSJm7h0P6iQBC3w9DfqgNcTUw+FUR
QUHooGi9xfOsp0zS3K+12VN3HhRn3cVFs/Pp5I+DtVU1945aoVwTF3daBghBzcR9Tdi7bcX0LlV9
IAxBp2N+eKoMo12lgLZAbzYtddMquvAsfS+YoDJLifcAgrY/3K78FJbKnTy0FD4rmgO67ug59V1Y
6IE9SOa3KPU+d7FlB4r6FWyBtAK0dUei4jlKxJcibx8HTaeMOYA9k5veVkznKKjWMXeUn70RMzyN
lKbatD+KSASj0qbXkapcw97d2WHeuzdp0sbH1i/8z7LePcVe42wskxKDlqrSWo+HYu+nlHAgxaLV
p6wpJMrdjaoC1HU73hwhkmiUT5pbcNQ8LAvvFnq8BGxL1gFPu2lqYx/Enrc2ldqwEzO7931H2jqS
ByrXlK5MN7rPmzHf7QGE6ETq8JGISH3PBWvHecFl1YPoDZp0r2eURBIEMIasMC4jEcGDsKjcDVWT
eyfyctto8mZXaYGGu4a3VgiEWw6ko9DEeP3Iu654Hun9Amxu5ZNFVoOEooxbsAkCk8nOeAvk5vBp
iMovhaE8EQRxc4pflUF5UTvX5I6i60hKzHty0CPh0aCSGCheu0Ix7gYrUK66oNrFgXpHVefoeN5z
rY6UdnoMLahXr/uBkAvss781QnwjZBet0pDJimUK/qmDYKNRbF0q97dtlpPM8nLvVU2KhNq2mwLA
a8XG6naS11m2mTs3ktZTkA+TBkRkGSUSJUHg1wZ1FwDbme/uG+pdnhbWdwMw8UJ3mq3Ra/shDhTS
z7WxlbzhPvVcnteQUdm+W3cPauOi/eY3n0IvrNYc0t9609361Cc2gLFxXFl4AlpyU1jsIC94gX7g
1m8pkvZecUUe6nPumRuphOjFTR9iUW7WlRNd9pFyiQblhS9RbQbM7NhVrsYbsuW3eo/Od9L1SEsM
6UMFk5IztD+0gt5cp6QybEYXUSHdGdEIskkH5qly8pUayzXdPdk2lfq7Oi+/iQ7FoJSZimsJKFVw
0ZFJJyMTP/Wxktt9pL2octmtQVU+i+T1V6LvIALa1t8zq2f6OplA0uTfqFPfTk3ra9Bae7/yH+Wy
OoZg8oGFEz0Z5bdWCO4hrriNZLppLDl8rPTwVu9UVFkV8bObp/eBLN47pfU1atOAUInnQCQEV6Ue
XFpBcBGV3hcVFgo/cr4IdUt5ty7IPQ3g8Fu/1K6rRDK3EqBHMLWZ123NLE/pWDZT8Ci6k+grIp3g
0mUrrdkzdpwQ0LKzc5sEcLg3kZeNVhz7Ovs0GHaawJdrwV0Ty+pjlg71i5i4lDFKJaDErFyIOkoH
ddmAymkpkWiP2W2y8e7KfV9xWvxvxTz/X0GPfwVGYxjy3wOj1fP3f108J7Px0Phv/hkP6X/AJ0Xd
E/gjrcnGu6evOr6FLcg4ZVLk5M//fPrKfxg8SWHgF9Vfr9+3eIj8Pe9dYOAWTTv8F11Bv9H6QzXg
XaTy6+kr8U8R8Bk5J6kjvI9UmiiNVS8L0yOs1ODaQDaviQjUFVyQsEdJSbAririzLbR+bn0hCzfU
PN1jND5oQmv4EQUj4U5rkBFTkptEysyQsmkIAIoi8ToYO9fIroL8Q4NlndTF15B/cy9XxW7wAem5
Q1xsUz1qbPAOX4vQvQaV425zJzI2reLeZFFcbkChXea9QhZRNx/CoPRtGky2Uu9deGK7zf0oOVYi
wAgN5pw9TYTNTvGFC7lNX6Bfl3dCq2/FomtXjWd8Rj27IqDxLTQhpMc4jOjQUEa0Y6bdVil8r4kG
TKGRSRIBujgqWsU2jNKNasWFDXqcjJbbk44j2KFfxCfnBeJxpZAPtVEsI0Zo06OSkTBATwp0haxD
6mYM3pZWzSeX9C59LnX5KdOoaEL99tiIMP6mzYMnSJe+ECfrTDXZtGH73Ga0SDVpH9lOrXw2xDaz
yabW+8QtjLUOIMlWK6VHai+XHobWuoYmb5M4/p1Rua952x28QiDX7xnNKtPApwCVZKTlkNs6N+Xa
jXP/IpO9Zl2r1ZMAamFFoeYLcrKvsR7q1Ii7mzaxDobRq+vYCMKdR5l2DVAOtGmbi/Q7FTz5x6KA
lkg0WeWBsB4ChYwCCMOyoUBYy9E1zUl4B5xwmTt8CdEPI6kNXI/kX7uLy/QukpJvdUiGkPaHy7gh
iqwU+SHIAZtqBYhSjaKrDcGcu0nT9iZLgBJ50pBvisC7VBJoO6pGCG77qvqcJ1K5AVkVo+7ufw+U
4tJzjMuuN4OjaKXfLdcEWxo4OyNzX0UxOPhNRJQg91dl2hLuOFlmZ60LOLKmp7huwCdZTXJLXeCy
BIhAyJ1a14be18dclNMd+QtWSTe7A8+g3hbjSF7Tjc7J3xGj1yboojzNSCArT1IcV3x0/4ksq7PS
FaPZZEFabBLEOcFQFM2h99RPDWBAe9D6YkUj249StQ4JNPFHYpmUOzjMbYdK1MqoRHcberGybtvE
I5fOVeoNhbLzzLq/cM2g4s4VXyTVpF/L7D81SbCRvfCms8qNnKelbUXCQRuJSLLup6/76cpVkA9h
D+9giaY5uxO+hz0YrbAZLstgXZpUnJUHbVBJAkTZXZMCQim87jUSc1saRt9uhwOqOwi4UM3YmhV1
vhwtwJXad6+ZB0Ai677yXSbpgzSyU59njWAZ6cYVEeuuUMC899C+Og794O8LOcw28uDS6Odb/qbT
fcAXw2PJ7ZmDy7oyu/6bHDU83XTP1mTeI6kRqmzKuLnwFVoROnFINkbLG4XXzRHO+Ic8AQ6W0MzV
mR5RQKgN+86wLvUSqJefiD+5cx/CpCRLUghPvGmeG5ec06B0FLZc9XvoeNkhb4R4l7H31mxykb1G
OC4Tx65Lmit4bekxoOi2/9IAAswi8do3/afSQRI5MhT3pSbJHnmCv06DEiULxbnwujDHiwAjePFD
3EnmivrcYzv4aPWOeauBQh+Ah59RbUBYm0t3MS8eW40E/bnhYUtAG25SRwZr5Wu0NJSEFpQ8fF+5
0GlEXwWmb/D3wl9bvlfasBRRD4k0nmFiK32ij849GL10UM3keUiivdSB5lV9QNVlGd47fUJw7dyo
cWgerER+pE4aUhgUg41UGTW5O558bdbQjaaKP6VYA0Cl+9+1yqQL0v1haUVpG5J0q6dtcukO4WVP
smcdWcOwNmsecIrmhJsoqPillvKGmMr0+tB/vVZT9yo1SMqQT3hp2mJHLeumrnkFGsKuzGVxVTSU
c3Ilv7NaikJNQs+lFdcm5b1ySxeBv1KMVt+DiIOJFXg6P+raplZQo9PNqyZLmRkE3EyPGjNy0S3p
x3jbOcOvjGtyoUjpjz6oVI7e+Fsmd+EO2vBulXbyPcwir5pVP2u8MKmyHVHsCzZDgaI00CRfhMU4
EaEQMupsTWFipanqsfGrRyFsZVuJzBfQtBd5Ln8rnVCyhcoMr1HKfHJ0+UgLZr/SSAyQbjQEO1Ti
BznTrwCs8dVlbG44+bOVGSR3Tgy3Xto/gncLgI126ZU6aDdM/yOsDoPt9x4dr0JMElgJzE0QQseo
6rFIZBvhFWCfFUsA+uv3N0aBFUf3hw1r+dlzSTnLNQAdKaYnM4pde3AiYMqFedmLwUuZNFcOsxmZ
1LcFVXRBiKoSNW1LXdcBcqtunl1bfnoMusr4prf5Cw1L5oYoN7KDwP9ZeJx5LVjlVeKpgy1mFF0d
EGuSG+Sbxu+ounsO3KrAlC+svA4uJIeepkTG8+ugv3cHGVQ4HvpgxqVDMgKkkWr4QLj6HuVfwU02
qeWjA6EkAF/96tVzIVFNi+QJgmcKcJF13WfBl7D0f0Z6cc3bkRdrAuAFSgdzVTPUba/8R3j9t6pB
/2/oT/4KdUcd0/8e6l4++yQBn+vZWHf8V/+MdZU/LFMj9ycim/gekEIvjwz5CV0+4CPB+57GuibK
xBJo5zE5J47N6X8CUqQ/9JFSEuaSkZr6N8s809zfyMrCJ/CLdNqTS8TOaU7OJfXvVDSBHALlcyLv
OyVfGQ8ns/If3pVTnpVpMD01MSJiTtJ+ZiJHlEJE85A2SOSAnQcmsM37g/77zJ48KZgzyARGxM5U
j8dv60Ak6+agjWptM414A18/P5YPNI40Xb2zMRlMXzZuIjeiQ2thFNlUUSinSn16GIbq0PuUv1sh
3fsyzcV+Ypq2keXZhlbreH/+O94vG9pJk88Y/34yp0Zuxa5V8Bn1Rvnerfslve+l35+kak3VC3U9
4fcFYQucdCCb8tvCC+8ncsKukJZwdwwxFkhLpv5qc35+3vvcx/mZPOB8riGaTXEF18xWfvYgLxHA
LU0QW/d0ASrRCUzyBs4BjEZ9zf1ZLrDC6yNN3VtP8ochTFVjApzcC4LSOVBR3PQBvRYWIOXO/556
1UXRB19QhDoKtUZuqAU4/FlNXiOIG7h9rXvXRDW7Tja99BCY7lcv3kbDQDEx2OeCOGwsQQDQqtP0
QHmJ3jrjInOMbOX06s+ElibAjn2z8iwiqHzoyFKGHjiDYOuWXwy12keR/qwM4fdE9x86ddiE2SXS
zHZK1lip63VJ6k3XrgRF2tdy/NMMxO91qN/6sbuVkxswtVu6tGoaHxCU0p9NXebhdyP2CKP4oWyf
d4NxN36YQ02WxyK2YUlTCg8VmlBjyGUHksPu2NO4LEoLFmb94MTCxNEUOeEgQIL0EMuo1Ma3aWDc
1+2/K2ikguaZqsa98HEYGupfqiQZtLu/d7a+E8OmEjXnIIFI0iT3eyZ/FYXWjgzvuiwP5+dshu6e
nam9WZvsfbFzLUMwdAetOfmzKNJxBk3EtuybO1pjzFUh9CC5xYsC1G2Hov156/Mr9mZ8ciyIdeq0
/cBQ68dyrS/M4+yPo5mNVhsqxgRl7+dxKKLQp+jgHIKWlAVg9MJ0Hs5//+xSnZggR3V6LtRghzQj
6Z1DaDY/KeV+NRvdDtiSlZR8rpNidd7cuBYfPOPE3OT6hvnJVRqhcQ5XRXELwJsuIxHk+3kjsz5+
YmSc1pPLRtEFX6Ra7SBDUG3oH6SvErhAtHDgLS3OxMlNo1XDPG45su+MLciv82NY+vWJUychvDoN
GgYHM+/v1OCzGDcL3z+/FKQ2TBIdojUGgKezZJmRa8HpyCbNH+jGAJ6ytDHn1+HNwuSssdqiE+iX
xrd080bx6oeMm6Bs5J2ltNsK3yIVSKFBtSNXs2VkDfSq3VuesKe/ZJPHS3Ko867+9jmTK1CLdLqv
cnxPdTbU+4aFk3V+xf76eXO8H0+8zohI6dQaP9+pY0olPgb976tqctKRcqWRHvIPZaq8EvWlhnwj
10MG4/zGsXaluOB2s3PEcSOLsqaCWZnuz85LPI0Ex8HRQyJficJyfOi8S3raD6aTPJx38lkHObE2
TunJlMUk6woy6s5B0TbADwXgU0/nLcwsis5jHTVaTlDZnIbYgZkJjlcXODkXdq7dyMrvC42o7yxM
xlDKpouwD9uok6V1V8O0pyrPg9PfhZK5JPQ9bpjJ6Qk1qoqkPetvfFA2FOKuE8DWOIdkK2iffLoQ
jW/h/d+YsRMbk03rdg5Jwo4Zy7KhOla+R8OvAY72vJWZlQclKEFUBlJP5Z35fuVlM5ADFsc5aGKx
87yWhCICz3RZnjczc8a9MzNZnKIQwXaETJiHwKCgJlulfawaUhdGtzCg8fD4sDQnA5rcBmkP2ayU
YynrOmrxtpBu2uiuJT0WrDKXOsX2/MhmHfvE3uR+0Gn/DyMYxdB6gmiiLb2LOpL+jiuc2BgPi5Pt
qTVWUzYONjrlQKbXWZK9XZqziasZntTpBhyLh8JcIVy+lc1PuS9soBK6FZriYlDLJ0AB5+dtdgud
jGlyCcg9WgNCj00LLPJlbS4sy4LDTS8BrW8HlG/5eeGu6u+S+uv5r19Y9RF8dboi+V9f76+ctXA4
/+Pz304qwuD0V8RptGkUqtBGeeIcSjGEB6CWHgM5e+2d0j/6xbAwUTMXDTvzzZj8fiTUf9K0G/eL
MsTXWkcVPb9XgMWWVbHv0Yj5G0MDHAxqzKBwMp23iOdU2RcMDWGY7aC59Gy70k5PKxjbim/nbc2l
XHSoqyEJo+6ryFOlCf5ZYWRCSuiWuFutgj0hlg+KdSf3oBpkyZbqdAMx+N5Tm70SPJ63Pushb8a1
SRRSJXXguuMV0ajf857qD22i5y3MvbdOxzdVmGj7pqUazPh6edu7+zTfJJ+dO61dvf5DQxMfkfWC
IEVkLGr9VbkWNNu8DkuaV1fyQpZs9lCwIDBSIYigHD85vKM8SJAmjnAPjSqfnUPk14Uvyk28QDov
zV57J4bGLXhyojawavl9HHOiWrvkIbmB1EZZ659qd1fGC+H90pimhzcVs84fd7MktNvCVWzZUxBJ
D8rbxMxB6ui3anC7sGDjgny4BE+GNznQPb+FUqfGZgM/HfBFMMkpLdI7B346gcMQCPsukZG+CItv
VebBUlGEiDIXhbTgo7Ony8mHTE75pPGsOmhY0DDctOlWtn7Sa7P+Z6Od6myW6ZC5rYoRS72qaUQO
bSV7QtWTavTeJGwq8m8Lm3t0jzPzO6JyT93Hgr4ZiQQsCtY63CnGbdo+qv3SuMbY65yVybbz1F6Q
MxcnrYutkwAVsVFgqB79B+feuNKupHgPdZWxpM+zNLbxq062Bq8dKyxTxsaRUuxLfUGJYWHnWeO5
efLzgdQSy9AhSQ9H+jWIroAiPGhL18zs0a+DwVHHrlmwP5MF8t1EbIUmcA5VBUQeMK4rHwVzIMGv
bjUJyCz88XtJBB8Ht5a8pGwwjmG6cKfWJwtn6bwYuxTrMc2Jvrsc3cxN4qmByRp1pU+fH2QMB0Nc
O/XeyTdZtzu/q6ZjADlOxIp25FgV+ZgBpcLvygLkV8dKO7Z72vnO//y48U+naPrzkxMqDKvAjzJ+
3tFWUp0cEReJAXMWtiz7NWwy34Sg39ZBvhB/TM+jqdnJeRRokRbRh+Mdx4xr2cLgDirTem0jo6XU
Hn89P8jpVvplTVdJGpLc+ZgmgBtA9Qq4PFAH2EiASBzbvQ/Fl39mZPyIkw1lKFnitqBgj27YbwXl
GwgAdxUr3c+wzReustnZ03nxStT+PiYlpIw8mNUzHpOFAup0GSaAJkxzN0Tk8cvB2J8f2q8sxwcv
OTE4OSyaVJHaLmVsoFWRSR3o9TZoRfY/F7Hi7MWgS3Y6fWP5YPm7RoWDro8MaVPEzi7gy85/zKzH
0jmh0kRHPn0aTQaWMiSmnnpHv/e/6uFLkEAVDZtgr8PGoxmrMpVvDOvxvNHpRv/lQW9Gp1FkQz+a
FiMMcLRkexjH1o6jhCpJ/c1jeWpocmCGVpUJGVjaY9zSmhZ1nwYh22vekl7ZrAeZmqyh6SxZaBy+
d1Y3Kz06yccdMZIWPfif4yvoeWixOD9t05jr12hOzEz9RghiGg6Ztqzp5V2TiBaYuOwT3W2fAVwF
pFgdjYXzFuKu2f1+YnZczZOtKIeQH+kGo0M04N5r/BujpjURkhJIG7uFvTh7Pp/Ymmx7WoYkcZCw
1RW0wjAULavThWmcsQGNMkzJkHjqNNJMTstE6+mpc5nGJAC+06XpsxguJYM/vGJYK4xgwtQtEUrx
0WVOJq0TLCmRQ4zUSUTt8DYo7yMZ9nrfdiJlfd4vZvbwO1uTWwcsQe+ao5enCXT4zb3RaJcwJu6d
ytzkfrz12wIcnf/718A7q5NpbEKoYUYeySMExCszuiUoCH5A5XR+bDNHxamVqfCUivqJFSVYCeAO
hcw/MYHzCAtG5j3ir8X61fp7slg6xBAxfRDeUTGjdptkNKCGirj5ZyOR33tE1sURiCYuaQn65uso
v4De8Z9ZmB5DiVzpBi2wx4bGzupHXzxBOfnPTIwzeTJT8BF5UT8uOh2rdriNQVQL6oI7z5w3YHDG
EsGYwTE/JIoGR01y9I+OZgNBaT5STwVhv+qQ01sLZWstmJtb/FNzk3WJgiLu6x5z9TDi1ZHJ6QxY
+M7P28wN8W5Mk6URsijIlXFpAukVjsj24FYMRIiiL5IeZ8cSvozzBmcPIBn+dkSDJJmMzeQAotvb
zEqfYTnNvgcYHjKFWl48kImwBbffm7l/W7TWJv0PF9N/rc7Pz+eb4clpVJYOjD/NaJj2n1DPq6Mn
D+VCSmVxeJPTp6j8tPPHVXvwgmJTXfysuqOlrMsMZOPL35lKWVZGwV1dhxfpvdPrPfJQFpDboyMj
kpDK68yH1yVKQA/G4pOn3Se7QA/Wib8QKM6dffKJ3cllmJeN2gGrJjbT7kvBXYnKs+ktnOIzMQUm
3sY2cRMFlcLaD7GheC9mDATZ34eMJd1FSvUp7X6cn8pZ3zixNvENVDfoUUIl5RjHL2O/QLswY0uj
mXiFrxtt144zBprcTIxNNKLNoq2fLcSVHxStx+v9ZNqmEWyvFWLjI992bMtvWnQL4QEg+HWif0uN
/K4OHxx3FezOz93sEfI2d9O8aJo1bZWMc2fRQgaaHIbETdvdpGJJAtNaSCUuLNTYqnR6zus16FfE
CjA2vAT02il/46o6nb/JediFUWT542Boicyuss/t0/nJmt069FSrkJfRZv0hxlNFv1b9hvWBqAFw
AvgT66LpFyLj+VNI0UWonUYr0yjPKJPW9SvJO5bRDpJ3Lb07P4zZq/Dk9yf7Ba2jiGYD0TvK8C8l
8ZPrdjvVcdbWwr75kFn65c8nhiYbR5A6GJtjDJkjLZZVCmNzEpwetaRGa2qp2zSl1RTsvk5bNh0E
sRmvYguw+vnxSrN+9/Yd03APqiytNTv8oimCvUfD7CrJQnktiGW94WB+sqz6MRntDgZ02UErdBtH
sR7MqJHXsmh5q0pYAuLMu9JfazwNDsNIFYuqYI1lfQXpYlhszo959szSuFdglaE/YKS9Od1qlpsC
/Rx9yBgn1hmnWKVzFfoL7xZwe2YXSXaZmu2X82ZnXWuEk5DCIXKalsjTTndVUR04ijNU4Ty1i6H+
on3DdOGQ1ruFO3R2kCfWxnU/iRv1XHGzHm2A49D+7Oh2Q4YDJoJVksZ0zC8czrM+dGJrMqFVK9Dz
3uHLrNq66MBhDoFb/Z1VOzEyuZslU3A089eAumvT19cG2mN5RDSsXTZIKeYL5/HSak2u6WKgB0eS
mD9RQGcgy9Y0VdimUdgOwgrnHWP2njkZ2biUJ0slZMQ7EmSeR83oDxYpoNa4dOTnIEb5M4wWpnFc
i0kqjA7VNy+cnDuV3iRNPq7Vy7A6ZgunydxIICfmOAHSNMrkTUYSFnGmFj2XTPNkCNJNrj0PLe3p
ztpNFiZtzudOTP26KE4mrVO8MMwU1kdJH7qgcTeUn6T1+YWZm6tTG5NklvDXcDJP3Yjtym08SP9f
zxtZmLNfgc/JQGhzhz5knLNCe1aiYS3mN1l/18ETHJjyQhAwe32ejmgSBcQocijeaGwIqm1K+pV0
Y/Jd7ZutLwtIkDTqQdGNG5iJaKFduFqXVmz8+8lANT2TCguSrKOB8mqgftOUZEFHed4C0jN0k5gw
NE32rEdTUuahnnBMSWF3gNIZzvnFmveINwuTrVqR4xIKuoaPDvqqwKBuPGAHiJD8vhmSWPSZI7SD
0qQ1GYjlWj6syq17zOMC8ZuDJe/CfCl0n7v631mZDCYAokVb9wjTRIgw7zc1rQpeZ6CNcOHeZc5O
D49Ned14zUEG45lG4rqhQez8hM5cU+++YXJilNC4ZFldu0dBhH8dmCXKMvWVLtu6Cmnj43ljM6t3
Yozpfe+BiRM7DVG9e0xdTA3aGrzSOs6XMmgzbvjOzOTYIHvm1W6CGdj7G1r+JAhXYG09P5aZ++md
Efn9WHy99lrTwIj0pSgP+cq9kYWFa/382lji5LAIdNeFawMvBLIOhbdoZ8adnF+n5S1SChvi/fX5
IY1rPbma3g1pckD4aNdJMX05x0gVICUzET+29pp2kMNrtXLopB72Ggz6540uLdboMyenUhCZVZc2
DFI1S0hweltYqr0sWZgELm/ugGQm7fl5ubCFZn9f1iV0ynXYHKc9JrqASjfyN+4RIP5Tl9Z3Ur5w
cs86womFyUHhahItNzIWzJ3zKEd7pPl+sU/+1bp48+9lPm3Sm/VnqDhGrXZFgov7/ToomWeVfc/i
u6F2IXAUiNCvxK251/qlrO38hL2ZmixIZJmZDumyewwOgbzyvfV5j1oayeTwdsXaaPsqd49XMICV
XKaoKf2Nm461fhvCZEX6vlUVx0nHrWKHD9Lj+RFI8wv+9vPTUzmTc0GtMm6GbiMjYF6uJfEG7qm6
ugNrj6S5It2W0EmK3nNmrBfe+LOntIKwMnx05P6m7yTVUGPNhz76GObVXnEf5bz9VP6NHDTvvzcj
o4+cbPu2svSuCzFCj7Z+b+zOT+Ds/J38+sSZBfRyiqIJ3CNkt83eeVWyHZok6IHo2YKlWWc7sTTx
5YGqoKDR+XHk5DIUu4XrRNjk0fb8eH6lVT4czSdmJj6th7HjVnnoHkdypmIbJjt8gv827j1azmEQ
WCnZq1odlyZyyRcmfl6I4M46E7vqrfW9QgN14RUxl4Z55wcTTx8aupyjgvkDQQqnTX+TQgQCJHGf
lvvzc7iwUlMkMVBchKtzPI5rwO3Wg7wJ7irpcN6IPGsFAQHqOIbMfybjcXsr7txEcI+GMPQ2VB57
lKuuw96BtALxy1S8HwpkVylP5AIyEYOJaFSTb7SiO5hS9wO56BUCYC+NUFwrLeR5tRi96kliq036
qcmFnV6ZV4HX2yRAr4Pk6fzXL3y8MonPFKUSakPyyCESOtn1Tthp8cLhPB/0vk2QMgnOcseQukFj
gooIfdJ1ua6ldfLo3gjH5kqFE+bvHGYn5iZhWtY3ggzfH+W74D7lHNP3vrlwOy/N2jRMixAgqHVm
zVXvKxgU+viTBrijcRbs/Mq7fTgETsYyOTN9Ky0sKcAQe78SjmLwtJJvfDu+FL9QwNW+ITWLls2j
CukvdPzf/5lvTI7UTvKVqnJdXl7GOl83m/5yKdxdmsfx7ydXQm5C1NaJAaWMgvaSlzCt7Z6wHVqO
hUNHHifq3EROTtPUaWIEOSU2aTpSferGg9/1eykVBTsujZVnpGtNEr+r9DNL/k1VlP66yLR6lcXG
bSM+ZWb1YgS6vtabYZeb7utgUdqEKQzGWMmy5T6/CPz2Sxs5S/1Ki7tnch6noBEb02AVXOB23WOS
ryUU9y6A2mWwkQVoYiI2tjBdS7M1OdIQbZdEOgg4FdQH1WrWQ7GET5krLulQnf55ak5b3QVozX3d
Y+mNT6hnlOhomeUG9pokHrPPxvPwzEG0lHqf9zda2ODeQZBcn3g0YmClpXjkErxEvMpg2IRmsINm
W7xsGrFaeC6Ok/TR5d6MTZy7Fks/HaLRWG1r8FzpCprekKsmt5nypA7hqjYXlm1peBMnNzqnKrxx
eGhT7cibynDAMEjJf/k7B8PbyCYuWXl/2oEwtoE3lLHkypOrRf9wBidu2A/QUlkB4ymEGB2vW5GE
YOLcWugzoo8HB5rv/a1EgvXX0IzJfRhLNZRTLib1HKntMUGXd9rSaTTOzxnPmJIv05Ehc6Z3FIBi
aR3o7GS2dnsFkBXKhVUAI/D59RrX/Zw9mb+fHLO1j65oDB8Yh9+aHs7Esb2fsXoIfrf7iQKbgXIW
NShob/ifyUWvBiR20oGCZCYom34QPw2Wdomq8ypQrYUhzZxQ70xNhmQpAI0qqx5reRAAGs+RF25/
e9LeWZjc8YVKU2qYMGnIxu8yxEpsVaxGeZrhaArKw3ljS8MZ/36yQqkVQermY8wSvV2d2Ny8C7Hw
jM+9G87k6NNNyHHikrVJvgsQBzeHONgJw6psbhr15vxgZo4hQ6SIP1bddAC3EzeQK2R2JCUekWYH
wVlrkAQj9LzRnIUhjVxJU79+Z2jiBGWXW3rcJVQtjQzN1QjAUb+mqXM7yJK+jlIFGTxZ/iGhohUY
GhTB7Q5BWnsY4ofM6L9HMZySGkQnvpwIdl0OP4HRLizszNZ794kTLwpLr+e9CPQ42BrlPZxepCZz
Z31+wudqDO+sTNyniRNBFVImwhe/uqDVDQcez2uvCLaacOOk0SauiRI0dWETLi30xKeiKs1oUGSh
oyy8UJLHUkYvymoQ8FkY4JKh8e8n28PxlS4mP8FCI9uXrLJVeBP/Q6ed3J1NRpNzUTOFsR3bX+10
wVfn/UCjrQVwLx13k6ssGxSA1U5GMPAVWDPykGqD8sXCNI3zPTnncYO/jEwLdFEL2X6Qs8fR2vQQ
Ofxa4NelGy3h7mbPkhM7kw0+9ELu6AGHbxB8Uwq0m5AltkHi2Tk7TPHQ+sXugouPLvxxbPSjjXVO
5UOhKdebtEGMAyTugMjsFiwK+kyQAKrX/qdRSNMerqTUHr5Jm/OG5xfuze44Fyeup7d+mAGNA6yt
3Q0OGuK80EXIHAIRqskFW9K8n78Zm3jJ/5B2Zbt148r2iwRoFvkqaQ/ysD3biV8E20k0z9TEr79L
uTixNq0jITlAP3TDaK1dZLFIFqvWspgkZ2WSIHJ2h6C9z/k+i2wwxUNaxoLo/W0hufmpvChf1238
L/HjD66YKMG9q9UUdIJc6DW0oTzl6jt4tdHBk9waTndYB9sYULG/a1CgzCp3sLErIaptR7f9Y3eK
/2m5fRok7AxV3+g+dOhx4tF+6g8ljHmjv0x1I/5NjHxrTjlpRM2dwzJLPaERxg28cCHZ69FFrSK/
AbakMbKN1IZsADoXXJzD18dweaF/mifE+6gZlVgrph02OAHehqqBHSY/10EWJ+r/BUrAZQL2j3Pj
6khuVc6aqY4RetW98hFLpHB68Lh2DI7xt2wMvw+PMzjRJqlUS6agKkpFR7mOIFKXyUaMXxw2cHxb
aM+3tC89ypJWV3ICrqsLUjr0DSysG0Fq6/vCNkVijZaUy3gWshQXCS+wpTCoA2749hbKNG+ziMQH
DZPRj8GF0aIdQZcGr5XiHGLKG062lKjF6e1zuITQ10MgRFcTmAM5CKhHxU8DyK49Gr4k3HjUhhTN
5HW3B43cJQmv8vZ93f2mr38J+DN0IRZ+PsibcnidpBMLWp7UTkzf6+JV1x1aM3+j4Hpxj/mEFLuR
Uxa2Kjhv4R/mcGOal+2wxdazfGSF4iyEgSDiA5W188kjg4S3z8zEG/JHbnlWuicggkXCyVGue687
ZbfSIT+lp8Ibfpkb87m4nmfQwgLTY5Omem4EFxBmdClhTsehDZtAGh2KOc1GLdfiUM7AJieeOylo
8gM9hZ3f2p1xWPeMpayohbeqP4MorLM0VwcZL1ZI5l1mF8Vd/qAc+Xv3Ar6QS9V2y/RU/0RzyDro
5swJyy6Xx7qOGCyyjuU+sq3LCli94rgbOFOG4Yvfz4wTVh1KrsHEbkISPNO/9fkvVSrvw7C+p1l5
T6q7woRmbcqwyWzALt6lZrDCckPTTq+qPsYUxJFDug9AZvqGw0dyVXzT0BAQ2615QMJqI2IutYnO
p/I3I+bMT3pFbSBoDNjkyFF1YNPL8ibzbccKvA0DF89WaIVDpxU6YMHId+6RWRtBCciaVp6d7pvr
6ELbxcHW7C2O4gxEmLwiDXLQNwOkVb6HGjs10R1I3kvtmkErwjSezZd1qxb3ghmeMGtm2UAhxgee
ag14UmryyFWRv9a2iBoWl/Mnzpdpquo8LlMaXPRQ+XKVxLiTLKXdWGIbxpjCtSKraTjo0wzlwXNO
HiGw6/xaH65pjsW1hfouiL1DTxPt8cJwQbqaSmPYSV4bvSD2yqETVltJy6V9a4YhZhALPwGDUTdK
Xhd1e8UIrxRoW7LhOq/TIwqgdv9QpGvN8YRRS1kAuteyB16uJ4dYzY7tcK3jUpb4w5Wqx4Et4alq
Y91uGakKi2lUex77jeQVvnbg/nsU893gdzu1CCG0ST/SSt5qml1aWnM7hZ2zs1DmWnVc8sK6VV2w
7bc20+XxJg6k3u55+2IYPl6rrZMPJZW4h3hJGWp0p8SFJ+vtvW/otw0UIItYU+yy8JWLgZtoADCb
l2YIggueR2i8HOrxtoaoqWsS8MQnWuhFFst3ModOZwDdKd8cHvJGQwoCKlFOOjQQxCL5no3k0moi
lLFLamErdXXVNYG56yflL7yfgMXIuIJy5a6VggdZCS7xaLTLi+Eu5bXhUi0Gk4WGGVt39qU1Ox+w
6e+z0BqytIdQ8SB5VuDi8NZCz2kdYDF4zxGETb7jMuSYIrg6H/e92TjplWEztNOTG6Z8j/PdOtyW
Awi7Pri3+67kWLxm4OnsbTT2wQmp5eZhHIzjOLIN67bghP1CCwyeJRRwPFP3lg/1db3qAsh8fkeC
02UDxNGah6269C1QYf+Icw29NkEreWSEsE02cruQXo0AAwyxnp49tODFVEi7MbJLW+N8HqdfNfOU
lBRd6Rsw9bludv5zcWWO+/W5W0bQiEXBHgaWdsEulmp+qFAs3hGvu1b+NEQpuP0MF0JF3/43JMGW
utbkwuRA0lppH0jhTWxQKMm3DrMgIbOOtfSIidj7xyzxEZMXaR1zC2BNDS0eP3KZqnsGWp+LpN7X
2rsZXg3Y+DWI4Ol4OG7BM7H+CxbXOJXR/griLQytEBRb8A7HCmMSyHLaCzMYd1r3vo6wtCmDTUbB
pRkdtiCjPvcNpQ2hVWvGkMtR2auBl++yUC/DPtw6Xy96PnSvoT4N5jxQs57j+FrP2lKJJE/KM2jV
RineJmh/BTH0I6nl51iH2oxW6aDf2nrN3EAWs6Zx00NZxIAgUBepYPoqmYMy+V0UnHxFfRvG5hRK
w33+D1dNyK7+x9zfd+/ZkgtkXoRWXUge9Lwgej240OP7l4n7RFDPB5SOEF7W6lLySnZBP3T1qvLW
AZbD/8wGwfly1ut+yDPJS1l7ghb2W1Wdcl4lNlK1t0NlnJoKxNEd9V3c3hVbJtNrnZrtTA5Ss/Xf
srwOPo0V9jq0cvIWykoI1g33RtoeQDizjrDlJdM6mU2YhLNE5HcYzrw1zH0dg7c+qMvbknbX0RjL
TuNDZDDttBOHWvQ69NKpFV3uqoYeIjwdiA2YWVmrsq9TnFpjdOeZv4owcvP6xDu0EFhbnXpL6x1d
/Hi/BYkUFqJgJxujOBsSDacGCn11lOMc1I29YGmu5gjTXjEbSUiplww9rZI3VK58C+Wf9dFaTFvN
vy9s3KDgLAfeqhI0bY8E3GHQtXz0vzHwd/hbUNO2Jd4n5lDCtpYooFujoY7NhtkgYFXRRHyndKda
cy2UZzqZ26XPVusWYNDvN1bfFvTkr7NRtKLcj/0C89S0LgoI7QxPb0/rI7m0aaNdU1EUjYLf3BAW
lcQrCI6nJg752ZE9m3vlGmfudYjFHXSOIbgb5J0ptSKCU33opsaVRI9jd5XUbwV9JY2bFw8Rv7R+
rYMuO+CnXYIDGuUgBaFvSF7vDIVNjQ2blmfm8/OC/1HWkpgr+Hxo7kxt37voivK0n6O2+9/MEJyP
N0qixKkFP0/t/IFuraNp5L/69qcZgoNJvVJ3uQbfTnB+uhozh92v//6lknc8v/9BEJMKrdXVkQXB
L48qtoZsPLH3bmvu2/A67px6tM2P+s0oLiH42rCNtrX/EiQ+sYVjDaVlXRgS/I4HLvsOrdzwvYfC
IhRJRjdMwA620dijbniFqZ6vV3MoZFMaAThql0x3cNBuYsf/QblNn6y74DF+Vi6qx+5VfwFj83g4
ro/1hsubwlad0ASaUyW2kKp5R/mR3bNw/y8IOCFaEIGnyu+c7SweESvv+n6UYJ90m+NKLElbd4jF
8waozv9ACEPItDwGSxLO0xDtll91aff7sS0sf9DRoa9QxVu36L/Epk88YdBURWdDRnzJUyDiqR2g
SBfvu7f6vrmpEgeSrg/reMse8gknhNuAhuAmTdHBEPk7Wb2DAPbJeo0yp9+qul1e2Z9AQszVwIcX
xTXs6jtIvAccNazoLkq3dEqWfe4TRgizDVReoXuN1MqYPoA/3m4har8+Yv9lFX9CCKE2rOIq1s0Q
EPlhao1I91qzq1zWPbFnUm/FjKUjIJ5scC7SFH1ipz5fwgPEcEMawcXr7/C8MDxYH5Fq89EOfgTf
Ubo6HJKbja1qGqMvQRgsLFhQyFobVHBBKeBtGSU4K1E537XV+xhDDVs3UGihuetjuThbJlhCJvk5
ComMc+PkqM7kLsU9z8eBpa6Ik6Z8YwC3IIQNy6eDlpXgFEB7bfFkNuFVIG/53OIamlkhbFolhJ9q
0MeC3bepXDWJr/xAtevWcEcC3W+/vzPS8LA+cBuQYg5AkUKJpCourtR6wkKyy/EUSHYM3VFIq69D
LS7cT+vEu7gfmSZkQEPJC1rzmkTvcpA1KGHONzl4Fz3dMtHRgl5oE2/l585A5NHgTQxFJr2qjmbn
gyuOXSlVeWwgAFVIymWDEodcwY7dKMN9klKHgqnKjnowpRtqehi6G588DaOBu14P9ktke9ZHYusH
Tq422230mgZG0flQdQqam64h18WzeWN1pVuy2umVBrLyxFmHXBh8tLiD+hIK5kiFfGHbIRF0VqBq
7+njkz5gKwjzYWPHWVgg0CWBnIaMplILi/DcqoEzmSYFCJb7nUL2ZEtYYckCPH8puNxZ4FUW31cq
E1UVOhhWPSMZjmNyMei+k8GD1sdpYWog4PaJIuzSMu8Ms0YjhBfYibIP/Uszeg7dSj+W9KdpbZw6
FuIjREFk6HqhNxNUSJPJMz8Ycq2Rcw62dCxxMz5E0qt5bKCVum7SEgoiI2L+VA4BFtlzlKQbFSue
SPQHFGLJ7Z2Jvmy05q+DWNPACLEetAOfKIJPWzInidaCenqAcBCY33GshwjcA4hr30JLumGDdBXV
XbsDMds+KfpreYiuNAodbAud+4HXtTmDPgtUgIM88AwSv+oEkTzQTRtp0O8BHeJDJ0XM1vvhLrSa
7GANcmb7bXof0vzeHEqwHeFcaONfrvSgwLNOXdu9rH7PGuM+9KPY7qGdho50pDYtGbrAlj3U1s6H
QBhoqJwhG24a/K+EcYS+WC5dlMp9qEYQHZQov+B4tUexCr0tiYI3j5Dd0Kg5GbkhOyzPj20Zmzsf
FBwO48Qtc+nRjPHkYui7HKJaCZTr66qA+nNbHmjF7klWWY4eouwP7XeOCuX59clYCOoU1IwgSsZy
N8GDdj7jFYgzqlQJfA/bYgBx8NauugaxvYgLpy2uAwscoAUqu9ZRpz1W8AAsfBP5ZHBtmV94ivtU
60y/DkF93gc2SZpdQu+j6HtRDzs5+7aOtVTzNwcT2d2GIItVuQBY4UeeIvu7YAghFfkY03sL0M30
E7pfNS4q68ALi+kMV7h51fAfQ82BmybyoerxPolOSLeQE1fuzA0jt7CEaQyLflC4imnsDxKJHAZx
5cjpebcxb0uBdb5yhSjU9JauMQXxAYJwsT2E6uhaurov2Va4m0KA4CBnIWKydxbulF6hdVUCqC7j
XYXPZ1t1OwsueIYgHANrlspdS6FXBH7SGI9d+mVI1X2jTcP2jh66x3VnWFhnZ3DT32cGtYqmSmEx
RVaCBsa4wcuQFuN6CqACjZXO2KDzrNVQfrKOuzhjiORQKpm4Q8VCgI5WiqTq0F+JElc58d4tt5oT
Fi37RBDLAJTWoAmpMZCq9oLrKt697kdbxXtwrL2s27LoFDMkcUGlmqHkOWwp2uKQS99wHN3w7y1b
hGVUtolWqEg4eqUZvzK9ukOjPQpBA7dt+5c44x9+9bBu08LChTT1n/kRD6CfiNA8xnNM9GK0mW3q
zKkDa6OwYNHjZ1DT8M5c0NBKmcQJJiqCo+u9cc3ZLS8PMbh/u0r/+dd2gQMHPF0G0VHBJtIlBXk0
4GEZR7AwlB2pegiC0bLRknoc2abS3cJB7AxLWFtQ7SM00qA0EZTPoelfq5XyVPbMzQekM1CdYIbq
nU7ljZlb8MYz1OlXzYaz1EKL+RZQozR55hbb8zbarw/igjvOIb5Uqw9QJMaUQaNDovs6LY5Z9pi3
10H1HqPRv4CJ63gLzniGJyywFkSFoV/hYBZomVNYb/Kt7B//hV3oDEVcZH8GThvjvRR0+1yeNFx8
HHEweesWLU4SHi4giwvVUpAWnE9SDcaurJMxgnl0k+u2+g/7FAjhP78vuF49SkFcThougb8b2XXc
b9wxFsL32fcFJ0ORmD5QBb8/9p0fOKg0f3/Rnn9fZOjMh6gooxx3GNSR22ll2UZ0N7JgI/IsHsFm
wyTmTBUS04BxwFSp9mBSf6dK/kH2y73i/9CjuzAgNi7ntpRXh/X5X1xBn/OjCr7W6lkmKTXmp5eb
8ADSVyRQ4+699seHWitqh+bgqqN1tjFtSwtJwc3Q0BRIb5pi64ckNVniqzj6BWCRBKnJR2sOhoOb
jryPpX6r0WQpX4xmq084wUq9GnLajvCScmgezAa5Oj/uVI/R4bo0WQMWAONKJ++SYt1K6jCxONSn
wPBbr5biLfKbxblWZIL2LBmU719YdLMK1deojoOuV7RnoWHTU3aof9IcLxxPW5wBS8t7jiUsP9XM
6xDaDwiQT+Pl1pPdku/MPy6svUZXlRAyIJA4rHI36q4tWrnU49Jx3UWXcruYvT8DJq7BvoxpNg7A
4TooY2OGurr2TpZV11fYTql6J8z1d5p3j+VwxyVlI0IunArO0IWYX+RWTLrpKkbrl1zz8ngrp7D0
unB2xRQQwpBYEfrZJuVOZZdWilOAXaJvd2bQ79PyRYmDHa9+kQZkCHFxCv5aHRv9Nmf3MO18D/D1
Svd7KlFP5dLJ0mS0jLbmVkfi0oqf3WjFJ2TQhzQM5M4wUnpUJibXDOWwgYtCenvdXX6nWYWr0Zk5
0y+ZnTuGqsaOUxnUC36pZvuG+m9/32uSbrOhNuxYq/DKcdS0W6IfQ9QWWa28lyhkgOK7OkDfoGV4
PFXdoB8PPkT3LuoC0TjQepuTkjskT8guKM2XvDQSN2+TH1mhHU30iD8O1Ohs6FZLuzEaHiKN73BU
uEy67pFpSKZYUqs+hgFiCpcRaLXCHuXNl5al7XA+ysJ2roxcy/QB11y1Ro2bdc/YeF01o7c+xIso
BH2q04lBU8TKEN2QpCqaciIImIcoOgZQGS+2BFcWg7Y6KRAY+Ef5IjMU0xQabwbcUqNP9OExbg4s
27X1Lr5kJ3lrQ1o26RNsCqQzpzHBiiCl4Mr1ePiqmeV+iG7U9B8qaqA1/Qky/YgZSN6NY6XkAAnN
o95d45ZmB/LWa/1SyJ+DCO6Pikc0ZIUAoSNaNZC+UbZW2ObMCF4m+0Qz+WSHH0Q2ag9s6rD+OroJ
bjjeVWI737qZbSIK+5gxlrLBGiA2WKKFdJwItUdQflDjNgQL9Y91/542ri8RZDZPwsbW19GgpBo8
T9mPzw0K2uxho+hvidNt7gpixUPOJdNopiXEIuQP41tQDzhoKbYuJnEArdibGR5Udpa7bthiEP40
TMz7W7mfF7UEw9Iwt6PkOSgfX/Tsbh3k64YJsTcDaS3Zgr76F131z/irl/zEsuo9h+hBzR6RTzqh
qnkj3C+cDs7hBNeIozFM+xrhPim0/qIbi9jNkKu0S3S42bpv6bZOZH/fFs1b8UG6fV9sXBEW7UUz
ugFWeQjLieSZpaUyv1TwAzLszg2CO8q2vV5lNi3Qux1LH/8wvDM4YX0bPTVrNQRc192aOnHCwUNF
oE2DjWPXllnCIh9oX1dRBJyhPdVG7fDkhDdNJed2u4H0NWJhBmcWCTNYVJ0fpgGQIM2y0zBwcso2
mhC/hndAEEW3fnMVfOlgxj6NhlVkYzy/tyU3uNnywkUTZt+f/j6L7DSOu9qYJkXq9mnVUCen6BFZ
n/gtDGH3CME6PPodbNCLe0h8o9d8/fvTMJ9HvfMxEhyrM6E/WUxj1CCfF6Tau1W8BRU/ZvVLLeWH
dbBF75oNmOBdWgN5hHEyZkC9pHxPdA/yDzfWVnZ3ccyoYiEgydpEqXo+L5JUdp3aA0Zt9Tu9S66Z
xbaq/BZ9a4YhuC+4qTJLH4BRkZ2pu/Wrpmx475YVwn4U52Mld9NgJUHtGjK7SIj0bX0+NowQ71hK
VY19i3cob2yao2pSWwpNN+d/rwoHH4Msr6HqyLV/aXouysC3xmmskgaVEfw+qG/QXL6RXFi25RNk
Gs7ZYvS1cDRpOU0IL9EMH9spx2Hb3KqN+LqZntsirEdow4PUSpKpVyfcS/XBTgNlD7pOm8p/rVp6
jiSszJhQrmgoRkI1QHJfpzJqBvc+fUdF9roTLLBYnAMJy8Xqy1ZG1Q/1LEJ2PSondgneYBMaGy4u
b284g92zEHQ1vARTfNP+bPPkMLWzSMy47qqK236Y3Kqa/2DkVeEkY1o4rDbaQ6bxzk6gU2KHwYvy
901L579aWIAZjlEm+DcoqhnAjck/IODjon4zDLcaOrdmXFiHSReQjOYqZrxn34q67+wOA4DapZ+9
nG2FriUvxhIBBS41dANi0+deTKxybDptwPWnOSbSQ4iHZ2uLCGAp5M8xBMeijI9hZGC++9BkeNxm
6J80c7eXY7LrDGuntjtL/ntiPeT7ZoYJTuZnJCq5BMMGxmLPaKXXhPl/r6p4DiL4hAlfIyYHCKnt
6L44kV+mtpG0nX6nuF8qKJ9BAhOp2y/y5Eksxb1FOuz59NEHWeVFkl0r7AY1UeurcnGSZjhC8rKO
qwJE+b9xqqsirXZyC6VL1GsANsMbM9uIAguXLYzdDFDIB+W5VFFp8gq8jbqBlLuxOlyMwAH3Ihrl
0ybZmzqk5rThUOhPJkcs0Dd+w6LzE/QbgMIKFClihoEbhUHGENNXDNBeP3L06n9fH9UtBMH1JZxu
wzEAQjh2j1b3I3/3DeXnOsaih8ysmP4+24gSow4yRe7hIfwHinacbvzgxmEko6dWW/WOS2cEqBD8
GTHB4Wnb9QkkKXA6BHu8rQfRDZpyt5J4WwYJATBOoPzTTYOWkEJxSEu4y3PtIwFfoT1K5jcp3GIQ
XHT+T7NEIpamSSO1k6YhpNKPur+xJOMg6afiYTQO7bhxtdrwCSokYlluMZJxgCWBtmuGC7n45vd/
XyKC1TWzSFjOcizphox8q1c+BMYJHY5h+S+BaYYgrF+0qMttOi0e1hRHX6tc8hj7z3lvOlr699yY
59YIZy2j7IyM9NOQZZdj66bdKczsbtiB+23jor/lCdPkzRZT2aO4QZ0WU9ra/AWx1/Y9Elx1+T2P
d+vrdnLjL5Gd6AZo3FET8iXzaCh6VUjTFBF4W9PfJHF8KWeqXUW38QB5qCxDy4a+XwddeAaYhvIT
VRjKVEffYBGN2IzRlsHD7jFL86OS8H3RHFLaHJoM/Dz9ITMsp2SlU0YbzYVL3j+xe5l4M0X+RkwO
6aZvhvIIt6FAAfMWdJwcMAZuTONSnJqjCO4/JLj1adPuX8GGHLZA031jw1w6ps0hBP9viMIDOhmi
XEr3TXs0enuzqGdrsMTJanQ0XBFgqP6zph1raAD5Wypri3boEBrRNAPK6mIjdJ8bpIl7YDQB6MV9
/OchGSMPTdORRyyjdtcdcCm4o77xP3Bi93MDCofCKgGH4q4KhZeBtB+S0NOhVobnkgG0oQBfh1wc
RRTS4iKIWhgcc8/X9KArFUTrsdAqarklT9yxg4aGutVnugUj7PVDF/I+Bk379OIa/dT/vlLOnNg8
/1ghbPM9yEKbYto2OO5lRtGCegUklJJ86sP6heTpz/9t0ISd3ve7NlIJ4Cyyj41rFL2SLc/bGjBh
n5fAsEG63/OSGLsgk93+gwfD/body/72Z9jEstOiMeqmnUCi3f14XP/28tL5/LawkwcsUZRxOjZY
JZ5RNa8rtEND9prhrOMsbUpgEIL7alMbkNiVk/m1IZtFRzyzuW/SzK7N2m0CZue6tYstvBS2bOvl
YAqQ4uY0hxQiT5EbjSxXLfHikhzBpOGGZbMf+8TucxCRmMewhXasJtk8G7yYfmMD2QivypJ36Oi+
k5Hcp1+LN3SpCS20EFheiE3xACqeJ4UVshMahdtw/ScnvLINbXAJKVyr7Afbqiy829NBgdRu8Fz7
6iMfiy3lp6WNZf6rhI1FL1CcFREVYtFWBPGAnD1V+hbN5yIGeHtRJ0VUClbr83ilarztoS9HvLDc
ZYXb/oM3Icf2n8+Lh10/Siq8MTTEKyLPKAJH4bUNzQUrfpEbw478jYTv0iKZwwmLJOvBJjAOjHh9
fhsd+uGk4Hn8X3ImcxBhWorGR30RztWeRopjkilPxvhhlRIki7bSQItuiX4cEE1boO0Xzy9q2KVS
rUoQv66SXYiOB0m7MdhGKm7xlKbPUAR7OlXlORg7wGeuSteaVMj2YJL7IWbtRPIECYSgTJ9kY3K/
wUeOU+3pLjF71dU7bWP+lgLo/KcI55x0sOoecsrEU7T6SEfrgJcayRwClEm/xHm+cTxYfGibwwmB
R6rHEmQ2vuXFYeZYpvzdhGJGn6Y2z58LVX4e+8Jl5FEujkawJUOyFGfRl4xeKBWHIfM3JePs8N9n
gyzpIyXeWD1XbWoH+TME6EtTt+vqx3pIX3IjpKctFJyDRecLNWzX0KrXEgMhnR+r/k1Rv8fJxrFn
ChNiCJ9DCOeRkaZ+lDNw4scNFI4PxmmsXkEqRW0U8ff1RrhWl4LWHE04njRqkSEVBrSOMyfNlObC
KFFDPeoSefT9cEAzhBxdplqt7kKzr/ZZRW9kK7uOM7KPFAg9F9LgHyJZf8z84afEURbhJ2j7GehY
OA2pLio//9VHGXX6MssgUrZVm7E1XMKBp68KE3RsMvEiUGAFudq4aa3fkJTvCkl6L/pEOxh1H7um
FpkbEXkpRM7HTgj4kIiRraRWiWeF+VumPfjICiQKSve3HhOWvQ4PYhS5AbQWC2u5MQhXhwFeF8ZP
VlrYTfaQROHGqWjZEz5BhBXMZAn0gLlJvHocrln+E2Tth/XFs4igIWs3FezIqA463yCtrGmCpoqQ
hdIvzcr2y7v17y8O0+z7QvStslEnCtQqkRSHwsENQ+2o9b4OsWyCIauKohIK/d9zE0aZDVSvMhxL
T+hM22LKW3Qo7c/Xv2zxepDIVZDiKqLSJ5TIO70aOhprrjNjK2YubQ/Ty4GKPm5Ib4hnUxlrgugJ
MoLhqLlpKe/1IXYUBbUJjWIzyXD/YdxmcIJzFXWRmEmErLGJ3ssilO4i/cc6wkLlLLSlZxCTd8x2
gdhKaF/0DRJbkrkvzeQq0f1rHDdVJ5HKd5nmP1EYAdHfEEownRl76/CLYWiGLkTtQavaUItxp2gh
iqoXb0mi7qGcijbFa5k1V4lGHgtFs9dBF71xBioE70RPETF8mJyEeHNDjuiaopd9HWPRMANPGDKl
yDKIsoVmwSxf9gsUTAb9L7N7hXAHGk6t5Eb3+U0Tyb9ALvctlbd4eBdN+4QVBQdVv8rDtK1xR0v3
/FezpS65uNJmnxdCETTLmqGgFaxqW4eAP9E32A5nNbfRtzIni4dCY4YlhCV0Dknp0MOU2vzQue76
v2q5sgtN3qO90ZEKZldFZ0tRd5lWP6xC39iltkZS2Dyo3JraoMNULpcnebzVy+x+3UWWEExZRn+1
iXrPL29d4L5jWWooxEuM+KInid2A/HcdYnEQ5xjCIOL1XAP9HcdxNu1uWIKmUw72rAyVXPW3EuKj
Pq3s8GemHiPtKcDRcx0ezYaIHuKpbI4vjGJVqSQymO57ZhcnTjskxYXaUt1Jfc6POa8vhyJECXaS
FXZmKdw2QLm8TwmagSFqyRwLUqbgZFMoDgij5TRKB4UaqqS2RMKHNO0kd1DVQxqyFwNn53HUnnQ1
C46FJFdOBQ86JHz4qPlo2kZWPWcVc6cqCltuyW1fyagrScvXpBq7m54lYJQsD5ZaP4OknsfofE6H
e25VzIn96oVb/UvV9A9KiCLCzixKVw8H9aTEJiQDgxBEt1OiLdNK268a/xUF0e9QLmyhLNp/oAlE
x6FvMA6BXrXHRsrHC54Zz8xU+73KeHxK2i5zqI8zUCH732R0pNgmmMF2RjUOByPMjn6Kukw/a6FF
oQbRrjbx/FomP0eqh9da2bzFcvdoqvyd5UFmB4xN1eZE3rWop7BNrTYcBbU20Hjj3U2EoHc5yn0K
yvG0cMGtUTmj3H6zSJLvLW1IjpmRjUhVJjfIlYORtcnJvs+bj9Eq2cFQq9um5sOrzkBHm3H/dSBW
YUdF8zwy2eMQoz/kMQR1UxVK1JaJmqooSKwj0XASV2gQ26wuzKMmU/1gmQl8PmPSDmpn5qGoBq/K
kls9G49NV4w3LRQJnIFog61WKDHj9RXJ6kuoMlg2RIA6uHIF5m8zwWO01I4gQGzqPUSwcWGySuqA
pwQxo1f8qyFFsg0jFdkhC0AaVxUosG2ZZjcTQ4/WpG8gIqrcRNLQHk97yBrXtWxXgaW8hFltOeE4
EidRKCTjtegaDbQ4jzflSRmGX32F/q6QZnhIQGOPXdSZfh0Rqu5yBfxTSg0O1kjJyC5lpLRxO+Iu
TR+HABTibWT3DTkMCUt2edv9oHno5by/h3PcEs7bA+cUUw8tb6lXh11dg0SLF+zaJ8NBr8frrMVq
CaLMTcdKh8x7cRspqXRMDRahgCIsdrSK7lBQGh96Op6qoHzRp+edOIAz4QeA5b5T3VaSHrsBxEGV
Nfp289SjyLKVhkvZyIZJYePWyDPNNmUfpJ2dXuwMKaROkuWyi2vrQWnxghPJdkxCm3PfDsgvHaKZ
ytjbycjqfZahQl95pbl5oJB06yDtJuk03asR6aCSx39GNX/VeZoec6N+JSCCNgIcdfQCzEx9GLgx
NH7HOD/V0PyVQqO/1rUaCsBqG0BSzDilZDxK8XOXJDvwPO+z0krtsgvvKjWSd/VEydwY5inNrGuo
pQV21OFNPczL7IeS9xejjBKmRi4hyqvRbD9OZNVKqygXdURTpzXVWwWs1oaSeUxHsqGrQE1BwXwt
c+OkgwlbKtsbtBs96VV61Uw82WRizB46jjdOPOC2XZocY4PQXWnx3m4mPksal+2hIpWKV42x3PVj
cUVr/h4UfbfrGzC0pTXCThdXN3pH902Pq2PfyE8BM7xALm4SY7CDdqzsNmtdjp9SMjU6SLWk7IeS
7zJcbNDSvdfL0m4i9qvLa7tV8qciGrz/o+7bmiW10WX/isPveAsECE7smQcudV33a69+IZZ7dYMQ
IJAEQvz6k+Xx7HF3+IzPPG6HXzpqVVHFRfq+zPwyCXgGLGdX29A+jkzshJM73bdPqt+KwUd0nOtc
3ovxkLZTtrFQZVGVFJQOu4Xa64AO96YLNCwo2h0J9WuNdnrw1hwzjvu6UtnS+Y+JmB4S+Dgowq49
eoxGm2NW3+PqIejjbJzHaxH2BOkmUL+MUzvA8CFvxkeaCLsjbfQimmeIDbMGdhPRxXcivThQVLCi
iGBJoS/eFB1MKiTMKuokwsgOInNhYtFsaeFdXC2Wi7/FDKOLDrqSHCMmNxUsMKaLFwaGHe4WhrM+
bvJEL34ZU9h+gWX4WECqw4tkE7DfW28XmGygqCgdTDc6mG8gtnRvarPrvWQ4b5dB+cUf9FVVzThp
a+vnnfIEsGla73TzRbakywPZfUprDPNzfE3nv6j1VxcFRwj07vqkR/JqNxTBcu3BjWqHPq/kjcHk
EUbj0uou2jIyqmtFxjjnkqVFAuGzHMRrw9zejU6WzpuvJawV87htT7PnIz/zYBZ12+p4P/K3CCMJ
Q3q/xm8UYILSSYnXwT3CLtbPV/KwLj02wXtkAGUWU3k9YpMk/L036LoSO9vTKk9pGmAD6vYTD9/n
YLc1byJka9YvjXj1KS5p2kx3fbTstiWqMzOoQm2Yn90IDLzr13Wpj93i79uJ7qK1u1l8YOUK13PT
bt807a03oOCQPrTIImoOK1lKvrRX2GwRU3UJwTD8AzbxolR+lCuyjsUyImM+mWVOsSDmke3avDHa
Fmasup1lNTv4ibzzfWCD/dKeBpSGZqPZDJ+3jKwW6WUGCb7YDU4+zFqypOs/9AWWIUtYutaXxZg4
tzNGDrnfK5weq/VpbYYrMmHxTYeIHmQywF00APameuH1+F70KXDteXPVJwBrXj72Y/UqaSQzqjD1
PeByYmyP07IbYpdtVXJ2IVprKIruVMf0V8g9eBZz9gURmwfPRyQ4zGezYPMfUZVdScPnHAqQqzYA
DpQuyd5aIAtEYkgKxWG99Q82HffKM8dR05ek6ZBbBteqXKHO2/MpaTMI98iVsbqsxRZmPRfuDP98
ms9BwGDgPyaZt5g7m9pdQ5AxMWxttE+a6J758AvRoTzJZRmy2NEF0JNuS75GS9nZ9CWtCTk0ML8h
1FNZg8T1jPjOHMJRq8yT02MwYmPtW1uXcz1BWdelEotA8tQBD4R4Ru/ibQmuGi1e2YCaYsSa+gk5
sEW9kDSLGlXldIxp7vrAFHUy+zv40/Q7uARAOJt4Zb9NMhsh1UcIordjqk5L2VlEt3ltAmtg72VY
4z1vl4fI4YRMscy9gT7qZKz39Vqj+arN86YqcDqrWrJoBaR2sektulB/JK2/jy197kS9Dw3Gg7fo
vZFwg2tqp4uKjBh024DiwZMr7xIEdsP6X++mLUa+vB32cVQfuhX7MA+xx7KJxmczAfX3DZeHOQh3
QAfSnEn01K0FYbZ12NiwUHsTAiu8pMSAw0eFfNfMH/UxGZMi4h0+nd+ScN3XqGox8CYyHzukDSHc
wtImAh9eYMLcOEGuccPslziFugCC2aoJT2yMD3EEF4ml4l6mHW2KLeLoqpdu2XkdQ35CiN2CtYd4
a8Z90pGnWjVBNowWd3faXsNO/n0dEcjNNLl3NBYjIhlUuGvnkGYhX7q71sQwKKoPOq1zGfEygP1G
bz4i3293PiDgwoaElWkirvB83y81Mhh0jViG3pLM68lLvzYPIXDTgqtZ75F0eSYN2pKQT92xZabb
9x6P8AtX3AHQzudNwDssucETi7w35TMf8cv9BzzZux3XeKQCz46F509vMaYJs86yW0XNkFXr7GEf
ESDzqimjxnyKhNjhjuNYo0Z3BB7bYeApDQ7EVV2+TuyDVErmk8cr5E4M91yPxVTJN8R/5kwtH1zK
PZNS5KIxIg+ILiMWVDvANO46hpT1BWMyek9hV0yWCO5KLm9UgBEZ5TLroM4QNL0mibwxsGbK4oT3
r0xMsmhDNx21Fw53YwzpM1ZyiETqyv82y/S15TOFzR6KurjV4U4mkPQ7WQf7iLaqTDWMEuGglW/R
1pSLi248NBV5k0LjioI3ytvQ6kIH2HSriV5phb3LjSkr3dhXr2siHzBAh9IJZoiFM72/72eKMoNH
CcsNDfxyUqk7LP7MciAnJCcKpbPQI8tx/3nlOrV05/thtRfz6OUrICImN1kOSYN/BV2QLdO67A14
gdxDhVWqNV3KNvarDKVbj/skPM/EP23cPm8w5KIL/zxN6PMq3DMH31tPM4/8c7VJVmJpa1H28xTR
aBPeykN6xEwN9jepm13oR8tLOvissElHM9ZjHUs6NJCTQ6TJIhHuEDTanNuKthhrnpLM75dqR9n2
WcHVBc+JTAovThxILvLZxuowtyTMRLVdhzP8yNflsfaim2YWqP2Du6lGLGBNKMcVwO5Sd4s8JKHr
Spgu74h1n+QKS2w5eWk52zYopBvfeqaOTvTvU7UGWNa7I6+VLmZqkFCCKdMsSO0H0najPJgayIbr
6SVKujGjDVTKjPo3ul0/m0Y8j4rs7LpOmO43H8000HIAu5ItkYG8aKzLJGGHVVo4K7SN26ktemsW
SrOVryhOALdbhyuewNGMizbKLPM+EdO/1f502lJspO28ZtscfdvMALNUh0GlsF3bjIfpdWh5/Rco
wZ+BSn/ECC44yR8QyFlCFqtSYBQqbR+ncQD5vmZ+yI9s+CtDpD9D5f54qB/ATiuWaGAWrEdl2JPC
iq46u3dB8tm21U1vikWL6038Fcv35z+Q+RjdYymw9B/wxi5NzeRfNvJQimJOChJ+HYNr3/8LJuJP
flwaEwQ8JCjU4ALxw2H6emxsBf4NkplyrLIovJYyC3fu6H5lH/8e2PH/BLv67lg/0EdomlKQVzgW
YCsE4IgMPytNdkNw/7X+BBe3f3+432jmH2Ck7w53+el/uEXkSNJaJRs7xmH6BRUJdPXDIpEXRMKD
CFcIMy5FFtuST6lNvjatfpYrSLgAd2sxwhwi8xyCEyrS3MHyap/SoHpF1gv6yK2/9Q0eMJR0C4ue
4KCBIi+OUI6CSzBZFM/DTqjhfmXdeJ16bMEqK+2hJc4rvJHiio57O4+PUhDgDlMinu0GXxFfDHPp
TVueEiOyRKqPOBFwLavrjFXMZgH3n2Rcnf3IFgOxU4ZC+muXDAW5iD6w/D2no+cj0aRbr5SBd5vX
3gazu1JVclis3GNVQCDKX3GCf3Kf/vEs/2YC8IezPOhwW+EWwo5e/d7Yp7orOMLSnX357Wr+15f1
/9Rf5d0/rpv++3/j31/k6BSvUZV//8+/P8ke///35T3/8zd///6feMvvH1m8m/fv/lEOhht3P39V
7uGrnjvz26fj4Je//P998aevv33Kkxu//u3n94+ew09DG8W/mJ9/f+n48befgSRhVOQySvxffzzI
739x897jzffz+1D/lPGh+fN3fn3X5vJJ8S/pxeAUBcGFEwjxfNqv/3gl+iUGD59E9DKaAgfun3/C
zLBp8KbkFzzOGNYnAOggC2JYsbScf3sJHwdFJkmR90MZWLX4539+w++uwb+uyU/D3N9JsOD6bz9f
Hth/PWEMAg+kXySQRAawX4Zz0Q9ArV2gfFqggzp2kByUMP8Ys7WfP+CptE9ttUsXWEwDhfwr6u77
deS3w1784RBmH0JekpAfDktrXOfUWdhD6OXBmfaubtx/RG/+fghkl2AtgDFORH9YO/xkg+pK4BDz
aHftclZ+fVLhXynIvidRfz8KzmIMxWIQQV36/QqVLHTZYqjQQbwsuZhVPqjx0AXPA6LQ6HiYtzpP
9Iu2Io/h+xkhtjBJVuwEPoLdxvIPd9/v1/aP1/L75/jyXSIo5wCahrgzEGnywy5HiOmgKcF3UQgl
ozTcb7rJq2291lY//vtDQUn93Y2ThGEMThoEIktxC2KL+4FhaKaYwrqgC448albUFOTVjMIVgidb
Dn+SOdf92BQYRwHuIMg7db2DX0g67Rz2sGyebINM81FnlTDzThL04p4f5xFsl6+ABNaF2yywgXgE
+rhuqMzSF2aHl7RN7sCpxNebZ87a+MhqWdsPp8xzuG3xLqAh6u1xTI+kms8IwETFCna2nOPoPull
X8wTeR+CLvoUC3/TwJOX8UVuKKcRhoA6ka3jZ903jS78MEySvG1SpBkSVsEDMGxRWRYd8foa2HsE
K6eJeIEGnGv0nq9x3qrmPWqDGjsAX704U06kz/VGYXug0gdHHdqVFn6nh0mnZSMoqzPkTKT7UMa8
rFizutznMgXYobfgGxtM+DCSNT46OfVP82rGfTNX0150vcUbY5Ov3XZlY/NrS2EQnYRwmLJyinHF
9QO2zbSIJWuyKdD3o4390oFRPq/csQL0eFcYYffpSppMdVD+sKUe9jNGs3Lg1jUsY7swJ42W2SbQ
8CIDUe6CangWHewV0jlIDp1M6Am+seTYAlbcL+noZ9EC3j32hzRDFrnOIrl92TA/AeMA7hcjT7qd
mC82twLecoqUNq0l9mb7gWHH9dbGMHonaZnUjxNG5+Cg/E4qeqeXCR2kN2ESXBVBr+tDAr6odJUX
5N4G6QjwbkCJvW3LZom70reMfW7CBl4zaQoUhexoMIwnZ4JxP5q0Af5qcLt6I+xC+q69mVgPpN9j
H0rUA6TnFEAAkNZ9nIqneaq2cxdzmQ16vYoTBCANm2A7R+v582YC/wgbGpOTHkg6n5Ylq8Ep5XIS
N0LCW3NLa4t+H6kGhHm0dK452CUd4K4mVEG6ZTwQZLTmEqbHb3T15gPWq7cmim2OptNlKDFuW4WG
qAdV2MyyLYl0frau7XAIRfjcwv93J2roEPo2ajLOuSqjDo2SSk1YxgxRxCPRqlip2E3zsu9oH+XY
COPMZ0Bz0nYlOW1rFL+VAVDlIdsJoJfcteHbNLgbNQcxwPNmp6yIsawJYMU41W9IrcZzmQCVFhyA
ezAYt5vVxU+UizBflOr3VSfrclFBVcYruoZK9WMOiAorIYKrag9oIOzzcp8EN1rYDPl/URFQ40p0
dNNNwIGuIT/5q8YvrmKW9yOGVKZwRsVXkzojUR1nVsW/dkENS1N/YNlQNzxnGzKXjd8W8IL8tiDl
l/YJKKn1wQIAgrs6GuY4QWQjD+/bQWIus4u/LNQZYC7iiWpdjmky3keCLJht9x5wPYaDVgDWiAcV
IHwxMqKv+jZ9EogOyGxEfkXb8lrXTbH2/FW0SgGMcxOWveYkwW5kKQ+bHfHbMxPuWIn6NvTvIxSv
AgRSVtEuH3p9twbpJzCcqqyBqgYhMmeB6qvEoNH3I43bWWM8PRcmogVYoK9OJM+QGGQgVbNUsFIv
bN940cVwqStxF8CIxIch/4sg3CtEP33pQd1mXctv2rH+5IfNjef4VT2DHhor+xDw7XlZF7hi17c6
7XQWAAyhaNwtnitzod2XNBJoFnGS58R+g/NIU9TERAWxVmExQ2wyiAT8aOBSJa8YwjtBvABBXuY8
XscHUE/0rjY1KxlsemwCkioIeqgc9XrshwArV5xk4DN2ceXeVq//ohz9LNdgQUdmwDDx/lPS9h3g
KP/I2AikhBZBtN2bMdn1SZ3Fdji6YaixLC/eSVO43TZLtBsXwrKgqkvUNPBLB1WWbVQ/rIoHZQpd
64Xki3ZhhVu1amkplH9sATit0foUNgoZzVvfYmC/9oFdhQAfK2DoUzyR0pMSkKUGhIPNRJ87n78x
MKciTMGFxl9JL8BV03Na6ZuuiZE0eTYA8MATZiSs7RW44CRruql6pqCRAixuiy790JgMc5sAPtbc
JQA7lZfx9RJxhb9OAN1mw2wep6odiy1Ir9boFS4fmXHSy/ph3E9OIK6ghofmfOd7rToRNINlDIew
QiCLHFgV+viVpd1RRv4I7MMW6wLsBAN65y4ST7HoPjYF4IMLCWH5hqerVuu1P6c6013w1QdenG92
eurXOgKKCGSgQ0orHVyYIVcTa3EiAB510bs3TyESakZwDzYFdtDwsZz6WjwsEIFm41j7J2EaVSDi
Dul8eP7YNE1Fp8PfjTL/o07jmn9RUstv5vvu4n9rP+Jheg7OcnA4RKH1/25JDu8/oTf5Yzvy3Rv/
1ZEgXzNmmBOCy05EIef5V0fCsJHBWRslKOAEHOz3jiQgvzBCf0vL+0dPgnr6944ELyEAHJUgBuvx
N+gi/pOOBFYi35WWqGNDqAJgO4e2CM2J/2NNrehSUS1afhqDIAsM6pq4qve8N6dAdPdA1rLOYcdK
KCgj9lniwbK+6WGRsL40Ufu5UuMb5KvgnMiaA5jOMd4qLCaGGRgUtSRQLcB8zlns65hHtPV6r2aQ
YWDYyHS2KFOX4Ql4dN6l9JQA/rXRUxDzA8ReGVa3bKT7gUCOEpcuWDAhbB+3LvycsDpHHZkhTekT
hyIYtOeOXyjBBkdBt8+XMEaVzJ4C0u3Wzf+QyVcvuKEWIgs5ZAPHcifS20FJoBIBHErn5H0WcIMI
kv3mgTZO/DzkTwrphM2Kj2/eF+AJ3rpDsXq7IGE+C7Dp9gPgCRaeNJZVQKOZ7HihWHxqW6xl60R2
RD80Bpj9ymDjAdgQAMr0UMfpp4HoY2fNddrZEuApquhkKik4T0jIZQY+7VO4NJ+NXB5M6Be2FjrD
SjnhzxYF4QRK0mUMvoQRv+0MVlAvXF/5heFLNgfTI3hXeGCNo2344G1TxAEv2NQj98Sd6XQ9cogG
gg15ezx8gegANUH7CDKPAFnprmjQnukK2FmjvuDgUuIYgzlT8GkFUcAwIRs4dwA3j2HZqgX6278Z
HmYycsiLpfzRbt5pjoeModiF09n8DK32ZVCyf3Vt/ZZYfgdY/1zr7dyTEXnV6tlT7eeBVxz5D1EO
+yuQj5RkfFQISvCwMzITvsR9coaDhV9gXADaFsH4yzoGdxQlSuY2CCWmEBw8C37tohBobWM1gpr4
m536Rxor2JosAcv5rO8i679PNZdH4Xe3JGBdoY1YQNLyINcNvds2nGkykjfewmwHsTgz7tKu33Xr
rE7d2KkC0pWTL2D4n4L9y3W0fWxCfN7U+hE472XatgaKHw3APnUL7h14JXqJobnfRY/9MIzlBuq2
e2nW5L6e72coFDDuI0AWyrvEvHe+hDhnvsJSe6KaZX0Ntm4JYVKingMegkpXRdVrNBescOnyAOP5
uaB9XARV+hyhuoV3JCD5GuU28/DARaQ9xugLRWJukqUbchI3t1szIOKcPzqFkHqPcIgEiIHiqbrv
2+1mU/QKmTcuM82la16qqw4VfBiaFmPlELXNX003nWKE2w0+ZEcBHhbBWFXEAkb3F0UZIltFAZPc
K6/1MYUAPgnd6s5rp2+CjAcWp6/dKDzcMfMjwM2bPfH8J0rNURkQHnO/gtYHGd7hpquOAloKBLCs
xWbNHtP72dbOOcb47zaYskWwvXQM1SabhwzW6sca/pXthMg2naYnt/XPVcAKNaDlrNAeBRGoXoIl
YkWt1hk/89Jqt/T61CEvGLQyPyhdF32t3lAgPncWnr40LCf3QpZ1v9CpybtgeKw3VjBPY39tuhur
+oOV4nrRFhsxnmIVt8U6BPCSpQHaTbEeG+15iPylX6TxriN8+1h4EzZ6d6dJfa7SN42HLTNR/dUI
+XXcgqcVi2CmVlxX5WOWGmYZFe4mO7sitN41Svn92qi8g11H1/eIKo/QYiwDew3G/rWTYKxH/4ws
V7DizdTv6rBOC6QgLAVETic7kKeYV3d02K6Y36EDn58gNgjWpcCdnJF4vQI+ddUMCUxEweTV2uSC
/+qZ9NPskpvYA0m9zV6GAaJHkfpf5znatzByI41XWPMt7JBMMXrp2e80unKvhJIsA81YptXHPEIu
AU1a6hSECdUAjAELKv3dnOs/qkX+16Ce/yoW/i3wWbyLnyBCqf+8zsBb/1lnJL8gFoliQ/eBfoaX
auKfdQb7JSAx5PT/LBn+p87wg18wtAGklAXJb6gogKd/Ip/+LyyEig6vsRDoYRr8J3UGYz/WGQxk
CQCzGHE0KUK50h/wMguAZqV05Edbpd1JSyx78L/fi9ijJ26BnaChqssoRG7B4EDO9Q0EBEmveUZl
3D1UE3nkhl+j4s2pN5dRkhwHE3P4YVONfe3CIFuwEYvl39gaPc26868TZPOUloZxKQNyNbPUu/ZM
/1I36ydNABAtaz1lYrPjLtDLidXxVvS++pZMS1PCkZbk7To8u2X6NKQetLP9dh33aIg9mCFkTdxu
eayxMFjEeUeKP7VxdGCtWMpglm99SJddorG2jO4yZspgQmiBuNTEf+XSf0FnfoWpgPfKYuaTBdIU
RECE43T/7mvgTvgvn+bIP/FYn5dY2ZIPKWiM0EJxZucsAqtPPIXAspS9WeMaKOsScoZDOCRS8XbR
CmDO0/btR1+laDm4yF3nXdV6mLOmXfiFrGl21dTdgJEFBy1hZxwAVCi2btVnIbvHPpFYvC/qIB+C
AnzHcCi0H5bWahCxM/tiWCz31ke+LfemEjQ5yOq+PiWjuUEw+AH++WVFz61ekx3zW6yv8bH3QRcb
RI9Rac6NqCG1XextkqrjOEmse3WPpnZuX4Qfv/YxIMqKqNPmsTvIxMvVufdIyxeakoe0WciuUrvZ
NdeD39xC/7mHZARwEQH/TzE8kqVp9SJjZbKEAxLKVjoA8dySr9qHBkHp0KCF3a6bddEPCBmH9MeC
exeoSpDiDpAKIhnSDV/mfolPk2gO4L0Om6/2lRsepEkRpFRDD4voqW/wfZfIH/D2OpUnCMGuKhJn
UBtfCw+O39uGxbFyVwbxU9l0sWymshwpB6aV1tkEU+Z5RiWcXHS5AUo43GRuYPnSAI9IJggwGKDc
aDzPGNEoRAzVsqqq2yCdury1y69TbEommUb51RxcEIGHR4u8gbYarF8Mnj4HmzzTALU0nZsCK/jc
KUhZtctDOfQ5uncIQzjKuO5ErW1QNvf7vtlu29V/qoQ7ucrsBYR/oxP7JJyhY1mLLkkeL3NrOjWY
ARpoUbmogETuI6DqNaAx5DRDhejt6Fa4+qGPxd6j1f2SVEGWxPM9stcgFWWsL5vJIDTA+9b41ROn
6Zd2Dc82Rvr0tgHkCzDTsZxR9KGEW73bSnovczS+L+hFPDFcj2Z9aiMkww+JD8SAPbINMwuT47/6
Alsjypi9Iuaua4PratHQPIV12abtYSGXPj6G22H6Vmv/khaG3t9bTZ1j/mmBKhzyPS6qfJ2HoBg9
9bpo6CM9CLpGehJRmg0CSGwDZHoW17Rn94Pyb+cBOyGE+F+B6w77BaBUmaB2q31zJFu4AUJAmmPt
7QNVfUhGf5UO+Iwnk+t0ZsfatseaDjhsGOCRrlaQlJ56TtYWWH76BIoSdd3UmMzzzGdv8vC0LwBb
iAvcHsqPAfgLqiB8yrfJE+0psNCYRiPkpINL7AmSQKi5t2XK2ha11+TTJjOjTfexjB7CeHAFHSZ0
bwC8gaNCPBpxue0VfMIKYXM0ZT5pxbkeUd71lEEj76OqCRaKgYch8bIh0Tqj09hljT+GB5n2HF9F
PKWhZLtArLdbdNGXrA+shnatocs3A7t4OBOcx3bboHxkXT4tboEa045ZYCNoMVuDhqitTsQBFBwQ
akA0FM+UzFd6gJ1Mo+mnLeqe6wWVqnLvECwKpLiNN+0lDLASkHx5fKN7b+78jDsIyjwDYxi6+CJb
SPhtUmgmLVzcZQLwTEEAFsj0uSX2pBqL4h4rGgpruOP5VuaVqcfH1Ftu2LSowq/sTeQ5mvGE3TUQ
zOQG4FcRhh5/1KR/cyMQTKv8dj9JW+eKo7ldjDdkejJJPnUGYjoX0R2w3CupfkPj0s+ipcFuHrer
Lo6/zsSWNoANIQb2KVbLyM8hZXkdRwl9JkEBVa3VFWys4qza6NVYA8deJWSaczUcrQvhV9jV9WMC
chyePNUucovc8XGZM8GgFU+TBnPWW4z+Kkyxsg3mJl370jUQC1tDoH9MArTIFYRJC1Xm2nnsVEPk
VesUNX07Z6EacKmi2hzt3KSFchwnUKrSb72PRo8vsUqvhNkgY4Ngp9WTuOXE917FNHUYjkASd9hD
LAuXmxHKoUHebb4tUIfc2H6ar8TC9QnWKs+QTnrtJdp8cg3qaZJBHMzwEKLcZZCS0/46XCQ/TCt9
ryKyQm/PtwLGg6XSFL7ahHwLt6XO1i2wZyRJ3LEe6sRw9tqdTKvgMK/olDo8zxBu6bZAINmJmhEg
ntsKpr6G18o2RbjyO4jfbgwesIaQ98ivFuQFBnXBAidyr7Hf5qW6Gyr6rjByAIe7jz6gZzPjOq5w
se/Et67udkTe8Gm44ia446vaA80VmahrllO/ukmNHvOF0F9TvAb9Y/w8ig4v8RWYrthraE4zRnpz
HldecBTYsLiV8M9glsxZgOCqvFL1vounuWhc91p5dZj7a/LWj36ZLtzLh9n75lIMQ4QIjr2bzFiq
S2Ugh0tF08gEG3v8xLaxL4xNbgVFyxGx7YZD5iFn6K4kDe4TMKvlREPIeyv+Ws8W4MwYviameqx6
qG+b1nuo0ADn8ej9Wk8+zlKNJmKTWNGEJre1Dt59sd7wFtjAaranrmsBqrLZ5HaAuMXDfuJXEb2J
Gg8/z5uTDGrpZyPZlV2raEenoS1rCmHPcLmp6Fw/ywWk39all9+veUGmNCgGB/A05OAnqBXAbqdB
npcBriK1HTBwMitMZhl9njp52w7zY3zhb1KDQYNpDkVW16rLIUwzBVwdBU5Qs5aWCYQlBsKVWMPu
4g2spR/DuxBu2tDdTdt+kw4MZNOf6yl5GC9mQDwYoPhM1sMW4RuZ9apeA0DjaLQxaF6oZnz2XHBG
vbmrItAkbgBdDhC9p7sVGEuxjeEVBkNvbILFL1p3XVjvptY/Qkf2CcGKdy3cQklanTw//DLjQccE
uedjwLIl/rndBHkQw4p5LyZzFP6ntEofFjK5rFe+zsNobssu2YCvIO0BdojyjSjp7qoWu7VCMFo+
G7R3bFJH3npgc1t1iEXTYZ6rPwZpB4Ldoa+9uP8nclgxAYzzIS/DMHwG4YTMWdggzXtWYStIUF/N
zfSwxOYi8wkeY2/B+uu9pNFCoWlOcS8Rdz3x9Z6q8RhyjN5AYIhnNAUVTTdzdJ0BGLNiTlWYvimx
m/xf8s5kyW4jyaK/0j8AWQAITNs3TzmP5AaWmSQxBxCYga/vA6lUIllVkqmX1buSFTPfkEDA3e+5
1/ezHzT4Asr41imTL9pD12nj8RZh5j5Kh20pO5bBejsV8s8d78nS3NVpexLWsE6MYS+03vulvp2y
fpeOmLOqyj9XPnWdx90a+IO9iuL802zGKLn5uCsk1izPM+slkgZJKkrrMxj/2hhLY6Oy4EXJoN2w
no/HpqlKZpf9KX+NQyRPnpIBVpkCs/m67Uq9K+kkBtEoHis5dSAh1UymGJcYTrFKxLKZI30Ey3jL
bH3JsnbXROmBYczjNA6PqK4b3zCuVFvc2rE8TI5zrSVTPey8o4w/y9oj+sovuCmHHfcjfHrrIh3N
h6Top41XdlsGOKfJZEIyOh40VMKt8Ovk+7+z8/6NN/IhgP7zcJ8bPGK8n3zfdv/xc7/33N4vy4JV
C5wIoofO+4+e2/3FcwQ4EnGGDiQETM7vtJH5C9mgJm0w+gLMrkWn/HvPLfh1dMeBxG3Jjwf+3+m5
2ar902wfMIXf4oNDeVLYLAP6kZcJSAh0Wc/lHSiVWToU+B9FzcOdS3AzsGCjcwccTnMB4mfeNS57
baqKdIy2kYAMxldwuWrtZ/C1UzsBqgXDJtWx3GdlncAvF+R/DGW6TvzuaXY6/TAXyuVCI1dlnKuW
c97BiVe70yaorJLT0pJXo5RXrEOUex7StHtdfMHceVvWM5kd0U3kzDxGao/jNbp4Y7qJ6Cywh44P
Pfcf3YaetiUi76qfp20TILebXv2YeD0yPGDEYi6Uq4QGYI0xvN255nij7Py1SsAo4u4hHYTHrCo9
W1P/0AGLrso4v4JJ2M862MXldIztIjWQ0M3HWJlPrR2+JpwjB5WLq6kerwlONteRZXxJAlKyLN2m
62qZ+LaV+GqK8oiKRy9vF5jywmrfltWp90TLExgcMi/naZ1HrreaR0evShSMzu7WuU0ZH/rRvnUU
gDVd4UR+S45MTFjEczuiXg/Q/qtshD13u1QBpovX0ql2Cd1V0bTXsqDW7b0bkdL5uyJY67HEJIcL
Kh04vi34SHIud8Av5FoH/T5YzHEqlM9JU3xmOncV+Us4r/w0L9qDLpkXh/FMB4cxokXZVTnHopac
1Ee7c9mhkGBMIdXmIyr1e2YYN3wcvozMPacFo89BmsPeAjDmqThmdDyIojqNt5Lh9qH2hwi/geOu
dJ265GBglhnkuc9tkhHCcJlxpNbnIHGKx36q3Hd2H/GxS19/qVw98kMR6eFDdoxNWO7UqDastKrQ
DVJv34tcb8aOcPYhLrpVazPDdvNeHWZNTHvdDnoJhY83/tJBxxagVKXy53FW62BcGAkjxMGQfsOl
QEoCj4YWQ+tKB/F1KdJiPfvpOQgirHc2sxd8M599V9/OjsnTchjHNTOUioWU1Rdl1cMaoRlExJLx
elaYG0rzWLVdCHfeX2hudmlDMYBg1BLtztZWJeNVOKQkErPgqZDJRVdSb7oR22zjutQ3lvzs+Azb
pwqyNXWLJ9qgOwZwNtOR/AkRO123Mr3Pa3qxfLStbdkln0I/vm+revEexR/pPB5alTzqdPicRPg0
K92dNItyMdOyqVq2B+VR7ysz2BSk4RgZ97fRYDFgGX3fHk3UflN89Q1ZruPUP4ymmWx6ZforPUwF
qkzzZeiHqzTzo7WuynnVuFFCL4xZhr1nBzVxWxqxR8U3x1910uEjj75UcBi2dnZtEe6s3Nyhg79C
Bz8Y9vgWcn7iaxZPsZ9sJQag3BTvSs23nhNAvbRHe6CrAov91WXyEA6olvCl76Mc83Wz2HHYN/Eq
0N12bpWmO+71Y2KxxJPdUu7eLMOXqExfnMwYD13cjTDD5lcRMW90cwI4OvWIXWblNvlZle0aMnYT
qFETKG3vfK2jnZO4t6GVQp0MOHfHSQdn1i1eV0JhO20m0n6S50QNL27g7vrc3ODjoHNjbLcKkwgb
iRVgIMpXFtOJ1eQjhKTN/SB9zeyGo2yc5ZNZ8kGHJkepEnx5KIHzxq3962qYLvFsEyotKaBSoRw8
OzaL000y7k0ied0+fsAyi2MofYmdOdpzD/vbtptApWyX3skA6bNahqUee5ZGpiGTxxlONrzeFkHz
QQxdt2sd6I+gL+5TNvmoSNtrJ2pYhiqoxAuTMxSP+2ay8mE1eeqZqeaVzEvIk+kCWRFShlNdsGCP
eIHce0698N5tInxYPfcI/MjHZIDZniOVVSlqpQvyOg5fnAhnqhMmeuOU0ElOS00bNfo9N8EvIoyk
nEHOpZXWU5qnp7hPgXbaYSvd4dBl2dlzXZzg6UdhxFvllu+9FFu7Dpo1B+dVTte9GlN3LXBsVG53
K2YrJgCsuI5H5y2IzH2upo6xMpJb0G4NfCQ8Ce3tXJjYTgNor+HGibyjzvt3y1Ofg1rBmgnz6+zN
XzMpWTyfXYsFu5BNSOsz3pbEwpvS2IectTbHxUrZqIXLoKbIx68YxB4s6RNF0V23wbSVnl6mQIdw
Vpd5spe2OPwWFQX74v3rxNdH6fF8Qn6L+v45G8KXye2OTTicHK+5Gu2eBQ41I+7af1Nmd5+2zada
JNeJnD7XtXlCjX6Ayn11Y9YBY1k9JpUeVtqOt5gQj33qXpVpeGdbMzkBbX9ehKK8z+97PtNU58eJ
qr61PSyQDTq+KZ8Gs6MOqE5xoA9tRKIUWAyo7k1cyo2bq9spmm8yX21niv0myM4NHsJZwuMWbXAI
LWvbQgFNTD5WjppfCi85RqbkuV/cB41+MwK54ZU+hZEVIptGh6BQh9IMnpI5PjKc2lSZOkVqdla+
4/OABDJrwmuMiIfGNb5gdiKvEaE+aTomE0zOHYDKpa/VxnZuk+vB1fzq7JYnwEaTkQyieZ+K4mz1
03UY2jvbrHdmkn5LEY9XaHr7sbRujEDdOaF1iUIr403TSYQ9zt2EwUEUC4i4MFoxt7jLmD1vYlVi
H6/UQ9pNX6uu14dKaSKxdLXJVVPtArOgQ7f5JGliPXMYXymiD7i6010InAo4MHxWldlw9jVbwMiN
1vJbroyYtpeHoSpj4uPaZF5zBFzIPQak4DxauQGapvJ5QtiLIoxz7CYMOrCIPJdwAdG4DZnnb72u
TtEV+nZnBVl3O/IEHqHmb3q7Gw4xqRD0RKZ/PyddSxhfGVwCbqYyre8Tm/QIFrN52yrJKWKWZR4y
MTuaFJQVzHagi0CDc3FtmwPnj992V2PXHgzDmXfG7GPYtfLdpBiO1WhBnO5MoTOmPg3L+EYM7n5G
rsdIQb2yGg8jGHkMTlXe8NtoYKA5aszgatzPlXudSue+TutgcfSWq6zgEK6y6iHEs7JydW9v+pqz
pCi/eqX+1BlRQy8EGklsxbGtp/ehqPu9mO0Qz2njbUvTiT4JKqcXNq2KXV/x14QpJsBSVvdT0ODy
HIoXbVbRQeb6KpmiL0zTPpVjkl7yygkZt2XxXVy5NyxVMfZ11X/JSknSAfb9bYiZZEvp5yT4wsLo
M4tFWNLaeRQAPjuSaRJMkNCxfjFrkZ5aXOX30m+inRpwplcjrhk5WzxGXdY2u5qhg9UW1abxp4D6
Jb0CnGwgWQpqihqPkOgSHlV28MpAm5l7qO6myOWmr2N/7QSaQikmzzQIh7fGj9VtZE/lxtFYCP9+
L/hfRoT91vk5YFj/uWP8zaHyExH2xw/+3jL6v+DMlfI7r8l3Mq25bKUM6OQsXA5/tIzuL2KxSWM3
ACXjV34n08pf2DFp+7SflgeqQAv6NwwqP/oMqPHY7euSESpJ1AK6d34yWBCdk5pzMmGwCCZnnbvz
Jz/txJZ/+1erGP/qlRbPync2KFf0eahU5xwpXVeaZjA0Airwvwga/fev4lrUimQO0Yr/+CoVxH+Y
dXwef3CqbZSnT3OOEUzU+V+Fdv3ssVm+OfJ10N+JcOULXFrx7z5PMyirgvR0jjLLr8sufbHpj7+7
mv6N48RGwf/BPvTba/jCk57D0OHnT9NKUPumwHLCFtN32UC0FMlMeeIiUow+zspqaq+tOCaNx2UI
xCP0OTfT26kl2WBcVHA3UTSWPP9XcUkdNlBHEme8NuPyErH60giSt65GmkFNUGwtdUWXbXFdbGlw
K4RmeR2UwwsnU0uj2R/QXv8q7/xng9SvnxBIgAJQCK7ln2xEGW1aM/amc6zc6Gvd9M9VPR9Dm26/
jsV6pphf1a359Off66/f2/e2rOVVYSMs3xJs93J+jY3+7m/HdJrpKGQ3tU5/8JJiHRNUgx+amJaz
QyuPSP150M6lwG2DZ/hvX6NcM6wtCFwMCMuk5qcrZwJg6IveOfYBgzvPORnWlQ6cv3gVth3/cPXg
ISL62TVpZQBB6A7d5V757lNif7ZkMXfzcWwJ9TU6m+bbSx8CObFjbHBJAknUfA6qML1pWSm7itL4
ymMkuxIhfRZOenMlKzVC3IGI5aW3abCx5/Z0yY3UWdHzKnpZa5NZTrRGLB0PdR2IbS4ZeTTB0KPi
BerK7ZKzsqY3OQa3RQqohuHeWpWD/EgC/itOILidPHh2eKmd8GOigYIOIbqU1iHXiD6p8ClRBn0y
G28XVAhTjTL2eWOfYfZORl3fRKENOeZdGh9QfRNSkU9m9lTo/iqIy1NnhxTi6P6h2kWD1+6bhfku
4+GqEUx1gR72sSceicV77vBYbTK7Psel8UCCQrjD9odjJYnunBjxShbtjS9M5tMLUeDV04B9vX1x
vNzeyKZ7L71w3CZGGO/rcDZWUWXQdeiKcUQbhNPasrKXvoqKq9h2Dk1XMK2fono3BHO+IeEHTqpp
uByVMTFZcN7kMJqroiHoyE0BMzxrflUYmFYkDLPesrQu0m1O8eR/dKG1GfmkcOAFTb64NgRoIOMt
bzW01rNpVaRNRXhNjIyt0rXnXFueRjR19ZuH/trm7IRrptdRddfEQ+hDFnjtKpRM1bQ37CsyRiDR
s9fOJx+ISBhQzoqoOVOcWPT2xZvTR8bx0TqKpiffAXe1+kM8iydZ6WcrFuW6R2lcd8Z86gULT4XU
1oZZIE4SD6qRMofSqJ1y0D0j7xBS59bcmkF8bD0bw7WYWCVixWc70edEOV96I3hoSPhbkenyNg1e
wWSq9gkkLuRhGD2iebh7E0tjywgY6gShyGiY06+5nmoGnZNxSecwvXRRb8qN8H3qRjxl5BVYJnXe
t4GQNuKvCnWf9T56GX+yeWsFcbuz6zrdQ1a7TDw7T79zd2DbECVha3GPo03Pzjek1f3E/ZZNxlUR
ER5edOcQr00GjIAJjxZyjua9DvqjW9BYhBmyiZMOFzfo7qw0OQ/oBsxpY7jfTGQYdmiCGSBOm5LY
M9VpanNrU2f2vYjMg0VLTsrcp7Kphq3Nq+EnY0JQ8RwwHPJMRNrvTH+i6B779MrzIJzLoU43k3b7
JxnN1qvZw1ox1IRbtet+4wSkjXlgtrwuOT1ivJhx5J1tOTz0c5cejJBpn2+EtxgIT1K7tECl6b05
mS1visHEBuVV33qXnQ9s+oLprGrjU+IwmjGTSJ4YUj7ZSZ1uvRx3DQTpQOJS7qwZVLynff/aDUHx
1kdevicrwrnBdor1Abm06d3rMZ6vkP9oVYR528kqOaMewQ0lFS1cDrvjh8PG5BTZWlJ/ymqsSmrG
jNZhrtyVoULn5u+29oqqXlVDg6KFyLRKahdmRMTEbY5tv6uNor8dhv5Wjc2ByCp8ZWTSHObEvEuA
5bs561aT1SFkM5/CKtPsLTe6LYLxpZDRa+TZwzbOl8kjnxTN0OxOnl+Ljdnl76HhhuvBmEbsdBnL
qJqkebRUXe/TyvkwpmG4J+TD2wIeX4llklg38m528QG1tonaN53h4+7bzGU0XlRHk+2tq3JE+kpn
DOu6lCfJvmKfASJLFYS17hFe8z5z9+ngfWMNIFMK5qB1lLEmMx2JaVzPEfhd7OE76cgfC+lXrGNv
7cmMPXbx1p6Lk2GINyOcX6dMbTv7LerOXdrv3b6L175Mr9zlHHbmR9NSmyALyMk5h2X2qrP+YkwB
rRDJURvZuYxZ1xm2Rc6ZXTIGq24oSMc0DSaO9hOJLpqb37dpZN1u31rj0ag+QCVu/GZDohNKdKFJ
rFxZGd4e/a0QSwDx0qe3YF+QXrjV2m20HJwSomSq/Y8xdg5sQnpxZb2oiy35hQDLll+/sDD2xLDv
bZqi9zJ8m0ve3Ez3nonpgWm/7QR3fl0/z73YODEok4nvLpNnURLdlDY3oIEkVz6z5f25zSwNLe2u
s8q5CKXo5IYrnfHvA3pibYPAht4pbdpPdstZV4uh2U8xaVSRzeQg9/ZtYHx2cuNrqzVpdsOWFYbr
OX/paBQVRH3LrgxScSp5DF3y47XNit4029n9Y4QDrCvd7ZBjkCD68uwhqMZ1ccRChsJovgd15iOR
uPusz3D1crHtIw8R30bZOaRWd5e0vD2/6Y+e4RVHpwF9sWYkh8gsL0Xeu9wouCpDWzDNXyL74hK1
w/faR7nkAJYmOVrhKCpsC96ZHLxu1/ig11klyarx71wX82LaM8o1Uy2xc+gGq1V5kl4bXdK8U3e6
bIdLPBC7GVkOnHHfrnWWJes0akhniYNLFwbnroeLHF0LOCD9IET5tTdMxlYVOI/JbT+a8ZfE5yrO
rOFROowKBsPYuRjqtlMS8qiyh/Vc0UOTlfMxLaB8E70KHB6rNoy/OAObvqP5MtvqHpddtFZuU2xq
NBWsIzlvvHwekJlxsbhiXXkFWXPlLlI5xJLuBkqpsl9poU0eG1W+h8J9s3ny25E85JNzkkb05Dip
2NQ+IzeSg9B10/hS2OpCPbhi1dPK/qqtjyQkGLJy9roKb6q+OSTifgKYnhSSkYcxQ/YkbX5RjnyI
C74sZz6NoJd1/RRkX3znK3DQbGVEpsbqZh7le+Znp7xcLN8lVEj8nPTfDANZp8j2KtQbV2yamsRV
Ap8CTIwBcRvpBwYFharmcRfKYmsXN4ndbMcIH2P5NmD/df1qlwUcroL/2wrNO4I8v05WDNqCoVBj
NS3mUzu1x1I1MI8sFS05sjiTooewe1bRKTHlyg3H+ynhTo4Z5rCIscPgkQYxfj1xsXUHc1vsKmad
uqM0snhvyfQZ4cii/NBvkWmjXIdMWYsu+wh0+UYZUh/jGUAhWKJWoyy11pJD6RxqLquA+CpXeNEW
xeM2sSgEPG/hfQRTv0F3Oy0juNHBPBmc6fXUc0GUPnKmnMZj6BRPfjlu+ii/F2FxLAMEo54BSozL
Ze+2EvyNEW3GViYUngLDctxIFl1JtZ4tiRncY+eJ08F/RUlcgPbqb72hJXhNAg7vs+KDJCJv19qF
vQ6cQp2ShGlQ7L0oEG/Q3cwGYVJwrL4N8wtkCX72LIBX0L+wd08d77zhSqB2Tzaz370GjGmX4XXw
jVLGpvUDkqOGgBP2OtycU+LtSSm6JkyP7K4khxxzzaNiKXOU8jezgxKLamiuhmGplwKoOvghlAZM
/CJjheZYdSd7oguqueU5yNu1HF330ajIc6TyAR/zggfbc178iKFYLZ7M1H7vUZ9CuF05cCFoFFMK
uvvS5FMyzhQfZiYYonbjuBmcvKEY8vPD//s51D89Aw6t838eRa3e/uc+eQOHhWF4fOu+Zxh++A2/
z6QWjAHFgeiTf8yQ/mkdcH9x0IVwLi4UAY+9P2ZS4hfiVWBkbbKWGEC5TDz+gTH4v7i2ICSIURK5
FeDYfys05V8gBnyYZJYI4QULSvGrseC7vjVOirkmN9Q7wIVtKsITb4aCCAYjlTihGGfxv8qX776s
fzNp+XlshF3TwhFEjJTrYgSVy5jiu5eslcxRh4PxQBzjIRTTFjft3VxnV3/+MtZiJ/1horO8EIsT
eQkQkSWf/McXChRrE8fcdg/lQp/7AYESssRcmUU+Jt8QNjkedXhlMLp+RXX1dsI16w3duvtiNcG8
81I1buzUVI9JjtrKrL9dyUUbI0PBPXa2ma/5npgnZBULSFoCF4OWc2Wi344K8d71ckCMXXoNPann
quiis0QXo8roT6ntNcMKH3+KKDzodRamyZ1fdo8i1d5TgTjHE8fyu9sqLp1N4GLq8YrxoHxk5WKu
ZgqbR9I95CqVOREJwjxMARKrdvJr4erF+aYe89Zh41FU07wj5XeqPcWChj0q671j8thYdEvp+gej
iN9aC6nZmCm2EtVsfC/+ANM9Nh4Byg35c3Vsf6bL2pdZ+240y1DBGeK1asNN0FPmVkN1akv7FOmy
2dmyRTAeMHlRJaPuE5dJEwqzMC70QrZwDDZAQz7h+s+C+DYu9bsCeYCnhAWj9QY3P9TyKu0aKDn6
TuqX6CYEIyYBK970o4WPHaQiBq2wk+bK9dLP82w9xwqFuBHdfkR1XSuwDDeD4EwANSaAjSkjfMED
4ciIBFnXk3NjU4goII/Js28qoI+hm16TiHl/09qkpxOSumoWRkQAi0w2rZuReMcBjISA1bVlGrts
4UsQdzCgRyTvUqpiYCGxjpyrdarzej8shEoHqqIWZsUHXqlaAsQtcJY4oThZ+BZ7IV1wrnnbGPiF
3Hcs6uAwBYVyuvAxTh5/SgBmwsmG4l8QmsCaj3bq72rgmqFKWbG+iN9t++B38dmwehaBBvUDuskt
rforO69vyijpkIe6ZO1DTqx6GY48RZt0VZnVo7AJbBgoTwiBJpuQjIctY498Y1v9A0QgmPzGBxkK
Fnao9M37BJhoYFOMAC5SjnFuF9rIX7ijluEaMhwkUkz26xiZ06aNBZySKsitaHgyGgYJs2LhmVLA
JkarRH4YIUalCirCAFLdGyzz2LgFXN7CRhnMRtc68L8OCzclFoLKz/KLAVJVLmhVqWty6ecDQ6cZ
T4r/sez64i2L4ZDl4jFuRL3BI9KvahY1bsiZ5AqZHICZGdNKFlANm12hXwdS1vYFezDwdNS3Ccfv
xpj6g2qxUgA0R+ytK+ROyYyIA0QdS7TLnewQuCiqdzeBLB16hK1sbq4nH9WW4Av3PBeyX8khntZu
NHIRg5AzLRgpRsfuFJmZxg2N2dEo0idCDGye/DbyeBdedEQnVw5mAaIVM99jWmbYqbFP6vjbVIp7
kUXTOgR7IMeD0vzPj82fR+0/H5qL0+y701l0IetMKukeihYh0uR9G5/+ziv4knQpxs++KXjsECbm
/jSGNiZJBLkPNIOV+Cb1zL3pZn+RZfXjI+ZfXsL76eT3ptkoWpq2Q6tDvKUl7m3Qthcgw8c//yy/
bi76Y7r92yvR5EGaIhwRN/DTh4lkWFpWU4+HtDdeegF8Usf9tUUFuDbdNNylpXwoHCEOQLeLmiuw
WcSnCXxp5RoxOe2m+GjlfIfysBtTdkhEWmCXCrv9pNw3VTV/K0qM9+sz/EcBW/BIIZmM//jnnfsg
jgri+A9YdldB/dLS9fY4rP78a3F/9CP+9jL4EaXpILbx9Sxlx3dXUZmZWFJ6/sZGHJ5hY6pdD4N3
nRXJFXbnbmfHzq4xwepTpqDEuzTfkgyeSIbDnWlL8nXZaL6tiUEm3wRcTg01GXy+3LLaDrPcPPRw
/52z6Ula37SNTwBNf+OIZWDnfDN766BSVjTNYrgnZv81KttTNPk5Ecvz/RBxAPuFKFaeE5v7TpmP
GVFCCyKwmeTo06J0n5q6iNeGUQ7rtvDkGtE63Vmuor8ZxefI4DgaaMpgTZujq/wb6oZwl0eg64p3
7OEd3rlT85AG1YsS9k1Z6WPY1zuHDNR1UIoHaYcfHsVPnxNf3wtl7//86/+Xy58/sk1MPDWP6bCS
8qc/spZCF6hACyV/bzSw9PbJYt74f3gR3+FVgOGk8/NexaHpE+ZGlHEs5uNx/0xCLE94/y+OI+tn
YWW5YIn1I8PQMqUAa/vxSqotWU/KDjktrFkTvWAAAhA03Gv6nyatb6xR0yUNpNwH8tGz03k1WG61
KpyEMCy327ZeXuGcIO6YXpdo6ppZQQ1Hhn+kC55Vb/1Fdfvvrvzv3m/w09ETB0Sy9TweD/VYv3U8
OztDPI9eSZv3/ud/gOUe+uHoWb4ZFxAF2RrxyfnpHguzAknW0iRG5B5ovumTw5QxWazrcR/TISpd
/JXM9W9e0aFbIWXRAbD++W8x24ZTZxV3dT9y1/Zgc1EmbtgUEW9ijIxd7/9j/91/M/j+56k251L9
z2P3Q6zNbxDD8mO/N4z+Lw4itCMFo2sERRqkPyAGm//m5CZqMkB1/KNhdH7BR/7rQ9XhVKc5/GfD
aNqkbFoOT1qfMEViNv8WxECq5U9XAU8Osj/prIjpxYtt/yypkg+XpJ5RH6M6AXzxeuxE1QhwxWIW
R7kdfjNcnGPSsgEC4Hll+tlDnFvWeWxTtZ2C4mR2Mtq7YYyCxHaYNlPXtksYE1ke/Soth3yTa6r+
pPK+jgpxo0yKl06QETNHib8jyY51S37r7ibpBns+OdNPpe5J/243fuVQc7mgi04/bz28WmxCYZJr
E0a0MVSwTdA+Dm3ZvLgVpK6XVe5j2NIuQG+wHKLq8o0zOMvTACch6xrYz0ra4SWMB6r/iiCTdo6c
PUtBSIfCf85gkgwOXObs6MQ7hAdHBo/CZN8PHTeYczR/9jXFB97MfFv15T1H0EGRBbSOepxRY4UH
gK0UZHAVbHjgXsoDh3GmxyrLifRss5KfNf/XnS70ozsyJBRhcNCeoGrWZridhWNBvOv6otK0fUxY
e7TuEYDOBJQXzFBRSD0I9vuQdJSNmdQeu9r7cp0UbKZQFluEI1m9CCGA9wEAPFzxl0hM96Xnj+uo
qN8iINmzoeabxBjFlfKqK7xP5oawg0s0y4fBby62mCs4Pc0Td3j0dEhbR16iERJlbxvmS+opAslQ
mogxj6+dSZ2bMbsjY+wKnxZ4uSgpe4gR2xNQiH05il6qZXFQjFuYgeprr/0KN99MYztWhLsl8xv7
pI5OVhgs7hD7zk33DlzrWvtEsZlK8A9b50M7acWWZGJjiM8sauuzMc7f6pi21Ji7qzoIu3VpGZIf
aB+JUcJt2o2Sx/mYoEPYySp3hF78oVe5ND4h65GdkvSPbQ3OPScs/xgnMspIMMCkNbSfevapAL+a
NHeToY9qrPx1OYdvyiiupcpfqtFkBVcSjwqfFNCxT0e/yGXENisWaSDD07+nmNPY2Xvr6UBQnoTj
Om16c+0kMjl7GB/UmF0Sd7pPqogmM3rKiv6L6yTndjCfq7S6TGw43g01Cxc65iHb2TAC3GVkmpYk
6V9ihuonRa+/DqcE631aeUc7HuYNzf6pn9hJZGHvux4k42dCCUkz86Kryo++TFPSYpecnumVzpEX
vRMdbYFDWjZwe1yvJNFsZhafkqkneVOTH0/Y0rKaLTgBGxr3jelelGndWZavduz/pa1N+LoJfKPY
am+A9vY4I6xVEM/pBurijJcgW3tTeRBT1B6cyjr0SYlPN2PUaafZPp7YnZQJHOg8oYJ94k8QjAVz
09QqL+OMpl36tH6jeBsbDAPFCNTnDKu29bxTi8NlGsYPx3NfMBojZ/VTuCUI0N/GKfn6VtChryge
ZkZzRf3aXhGud2y6ADYFa14n457yLTx0Hr5nkvTe4sLN0cNQt5wJ9VK29qYtBkrIpiR2dbRm9kqw
6CD3rBOx5mzNcXdDHrLLt/9WSJrQSjxkUx5QBCMEuSkU6hzV5iGp0PI4mBqBvFu73mdzjI6Esn8i
GPWF5vSkA0btRtdiA5Dl/aDnB6/Ln3rXRr0uUwDK9DltSY9I0e8jA+pywUCwGBJaBBlSQogkfnQu
F2Qk65lrFL9iJAtQ0i5oSWOaWA2gTbyGc4Nzki87Gi9ZMO+HBU3hMXSxF1iF+g+MZwFYekXkopHE
V80Ct/gL5uJBuZ3nBX2JZ6K+WNXxUKvR4yUQ6uZlHj0uk2mxzKitZVpN4pf4qJYJNpOy+4RR/eCU
zhrLwnag2LMoaQCKn0QdX7hn2WcXPJjLdDzCrbd2lom5s8zOiUZkis44Het9d8qs6RSItthA/V5c
LJarcZnCB9zHFOp6LysXVYVRvRUm1lGHyFL+MsZnnG8blbd3lwm/vcz6IV2xxi/zf7UoAeGEJiAQ
B5xFJbAWvWDSbAhaFASSgpsd24yevQmD5cxi303KgRx6qJLlokEkHhsxFk1ChcUpTrgl5aJYhIt2
wRaEZjv8qmfU6hvAeLFxF63DW1QPlbIvqouYMppEoC5ZrpOq7ow02RUa5zl5XuSKIaIAVDEEQlYx
0VcGdJYAvSWMqye2dIws3olId1xEGQCHOwuVRhNBejMtwk2GgoPBklZnEXVYtnbr/SrzLIKPRUKA
s0hAg1QW/hhkoWDG7iYXqShEM1JoR+UiIsWLnGSgKw2M67h6tAF4pHZt1H+NRL4NzWAl/pe989qt
HEm39KvMC7DAoAvydpPbW3lzQ0gpid57Pv18bFdtB1PAGeAcYIC+qs5UStqM4G/W+lbcHe25ONnt
o9o6K52LrQJ9R5BUYX2PNvRUfOEkZcFbWgcIG8gJNFGohVOCcHtbQ4SaxPAxy1sRhk+Kr+yQBXip
r+1ZWr9YLBvjaTcqylGMYltUzQa+b1ArD6qR3mXkwgCEHb4zngT13E/imEf2nVPFzxVuMa2H+UqS
YUcMBaivrWZetejeDtVDix9h7UjC59SlESG5YojLyit0JVoNo32v+EzvLIvtMRHEpUFG9hw9t7rN
lgZLiqzMWxCxBQ3sR+B6h9hY5XV4zvRyTYYJchBMSWnLY6VNpyRbwxn5RXjdY+RPd13QPOksorMD
ASIGT8tP2IldU3JQAzA9Bkohr+Bnr4FFyd54RFF0U6v60YnMO01IxizNrQvkQ2mGz4BZYBN/6jYU
Bn6/egwKs3pUCGG8lWRPjURPxTH0ECeCG5OqGBlCQpFSB/uLcR/Z0bvJ908w0SM4amyyKRxXSOEr
rW8hgmbpa6KOXjhw0HMyOGJ9K3JM9gtZ2+wSPjSjjiCJOTiYUnq2EWZCVf7oiuJZffLAOOi5xEbk
akp6yUKNXm3imRhl6QLPOvRadrWVkAIAsFY0/DKDc6Dscr/dTYzfOl13EdjvgxKu4fBlz/FODdF9
zJfG7xDQlJumIJHTQhkODifT+fTpmULprJ1EfAeMgtdNplwziYC/VLA3W3XkQ/oLE7QeCOmZKGG+
QrwQOs6LofULFzrR1kmn85VngKm6zagQs95HKbpP3tbEJ3Wtl+X+XeqPpA5JbcJFV4+bRPRAEGIc
X4YTsku0w8nL5giLuDTznWnU70ahMKocEmWfhqjYowG+yARe+RCb1S/Hah5DGBv2o1Ypm5Dh5Ao4
63nUOk+JynOldk9ddmeP0VOTVW/N7C9AkINT9p4zq17RZYhDdDvaT0MpX1DVgZpT85jT6b/KdMKw
hFnPjeplI2LEx0ZyNNH9PctWfzf6pPGKJHp1MrStRthdbILGZhMSkErmnFcXeeSZ5mRt4bssCXpY
EnotnvHmg4BMNfFFjlnglsHI6BVloku8TuRxxueNala5y/x2P+v6rzY1drbdP/ZV9tr74l3EMCtH
n24hDJ5bbCtu4TO1GU3c5J2OCii3MHIWhlB4cAUsFivosGGRPGMFprnSwEyvVGEyM6Aq8RdOTUHx
ihh2VeOf97JieR8EvM7GMvkZg1jbE2qAnitcXlFG8zr15lstiu+wHN5lTJxAmYBtsuD9w8yL+/sp
UBdArI2AzrHWPhN5chAVwQ3Gq2NE+mmDpIJKySxCFZULIv2R+Pp+nU3Uz4llGygtuSmlTHG0BE9j
GtQULpgAswwvk5r47SqeApQQcDlWVSOnJ2BvBKXGAhxUWm0EBQxFMpjOYI6rTVP7oFX6GnebTC9y
ToONWqrBumgQHRv4/21Fuw5RXbm6UVIIg3rHP5ta+7iLt/zg0yaAYrkVpnqSC2wCXbfj6mH0auPS
9ci57RH0kPlLyBsCJDtEuluYgHKIY6oMArArMz+m0cJCMXyWQXl4LoGnusU0nlrdKd25S1/rnHoq
s4pbnOGb8NX+4NTAxZPYubMK605MAWY7Qhq7YClcCG7gFE6J50Tlc6voX4lssK11Ar4nD7Rrq8iG
9KDsPCDE5iZwoJaKMTT2jRXXGyM2nq3YoZcEupjYUciBUDp+uaggITVxyU2IXiMOmZ2zYyA1KFcR
zvYvVZFc/zS2+S8YafxDksj2u1iiOZp/Zv4u/87f8kb+ewSM/L70ZhTwn9fmC2rv9JH8+3U5f/P3
6YeDd57NsMnOVdj/MP0wmHksBgpKdDr236cf+jL9IIxU6ksShyGZhf1lXQ6ETyBEsZdxlWRk4Rh/
xMLBpOMfph+MAQSGEP4llVEK36f1TyaOiXnJIMCQ7HU//Egy/5edoEildevdIsZONSYSibvOY1mG
0PaCqP4pGRJgYZtP1VTkW7zDL6rOqnhiM8jNDRdKwxWX7KwQGA9M+lMmLDB9NTL5DO1QH7Ldq8vw
Wzj9CwcA1X6I2VexT0Og3RURaj8rhDgbqTiohURlFiS8j8YuOZBeywC9KN+kwlLBbClWO/+n6vts
bRR4G1rJNWf6V2RH16h3DkNpH/C5koqni0uQJAeU1cdR+FfuFGQvvfFQ9dVnrXc3dRo2fpnna1Ex
7Ijgq4Q2wxJrEPdJKDY++eZolkjg0yL6nw4tYaFZP37XXhS/+owFaXxJNR8mZbi1Ftyk6mggqHSM
m5bjcQvMZIdIiGVIUH0VtbXVkQuxu6dISvMCPLspNC+o4oPtz7eIx8XtAA5rxZJUkUmQm/rZb/Gf
9uZPrQOHgjT2PQXTPUkf+6Qt72Mj3k8R8htNa7n89Hmrl9qjnfBb7MvpVNHkeWpLKT4QZeobIeTA
KSZxwB6RoxskaSb4EC9KEX4nharsGkVdzylqTXUIbiwD4aUNGm5AaT9J4H1bs+oYOVEnx8H0nhRI
jh01v9fMDjXQrMTEhiesbCt2ip3fc8vaCwcpOkYpiHiRBIpbWQ1S+ooZQdPV03EoURDn5DydAqyM
j4ZSM2oKy4chku0eh8C1TGJA9h2utrlalKftFJ/NykHSFX+peRPw0pWPg0ArWsyNAfx1Bi+Qf2YR
scX5TKuoml41wpnWU/GrnynzeSwRnrbgWzr9XjomY6sYJWkTNlCa0zh8mkHiboKO9BGlygHByvY2
TqHv9fEwnEVcll69RPSNRZZAxhBHK84eInUZlGXBsWxnokWNhwIC/YYMaJ9cbvIRnCBrNmQ9kNWr
hs/JzMJTyZyJK9phiqOlb4GCyk4bpmY1ajw2NmJzPwueM1FMu2Tq4F4rhMvqTnRqfLYAfm1kewqD
h56xxNomr4dogOzZL9QTe+kfRj8B6uzwo6rLTZfp+zLs8rWv9M4uSyRhwboye+ZIvGIZCl7cIbxJ
kB2eHLJjBBwWK+Eu1Nv7NNPuhii+pqK82CMVdSKT+zYYjlgevivdPHZk46KyoUsyVDQgjtJuAn++
qxeGoRE59R3Y6RdgideAx2hXGSmLnJ63NKTx2jMMe9okc12S1a6EOzMwG/KG52qNvDFBdUnSHxXj
qtCC79SBGzRl2bZqml9xy2czNM2ugIm1wm1FRke710ICt/NA2ThaVKyJDMFhPcK3zaOg3+caBfUc
yWmNNehjxtGP/dpUPF/xeSHzNGD1wpxChjpu407fpukAFDO0+aiDUzqPTxYiCRfiJXnOTW0tsagE
ZRfwnRFUP4eEjRCYoH6RUwlRKMjPBo2AjNsUPi5OrxlmJgz/cz2KjQDyjv15uPmFQCXZoMGp6/nR
sKFf9cOjwpEyZJ7uen2GI6fIvUOihkcinrJNcgZIVEzkRjI1vzaz8UtLjI9a141DNvXnYMAxbBVq
82QGYIDzJj+2qUWOKRLidR9qpB2ZKuVJyszHRD66UYcJscdo/VIz9ClK0jxQmmzzrqi5A5dts5Zw
s+KgTqJ8yw87r4emLB6qvL3vUN+QJ4MAWRtPOcZsxAjwAe1k2BXSoEHTy60/JKy5chrKhomv6+Of
3gGb4uMOpxPzTmfVN8GRUC3ooT7yrOVrqpL3iEXIGvPagVnocO+L5jkopo/R1xoXVtx+tgzMRTq6
bOW7SZVX3MEbkn/YWC46KIMHxA7qfNNRB/IdTs8WXcXKIo4i0V2NsJlbXcqfKUwcZvPtmx9G9ioe
9ROjYmbVSU867hgXHpWlgp9Gp3c2Soq7KntWCoDuRdZRuDvPjY2+M592NgIJ1gT43lBLP3bTS46E
2k9S/DYZQHfCGzh92qWzWNoyhF83zbQBpXgOSMY01HwCV1a9lanS76uZmW9XONAApvqSJDLfBupR
665mVp/8KCWGUSFEtrkBwZTAOIYM3FS2IZXOWjUMX0pcN0AFE28s2xaQV8dZP4UMAyU2uVLHOU8S
pqk+ixaibRSG/IxqDbNboXGtRLKtGIDzTENiKPtPOdKFCvRbQxZ8J756bBFVJ2V/yQb5ZUhe4eBP
3ZIJjOMr72VBh5nobCJZuIFwyZhKByNK8b71NwRg8Ts158QDuebcZSY+/75XX8waZY0xiXaXEtPn
0vZSQeBs4iOk5MBggmyVmAvXHmyD3Ojg4MfxvWQZwgR5PBWzfFIzxE1NY18LQ95lEthGZSD406JL
3U4U09kEUyOtAGHaL5k2PA6a1bhVmwbgERP2BkO5pzG7SwZncONIf0uMqnKZZNPmGHIGOZO+pWWh
r2Xk3NVOhyFCZ4Ab1yMAUAnKp86vle0XnjN2157SbTWYeS433ehHiIjDeM4vfq3kb4MagowzFBF6
c1AetbID2pfrt8GPfgzgg11EFklQMWwnouODnl16woHMqmSJSQeLL4UMmltopj9anW8NdNJ+Vh/4
peNu589ijXtvZ4xdE0xBC5xLEZ30unrPRZSthiGOaAxJR5cluA2FqTw/QUUo9fSxwKG5kAgl7cN5
38YkVPbWkoRs+7nbktyAwJ7MgknjXMEU89eNPuw7iX8tsbW3wh4Pij3fbItEKscOXmcjPYne3BVR
/2wY3FwLb7EEvDgEQ7RjXXPuA/wyNY+rQUTO2NBTlqQh+wu/EY1bKcVTk9SM8RfCowT1qC6mftCP
458gkPrCgzSa0kGRBiOSBBR0KqiPrrqkAUpBSZo1IAJRP6ux8gXiol73ZewOIUBkwCLIlxciJU8R
L1/+4JzzbEYdzImwPUNDk5BP5nzVL2zLcaFcsuNZQ5GAUlwrB4iLkE9b9ltNxwDHOYJEwgxkM85N
8Sci3SJ4WMLSjBeoZsBYZGVW1NbBgtwsYG9mjjg1HWdVs+wT+jS4AdrypRZiZ0IeRrZAPJvlIUhg
e7YwPrG0mWsrfusLUIu+814ofbTRxvqkmJO+iYIypUwrbLcmF31Z1wHhapNfkAQOM0AjIosWhgKk
UX1Bjg42wfAUfU5txGtlMs+hLW8p0SLYNocLNITaM60RzGRQPvQLzVQDa2ovfFMUb1B4QZ76o/LU
98M2X1ioxpwFjM8B8lviR1t4qbJC6Ikqnm/ICmnvjXqRwEFY7a2wcbUuB3xTUTKBYU3USy2ZApnp
U+qrr43ZAt4bsl1LLiQ4he4ltK0EEku+wSWxr1seGZx4O+EoiRcaUYQPCMHfgoJNFyhs2shnR4/D
VQMv1hmmH2sByLaQZPNiiWEYr6Efyo3SJ1SYHIdAlPhaSl7amd3gW13gtKLX7b0jANamusToyZyH
j924weWgMsjW9qgjZHKA3lLaMpQxOMP6gsRlsH+Pl87ZggrmgVjAuaFNtlGW9GBiJrC6xgLY9Yug
WpULdFfp4x+xYHjjWTW8DrG7py6QXjZZoTtEob5trAn5nlgWHAxv94M1bCbR/7Ish4OmM4poEmV5
eT8hpduhN/mMyedYRtq/qq7ZK/jEwErnR1HUS8ggfdx0oQTZDiG+LhL4NBOBNJz33Sjp3KQyXPXe
RngUmZuiNZ7F2BF7hNF0+181LfhvPQigK/7Pg4DdB8rrfz8G4O/9dQwAlUFj92yg6/5z2/43EYT5
m+aoiI5spN2o5On1/wL/08Rv/EdNQ8quSiGl5Mv9ZQxAsI9pGZhMgVsZiMdI4vkDJAdp/aPECrmN
oXETayrLSf5PlF6MCf5O4IZjMnTirI4O8TRuenIqgtwy1urYOft46hjs56iVRlDMhBI6z1ltaq4o
NcaX0WCvwABY2NMyJOZjxtJvCdoYrExfLzlludltU2I5tEBhYBZqo1uX0MJa6xEhySUJOa0ZsnNY
0s1PPluOp5oZO8Nw4BJI1RzlWZR6pVYfiKcwNvAAzyUAqbuMjfOqikeK6nBin6xO3MoBnmm5ZJek
hJioxfAwOWGIeRBdeapNrGU7xdjay2ydSeqTOeq3sqNZwLRHQ9+ZBClq6CDutQjwLTu6dpNYMx7i
IoXcBmZoVjFGhY0Z7W0fn1GUl9+SQD6wXKSuKxBiPT01sfM6aUkHYRD+VVtd4w2s+dVeBMcmBAms
Q7xZE7JZn6ISg6tJbeC1LWQe+FrCjREOo8UerIekG5+YCzPaTov0qHbLvFjLENKWw7BpzfDOyPtz
KabcrXFhe+Bchz1NkZtOxQELMAEjE+9QXk/kLW0GerZVGijrOpp2TRuSqUIqS8rsZqWq/XqQFerE
zpsxtLnLY8zU3/louuoxV8Hum9nwXeTDO8HuT6K3TwCxyEvBLpD7GESViME1a91tzhaqM5qjFemI
PkIvtX4KZMn0IWjOWxyBfRHfVZ3zaKTpXT6ZD/1kPg/x9KYK9SeKYl67fZuvs6gk6hKpac5Cfkw6
YntQexe+4zEn2GjBcBtK7WGoy5n1crpDFz5tqUtSd+ZzvNmF4TIkKHnU8PyraifOjh3ds2LY6DON
XXIgxg1CAPNpSO9190Uy69YO+3XbTqB6Q5irfgolPyx+cMehg6iRpaCoHiomRiq+9nz2d5lNa42c
7TrH7YM0EwIE1XdFdZDqFxXVyQJXhNPv+xQQllZgiO6QsGVPIIiW+EAYOnpSv2gtwxLVJitxClGb
gXQbC9Ts6DDOIZExqyFw7vq2+En6rNgUSvAd+MULxfGBIIrjlKjCqxAkuxo5SDGO+qicXqB+QD+y
tCOF80WL4SMasdNu2y6gQO2Nkz42lZfxZIyKBupgrApPaxmxMXKuURb52tYIssOQ+YCqIkM5+Liz
0jzLN1W4lJMNvyFbP8pZWYuUtXTWh7cksZ5wTDZrEdp3hVUAaEmGm9VJxilx9GAHeG3zfLpX0vqh
wLSJMdAPV0oavBTEQmHpLu8s09xHbe4GFaFHXRcf7aS+NTFYtErykeWzzZ5Jay5iGDGFtnQ3phHl
VzVB1eqHU7Zj6PKSROEG6Py1KZIjQKQVnKzdXKabSI3gZTZutGgjhOV1zvgKugOtu2QqBGt4mDEe
E3dl0gylMXmdo0gatMRDSAOMxzhx8FeYZDLObHsESRI0rI9ZhAETkhtNFzlBXYvcf64NRP6sXCz0
Kw2LHjYQ+bvexRgEwwf2oPxmoIt6gFI/nWa+VwLn3hTFpaBKNAokBXijLhUZB05hKIAJ1Zn9KEqj
YSxYmg3nvIsPEdu71dAvCK9Ju4EoJfSsYd0eAOpif/Ix1nyYaaHcsRyrkQGlh7nVlU2q1SFF5uCF
Ttnw4GbnJomQD4wfAoIoh/StHEOUL13yVfTxrdL1+8ZvzpoltjmJmnH5mqnpzlSZ8JXNQFUVOA+g
KQ55QbfQwWl3BwqP3VRa6YORNc6DQQSD288gqe1gtGhiWq15rKxYHvQxuHZzaaNBWyICRNczgIGz
1Y5NsZZLAgEXhmWv2aaMf0ImbkZIuqxboDb6JMNtaxu/Ikori29GgaOxatln7VltUt4yg99HrG9e
81BRntJgnPcNpjTgCH3szv2U3ko9D48+1+85wP6/mSyYYMBGiXxMz7MK9lUv9j0KN1LMuqWfUVdt
XBIWUJMmjNVnRVtLbU6Y0paEr2XwOCp72fXnYkSrljEY8UaHeSdvcZb0uoqv21C3YZjG6wyT2EXR
+a51H1w2ruVw2zbjr7nQNg5RKe7IsOOEQMH3onIGw9ZG94M0b0w7WdFb5kqdUtLuys/KV56YbD0t
KATeimXDK4KUXReeJbAzojo6pkxC7mVsvbD9Y9F/Eop2snqwgNO6TbJlpg+axvXXcfFZhgedJXlD
QMj4qCNYdKL4Kxh7bLUEPwSStS3AC7rHJWZEQU7o300JlpSk5EyETFxLHyAig6Y7dWz3kW81qxb/
J0tj2QDUJQdWUeCjfvSmMriAjzaRs/Sj/lX0iYs5g7SC8hxDuK6AZoq6v7RQBGJLA2HYnpK0Bphr
VR4N5KoXm2iCYEsWs/Mz91BPzVPIKCtXXyFXr0LlFevYqiRYpirlXaDccTVcsk59zGmKYkNf5wL2
5dKDNzoBbp6qfw2TcEN0k77ob2ZIS0kv1tpEAvIuKoHaYWF/1LRxY810eOwZmH3GzhEtC9I+2AYO
E9O8RhAaHerewDHWgepV+HzpcuznYf5ko7EiZGI1GNdRe7BTeZFF+KXy5pRKaLg4efbomwZS7jSF
sc2n1k6o641dqVmQ+cJVWV5B/ylqdiPm7zIJiJAAFrHRwYAtL1B23kje8+JJ2emdeMlN517jp5lE
d6+PRyeXAAJn44Cgb0fQ2hEjHYd/KtaFVh6trN5F3P5IKtEQ+PM+S4K9PY73OOm3qeEzcR2YGH8p
c7ThcDxbiJIsZmilf4aOZwbrEeGbVcPR2+SN42IOckFL1MA1gQ1Ww2ZWPzHdsBx28/6ap1ziLebk
x1F7UoKNM36n5Us/EZ58isI3J99g3w+qFyNicLt1GEN0Ca8pqkSCs4dvJ3jSfcON70pEVuKqTOt4
BkmwbfJHnzBJtp89k8Nq5hnQPbynIJ8/Sq7PhI8x+uXj4bPFr7r8yEh9VzE23AltW6heMN9TA5jF
JbVfAm2t1aMX/XIMLqWfcmSznkHFhyv65RB+1lpIMW8cwy0VEVlSz6HV4IIO9zwTDSwowEYxydTB
S51razneWYQcOU1x7uz8SCASw+7FBm2M67pRLy2hi5E/LH4pBHwXXvrukDmcQgfsjtZlt67v1xSs
UDSoEMh6WC8MDJVYwdKfaMXlTjew6YftdO4qBefHzKDapENkK5czOOfRn7n5fUg2sbQgkS5lXlft
tLSC/R+TrJQElzAI+LGidOfQd1I7gQRQtQ6UVV++NbZ5kToLpbSxH6dIeWzj7n7JoUyMfB8F/JO1
HH5CnV9KEhnAHNHYFIa/ZspygsyUMPhj4DvK4K2OahCx2rLSGCd0BOqZDbnvqjXxeJgdlw032uoK
wyPnttCollFnHgjl66/gNJbZPMKoP96C/t8BB/8H7az/LLpfmO7/uU9dfaPVr7//vlP9/a/93qZi
tMHwYWGgJsaNnfRftfpLA4uKX+roVpHWskj+S5sqCJllhY0OdzGM/Ykq+Nc21fkNu44Nb9BajB2O
qv2hNlWoC4Lvd4+IpNvFLoBL1OC7QP2v/pN7pmVF5PdKA97LbM13XbEm1Q3ymJxMEhoGavpmdFul
VtBLTfO6EPV8H/QGjIe6Z4CKCKXw7F4Nto2midOEha2sS/MMHS/6VOtGsqLTk4UPFiOgrysgOiRa
3LWNnSGUt8s1Y6dqq3Y6QJfIdG4xFDF4Vcm3D3vcCzUjdpOBnHMK8HVCcmW5YpUyvgdlGOyEySDG
EnO4bkgzXPJgbA6tWtjtoazb88i655Wcl/LNKqW6R80LxkUJRb0meqXY4YbFwOWkXbqenfSmBUV2
VKHTU1prrbgDMqWQdQQWaNXbRf8KY8LwjNF8CixpX3S2Nnu0xLhXpxoP2GzRSxmWxryLvqNo2WPa
BfNuAWzSo3m/E3U58q+NnWcFGHWWyNjgriac9Uf2wXsr2YIVxnCoBqFSbAaSAN4O9AR2BmzKolqP
jlSuA7GyXKJ+Sa/lEPNKKJA20FfQ8PJnU58mIHNCicxWM8wHhpA25Teh8eAGlWbS2SKrTr2CSgJ4
qQhbpHlqM5Rru9Gpzhs5OD//r66FxyLjf/8DhCx/Pt2Lrek/XwreEksN+MGN2ulfb4bl7/71ZrB/
05lGqbaFdw1PDrOov94MklxIDrhj/8vNYP2mCZMQR03TSTLD3fW3AZYwf3PAk+JhZrZF2IT4Q9gH
cyFa/N3NgIwG05jgguFrMjHT/9kI6hsNUi42XPvIfqjU/tg6B8OZwX6zs5cBCGGZs4ZMjn4kbkWm
fmuZvdHAkw1W6uUBu/+KZgvV1XgiqvHcDSn0ac65VWq3oGje9Z4mzIYXJrrCK8lnB3JyAf1FL5Q6
l0ZfbN3aEvPDPl1Ec76TCMVYLgFNE1NybWPfLbX+ygLiDkf3Z9ZUp6ESt7YDlQLDxjahMCUEsuio
VVJE211N5xFYXhWJr9iRt06Sd5Ckz005H0AAXgygbWWL/m+W8qOqiJJxjA1BC17HcWPxsOpROwfg
klk4kaGge1o1uEpJlEecYAQC5JROrkrotYOJx7L3ffoctEA8zZgceQMZm4Gst9j2rLqaCswi8C6y
BOf8EWjzCXg8zR2rSFgQFhZXqTluDQCKKQDSCr2786uLwka1hlZX1fqGhAZfBdin8esqQdlFiKNd
S5m/Max/842i8bNdUjnveLmsekc5cYfkRFcNM2JfIIfyJ5Y6atR43YL5MYgqspryBuyIL1us85il
OBLmOnEsjz1/euqSdpuhD7Fs7PVDysKCa5iuoFkrbZrTSMn81BeTSVSibD1Wav0ahfCb7Cm5Ffq7
LpRb0rOo+BkJ9cFrGKHC6wIqx2nNwHIzD8Oa6TuBGPQdRlh+d6I8+WK6Kn26BYzykELgSApmSlV8
bynIEyrx1Qr5KxTUVSamEgQtKymoo3sKvGIRFlqNxqbaP5dz4TXFQy6jV8UPnv15aMBz2V5XFQzt
evtXGJgvjrYEYomfpjaexqj/ztr5vRkl/MpwPVbdW23wxYyeuITsLgko75iu0LrbLWnRhcsUBKln
na8jHS6epB+zFWECChFHvWanYIyfaTn+iBQfiZkeI2VC8FD5rnSKZ6f7pm7cmzjE8AGgphhOVU2U
MkxukBOHxqg2Yx080XsuQgm0sgJ5u1BOo+FvwnIRDqvkKlDvOigL4pp3HBNcP/A5L9VFiCpazYN/
ywr53WXqL6v2gbkRlq5b6zFkn91mL2auXSvynHGoKWt9IguiDZ6icf4aoT3EWEO2rd9vB/olo7bW
Xds/WjZJlfQKaVWe+YGwKMEoJumdSHjNjYebLvaiapRVOcXHUTO+WoOlFlPRdG5c3kjrIrNXKcLz
IfAf4znaYctgcUaifZ/u0IA4W70nTqQ0+EaF1NS1XdLeFgaXALF9FP7TBpagG6hsjkDpEQBSRen7
mImH2bFos6bGHf3xXDGxGGmXJl/cRlibViI8BCtbLaHTYyRq0OIXZYKkobyvCvO7tnzOpiOOypSe
7MB/KKZ0Z+nJhgKbGAFcMCBZZ6R1vh7eMxhxFQPrWjR9hLyctch5UJ1+a6b2ua3QzNgALfAVUhly
/qdzLJMTgg+W7MZ9WjB00cOrNtEU18DFiu5ZV19Lu/KS5C62P7X8IQ/1I7v3dzZGK2wGrjY7z6gX
cy/t2O/Xza2N4x0gML5iAAiyrS8dSW5V0j0QMHhrkmLT1+ZrH5hfRmgvgEI+XvK6940d8shVB3RZ
94PFXr/py1ehTvSy8Wugjoc4YuBgMAp1ovZsNd2D4VfPJYiJVWqzbwuG5ymf9xYKapNFIwMlqH4E
le/kQJpB6+wbUAYpDzpMhTcYMFfkkhtbG/BvpNhZ6hSDhlJss0DfazPZ5mo60Bl3kAunYjyGcDWi
itACaJhulIZXqI8wC53p1qMXk2PkcNUiasnD4RtCxyFKIJ8541EnzHa5LNdzo5Kl1lAd+sNNMqKY
WY/YwBI1oG5VS+yKkjzg1n+yY3aMfc7EnLV1Oe2JaHhURPGZhy/9XJ8ZPhFKzAkvQXfQnxHfC3ca
kv/4qgXJfdWp95n02evnb5ZZ3/uAZ4gmmPaJk+/7kaBtW9mqQc/HNuwirB4jO8liym8CSTResddc
tI9llBz0eRFdRVBruirDoJJRb9biXUb5QUqV+56K0RIXxZJcTc225sskkb4zHOhBknFXO69hHTD0
LtJTOj0pPMfkkliuPgfXIp/6FSGYnjZZ94qJ0j1EcdDn8UtllcfRri6NWnFtOy0jufQY9xB9M51B
7az8NMvwTWjHfAF9tkO8MefG4410Qex5KWNxP0t1XVfMTmuCfa+yNtZTp286BT1kbxJXH7M/Olhz
yYBtCV+dPguNJVKVsdWxzkCPNwgWOH6wTZlDn6Jg+EBrtFYBBXL7HDma/Lr4Vhr0Ii3LYzIlaKU+
q0n5qNMllRlkXyvtt9p/DSJ108bOdTKEZ1LRLvwWQpPjxGN4WlC9yA+STVez0r1YChGXaWBCwYyv
Vsd22EjmTdi0V99qd10kTt0CUS2G7GCyhxkMkiDBq/7/sngpYA3j/1gWP4bdx/96DCNa5l33b1rm
5W//XhgLEP0O0BRD2iaF7N8VxtS1oN41/c9a7d9bZou8dEzajq4JGlrVos/+y2Z3KYwdg24afD8Q
eqn/oVg3ip9/KYwdCAcUzDqx7ar2z1gFoxj7NOhLbT9VMwKTgCElupZpCaJQdjXLFLcAWouv7dbj
pr75qdpzsNKZF5AP47aFKdvW6JPsjEasX1i4qOt6t134uNlCyo0XZi5vujeAVCXpYryGyefxCaPW
sg1mwJ9IGg+Y2aYvNmS6Z4XQHeo4QhCo93itZcrMHB8m2yiNc++TOJLO2g68iumpM65MjbPHmogJ
r4m3qOA2ZF1GH+zn913EBNowI+1R53oNZdq+sIxwNlEYXxvgYChJ64yfT+YklXNzq0pAeOJyq2tc
73K559m1iEsvFONhBKdCSglL2J5tAmk1OspPXjf98t4Js1yQE8XUVepdsplN+WqbGFyjcngwp/l/
s3cmy3EjadZ9lbR/DxkAB+DA4t8EYmZwCM7kBiaKFEbHPD99HzArSyplV1Xnsq1rk2ZpFBkjHO7f
vffcG7hQOAArrNszHpxD3BXlLpsM0h+EjUYPyybBdXdHXPEYiNb0uyp8z6vsyR7jCzqM6C2j5xcd
cNpVFfnhqU31bdiDyVaWvMipvIss4MsX0yh2VJ+whzVieYSAf5dUwa2XqWqt58WhaeAruUaArSSe
UM0plvCLWMbbFjgPDBEZXDn9EOJXnL2rPs8fU6qaBXsbxgjOLo7Nu6ROoG1UAx+iQY5oAB65r/q5
XxB6lWecTeFG5Z4bGjaBvDLyF5XZpuuT3kOm1YbOOWZZ3ZovWq9sPPiZTUVVNJztor8zsd5gN/ce
QpOdioxL4usqtjYxPr1Voc3bMsbCFHYIzkT7l7mOAWGIXLHq5LlQ+ErZtpotxaNmFN7OXl/DDTaf
C6pW9OTOgsGwKoqexKrEhhPzxWxUP3JnpWJMDlq8T5rSutG1JuT1TQfEgO7YJ0xG7cykr22Odeye
0T7A+eoPefM+BrjePNUpiAYGZ5tOvDsggPZFgUMTTwYGarPl6NEYRz1U8tVqQPlQc1STHCQgPinK
qg3vcRg520hKIX1nEXG8Dhw3hTlvfeINm7xfwuU2uCWKLR4ib6IWfg7PxJueA9EdQnyLaKe0VHGX
PZfAk7exBUEgjlDZdSA9x1HXrjKr2DolTp06cEAOieS5nXPtkvflNdDteEP+gzoYc5o4E4Gz5syF
L7GJ6JpKK9qjUBjbbKLNwI5PUe48MsPDwtF39Jxx/etVfkUT1dE0MJrNRBSmhu9V1r2D0ngdatNC
mBY3vHsVEW/TOtqSA01P+VOW9Vcy6HmyjXdB4vJyATmsBU63ldD1aqe50ymUcrqpCAX6kvvvPk6B
qRkKKmGuwx/euaOFD3puZgqKzHfDit8y6bBPrYOdavJLwypfE8O6IMBr73hf2Q3TaDHOHatWt6gx
SULd01K9POuYerP5zsLL7HscTCsZr8M8NK9D67m2b+KCwZKsLsuJrbz5Qcjwu2zZp0YlBT5vbkll
UNZi6UAmWmwv6kM60dpU8b7ktLatYu1baST7AAagYR8ol0qxwVKrG7+lhfettz7kWPmElukeu5yI
V6/z1rgor6Iofk87PHNYUP0yNy6UQ6axvXazKj84rbyF9idJv/YPED/YVs9o39L46pTUA1EpdSEL
iq7RDSW1hL2zOGUS447NDpLJWEVo88FzsJQaT0D1s4lUWrNRjPSn+U2H62YYTNjFd3w2d5VbX87S
Ya2CABG3cjlVtFsZp/dTfaoacaL/96We09dBg8ibWDTR0/uYtvHGINCazvhm6QClvNiOmHvERQ/H
ynhxLPWhJSLfI9fyxQJyCMqiRcfHAU9gpKa2nI95Zcf9FTy9u9CaLkZJNqZbqp97/EVygZIL6ORM
EI80TGcbTiOdry8Ic6FXh2aBmku9viUEeoHMu0MBIlEC/zxtenZ6ENG5IcmNRNG7jaGlIzPXu0Z2
zb27oNTZK3INpzSH6V325izAda4p9twLhD1ccOyaA5idTuVn6J5PeShOpebSoQvC/f/8HotZnEH9
37+aPN4vm6tdzPDx57nj33/xj90VOyWXjByE2EU+sAjW/TF2tBk7Ulkr2ShZDkm6H7srzHFAhcjG
mZ4nfm/a/WN3pX/hmfG3JLw+l5XmL+2uGHH+w+5qESQM9BDBHzQw8Qn3l86g1iQe2pCi35e6exjK
7Csj9a8xVPPbzJJomKPVr0DjpFD6zfDBEoQaEP11ruZYozYdh25U1sYh09IXr9KoYc8FmVdPLWFQ
Rk7pY4ttB0d2ac3rKiFts+rU0Nxmk+f5lnCadZeazNyYi5JBrdFDhSLBIwXFBCKdV3FYu9fKBDLd
OW3he4YTXdVBv+AWgnM3sIDYeZXuR2rgaJIYnwAaIOJG5p7BQYAFoT6oDoe2LbNHjCHb0MKgU0Ng
JoWK1h4XSH2Nch5rXHbkbA4uKaJV3hF2qIgrp2Gy61AvdqUWYZ6p7mMrudfIqoUEstgUEVp3Ehyp
2rjntsGJG4oZL39XtiyKFeQhFVWbYJq/RUEKpGXEZFiUHdw5x7ie8OX63RBcuAlsh8o1v1KTQqlo
eDVLtIhMTs+WiQW29IiYGyGR7DjDUUbTWgRehYrK/hjQeY0fn5JTyAAKaDhkgIJ8taNxxHcH35Wz
w6ltuDIN79mysR8Xpv4aweIEDIonHxviOYpwDZiROOex5q5be2l46Dvsx3nC3pOM9qQwSrhLtnyw
YfJ0QVpvLKfeVGO0nwFIMRaKLpr8mDkavgWKIXTHvYCAQm07AnbuUj/P7FXP1rquJ8WqbSZpbejo
yB6SkvjLekQqOTfhCMJcJ9ZyZ/d8AVZt5dXJ7RzYTK5G1Tg+LhzGl2521VP/d2vXxQL8jFn13RYP
1KCt6YHZydnL6TulcTzULHHuOwpmNKOOHwnU8TdDAzaopqge6t3uxchHfJ2aaWylgTYVDKzKSUhX
1rr5FJlIcyxl4rToaSD9rsI82I8N8TPcsXgVzf4Z+xVyVSlN7SRz2zi7Sme4YCzK1oTEBRW+zzZd
j1tdLQoYG1jEsG7i/+1FIUsWrWxYVLMC+WxedLTgU1JDXkJeixuoqPqiuRFrDPf00o+vyackJxHn
kkWl+z+/hv8uH1mcZ/+5fPQY59FvJ9rPf17Df/zij0WcU66DbPT3g/CPRdxxTU7PKMg0agnWz59U
ZQHDW1+U5X9cxL0vLuIvP1l8T5yv/4r1mVvFn5dwHQS5zT7Ypibt1wR0Uam47ROlsweP+zVVkRgy
dSbQfmCb1nWbhiUZzlkxsi5vyJKJu1RUHJ+jinFdL6Qfe+Gubz1WuGZbWXW4tui52sAEuymm9kbr
6VoczPpgkbHacTAeeDcbgqlIAAevDRQ+CU95h7ZoPd/pmcF2vXEe0bgPqTu1R2X3+uXM/v9otemL
zWxqTftm4VeSYXzNgLG2jko5GvyPDnRvCibLlcne6VjFsp7RUlzNqY9r796IKObQoBoEvbcZ5/q9
hQrRhe2VmzqRH1mzfdW7OtY0MCXotMGnZtt+6rfjp5Y7LbKu1HoWykXqNRbRVy3yLwwFnWrt4Yjp
U/NdNOJmEYtDG9lYfirIYYCYbC6yspAxog5Cs7dIzkNvUW2MCj2w7HLnSAPuGssioi3rSU8y1R/z
wcChXXU72XfdyzQH1mHMVYm5ilWJp10c815/NvsyXme12hsYbNKyxe4V1YHP/JDEjiUyPKDSOnY2
McksSI6zHHkKGh2pomRSKmt5FQcmn7mBQBQxuTh49HZ3RQ62lRjuEHNY88CPpVaP2SkwoStEbMg1
0HMYEJtxy/QghfQV9skeaAMHcE6BxHDLbZ4G87UMMrlRelBLyg/mo20z+OtlYgp6f3L3JFosu/3Q
DG91l4gIim5eHKsGolJSEkSyY1u77KY5vzS7yHoMIN9wIskCZs0ujN11OYQJ1juMgv9Z0z5nfzbx
hn++pt0V3/DJ/LIv/X1NW37xpzWNbSSbLJttqZD85MeaxngRQRM+DlFWfvC3Jc37QmMfphWmhXQT
MIH/+9DP+8IaSLyXHAfYZYIdf0kNRwb605omDJsch700KuCZWYaCP8U5vDJLGjnLYU+zUvWsRy02
3iCye+zCWOvEmvrlozsZYmPKsN7LnhZ1RsjeyqpV8L3VlLiYRTtTn2hF+6IfjJU5DFqzqpMeJJvA
/ToTWdxaVfbqzlG3zfSm37oZrtG6KVMmeZl9BeO1eKVLHpZL7pgM1QlVrCoNdSEUdUXyuTFfEmfY
KQdCYQKe4KOvh3ENT77Ylp3dPse19VErwTgo6alkwtIatPjN2n5+r+cqfEoMr7zo29B9m9t29BsU
/RDTHui9lSRXjEe2aNeN3Ud7LnMAZcv1US1XSvZ50dCYoPmkGZy1lujJpmbjxWpSHAKrfR3NiueF
BFFkA5bHcnyclHyztZr6Fw1IhFecnBCEjaamd0mcLUqx5M509TBqPOl1tZNFW6+bKI+KVRHCuyAX
8i60tr7NISVtbHfpqRPj+KY5DbIeBom1YyUQE3LWXmrhXfaLyKroePV0K2YI+OmsT7RMshcP6hKL
dFIj2lQjZA4mSKQeAXGN1wyakZQFk1zsyMegyR/yytlGFLrB2BxhAWQbCB+CTFv6XI9pskYgr3BF
RR0B4HpnNdqTAWsBW658zSdnWhmUR2wH8BYrIZGfMSn2/bqxwCWEenocaoV004I8jOqd7NJiz5dJ
B/9jtCkjObKUBCAhkoXFmcLQi8LrAYONwauBbZm0J6ZcTXcuXa3GMp8WpOYcwnGKtdMMDcZplDk1
4xO8gt2ipdhtg6+/BpRUe8NXXg6N6I2p74qi1HZiaK8se3zIsuJBjy2/DqvnWuj3TdQxm3L3SEvb
MjRPelg92LP76pblpUxI6Xs9nQImyeSlFjIPXmBPnyE+njxLXKey9os2eKb4z8/Lnq+ea/uTqS7y
VjtD4SQESPMzRyzdH2ZKMl3COYG0tlZGOdFoB08lPnO0yRopNmO9n8PFsjljK1c9oUsBjc7L3jB6
fKXx7EYfdQBZqV1xnCg/arsZqTNEUcyxsdnlw0zYdzVjvIZzeqmPtG5aRbqZsngP8vmY6/llDAAy
yqtr/GJP5jS+dqn9kgbleWjjR3vmSnGWhiW9t96NrEvWLbXtmFtdQEKt4pJRPENrMM/gEc27/9xG
fpeQ/vV8g8r2/LfPnuf/ZnPMr/5xI7G/2DgtcUlapAM/+wP+uJFYX1y0UYctMGDyz1vM3+4kpvnF
IRVI/BlHpmGys/77rYTQ4KIdgUX+ZC0v95+/kAzksX65lThs2Zl7SRqeBYODX+ttnCavwkgPsyOQ
2o6Kci4bthr5tlAwG/LMxWY9uE9NOlyhzb5maRzuWDsY0QXMw7vefA2c/tlos9MgUSPIK99HRvd9
jPH2RI7pa3V3NIN6JBym67dxMRebPslc5JJ5ujVpi8HYnZhrz4MVqwgXBUoEGycsZ1+auL6rNJsv
RdeiDrTpFbGpF8iV/M4guJmBSthllNLuqqWXkRjPS9eZ95OmgeCTHku8K05jAh4Z5B3TjAExKU/q
NzMtjH3fEVpGXnX2SZCdCxyznIoLnQtbf4t1gCpJ/G7owtxlLu52USDMK3tUbM5D4aeabu8NzZt8
xkJMfZLdoLriZAcVJPfQxeEQL3K5mI1VNhKgj4Y3VKXabxtouUw96NITqGR6ar6IMY8vXAiohH/z
7aB1z4U3coccsTAllLnMZdptQdM0wADjAx0m+0jJ49wUk98U5buI3iJM3ZSxPQl7xGHp5JrfDsSN
NVVOK80xj7PlPNlTo+6UgYRSV+argxPIytw3aS+NkLiw7BJK8qif6pDlvdDtHRSPZhXl8oC3DleW
5Rwd3QHhQKAIUMtgWndZUI1Esb3q5MjF/g5rrgLQeuHpmM9Sqttcoj5rLypx7tvBy1AWePX14DK1
8JLnNrzLIvF4lrXULvD+QT/gJdqLUUxizCP/YOBHE9WtqLBRtZWpkxaN+NT6d9jDN91Q79LJegtj
PmvaYi51ZXNDzp1gpcAB4I1puecxl9u4SxiyLO15PWFlWw+FOsliyE8Mos52NjR+oScfVus+2n32
baROBwlG/84kSF+bOYY/s5VYMnKHd4HixFWQm4+D3rgwVoObgC9z5JBErb/PFmYq7kCUB3k+trK9
cPOvzmQchkmFh6KXxnWnD8kxm5d4YkxWPvQGmiTcmBODSfADNMXCFQKr2XdXaWxfF0yyfSREfA0O
vFUEg68oVuyDKuMWxSylTa/9jmmFyY3St1aXB35ai8d8BMJn58V9rcdX8ZhWx1QEF2XS6PsodiC/
pjnESBG+NZEBAhDeM1XQV0lqUG01TM9D7ChwpykwurgUR+WgmXJqCzeaDjoomJrroZYtO5r2ki/m
W4neg3qzmCndTTUz3R/jg0DMsjVzo3NiQqpJn5VV34emfZKd22JrVj1HaDYeUZJF2yq0GvZ21Xhq
9OxtCJKnfPS6R8i2IGSH8ltcI9zlDrEXTMgPXoXaF8/RsQPo6SuSmKsOtOpDIIiFFrZ7hqcEho9R
8yrTYgd/W0GjqWNWe6H0CKk5S9khq2qj8I/7yKTuVgHs2RhEJa+TqEq3ThjeyxhpVBTOtC+Tytl4
bXSbLKUjIhuTTS+hEIbCSy7FjO0rm8PvELJTbFfJ96juPEAiSX+CWuKuC+isqJR4r4BjIPrWU3PM
TK85EzTGoIMMu1YKzlZalqaPplGs55auS/qGUloTw1egNGrTlq3rN5aJ3aakfqchZwH6XDZ+uyAM
IoaCcL8UF5dg69aa77Ybct3VeLa87BSG4gb74bs2NfUJ/+7EsC0ZwYG03bnH+2dX7F54wrQZExxa
K9hTa1gDBljI/DoPAndHES/j1pCTRt7wnRDUV7XwUecJZ03jnT09WFZe/HYm0IJVPbkI/dmtXaWH
Lo2P+ei8xzbPk0vto3KbI5WcL15ovSJY4ymNgKg1+vfBMsNNQiHjpo+7vZiGy2l0kgs1le7OGPr+
UAK4Lq32vfHyczvaTGfaZMKgyLYxxPmZx1jGZV3w3IDZVQI8b6gtzZMFTAcTRs8mqsBKmaKCfM34
wpelB+mOoKOIundnns+JxW65w2kHYGF4b+Ie+EQcXmhyhno/q3GVlywDedq+5E7hMQi2d3pWvyi9
f3MUrtdqNGqg39EZhxivbT7JeDrA211HVUvKNU/viKxGMOTSwK/I0eWWd1NHg7V2puq6g/9oZiJe
G1hel39zxV2S3fMMFZ4VKtm6bnk2Gy3chC6578p0zgnvzIAHcuUV1RK/C2/rtn6VVomTdvxmhhqF
7PaCBNYzEspF/si6tC8a9dUpALtUo0aoK701m9xeQfgFCQGgE6L0e1Vj7MQB0a87do2bocSUOScW
W1NgbevIia4dmb3qJKt03KbM7Mtbrbc7greudmzCjl7MrC42Q9o/ZoBqVySHGLa3w7yb2Y3mdb6O
s+BuFtPObXtj02k2qBSKr0rusmuuKWtjBOkZu1e7iwLCr5nyKh/rVb8vYLSQ6nOIV3bUrCoae7Yh
O4aVzMuT28hvAxW7VG95l5bdPRopwDEnUnt6mB8DubSsZMG9LZVad10D9VBTb9EMLNhLtOaxqxAD
adwGIGCCk2Ncxn8wMm9gU5+lUwUrzJD6OuqnbYki5Zu9yHdJVfRbTIfHtiecGzvzbULsy9Ts5Vg9
HVGTgKvKRu0yFhhIo4BZCWtUq7nFoqv6pSjAIs1SeZhXkwz0VokFRnqcOu3xKsohKU0jlVpabnob
Sn2eSkvc270rfMOYnyq79jErbWrot+FcT7sxM6A58xcsFZLuD+yNRmDWsDUuhcnbEq/dlqT2ui4L
LgPuA1CftdtWJt56asZy19Jqz7ZuBu82Ze1hMDpno5THeTp6quv4WwybV+BYkJhdQy18LIy22uXK
SI6kS4qtMrCYABBnUmAbD9w44i1RU3dvqersMuyiT94NKYcu4o0LI2ZL8msvlwuxGx3QDVNY4j3v
AC1kzisCRrXqJ0K2HC5boLt4lpo08wVNUCTq4PZzH9VWcQbdmLvBYzjPXzVJCDU1ObL952Tz+8kG
nfOfD8gYjv22DP7/m2MNv/fHscb5QlLEIar1txHZz/Mxz2awLykYE5xr+J0fM3+dkh/DsxFVbfHp
pfubcOt9sbkkaNlEt/WY03MO+QvHGo5CvxxrliSZRGyWOo8HSpUn8fOEzCqKOKl1dj0hK+etCQ54
imN00ap9Kbvi3myXvP7UzcR0W9MAFyBbSL2rBJ7kuQrC4pvX5sY721bBHXikWVGChhJt7lyMKuwP
Q2pQY2vMhJmREL3v3mdsyVgSTKyZhJmgcOKnyz9DTvHvgafP8JP6DEKFgkxU/hmPKj6jUs6Smho+
x/PxMqmnvRjRLavBKemMqot3j6F+Ik2cYYz5OeHfR8vcH7M899ZFC0AwT/ZV6jIMQSjoFOkvB+mg
ZFs4jerRWjQFZ1EXbGSG3IyNYyeobMwWDcLgIHKwTM3YNItK0fYBNggXThNQQFSMctEzuOCHk71o
HD1iRzgsqsdc3xSauglTop+VBBU1NckGCug9iYCtvmgnjZuITbLoKRwQxB2Er5tSw3LVLaqLtugv
xqLEVJ+iTLPoMyzW8qlepnqsWS12YyZ99efQr/4cAE7LLLBbpoLxMh+sPieFy8xQ/xwfxp+jxOpz
rBgxYIT60j73k2h2Us+qm54U7Ys1wGtiOI9ZHVX2spbi1NbNtyGg8eQ/68fn+rEEvf75+nETdb+9
fOR/Xj6WX/tj+fC+cKamKE03pO7SDfVj+aAxGCsrlpDFQgv84cfyIZiK2DwBKRH08OP+GLCDTWaK
waDEhHSEyuf9pdIog8f4KW22UJMFz0ECwGB9c0iw/ePqkc9saEKjGw+6Ffg1SILMGS7qzH2vlH2f
W/1Tw715yT89z06YronGPf30ht38Hnn9LSfqXcR52/z///eraPn5BFi+TIZGEhT08gR/GvCnZZKD
OZzHg5K231oL8yb2s/IjG+vfzUlgt8MPJEhunlR4/fRIvNF/fqnMQC3b5K1FvPjHR4rHUKWVN46H
mRnRapi8eyiA/+Yx/vxqPsu+iAnrJiFjuSzWP70aUMD8ZE7Gw5g8UAyDKQzyT8EEFGDuX33fLEw8
4FV5ssQOF9jWz49UWg57JN0dDg0g08n0vg52dKiH5qLRqn/zEf35jVseihcjGdVJ7ma/PFTesV+P
vOFQFe6RPfwlvbT/5tXgbOGP/ByIZixnGg6viJdkk6L85dMxOjbGfdQCwAfRfxUlxkOvD4c0tb7V
gIp8fSqnvTOzQcfE2a2muSPQUtsnnDjXSLcgQB0MmZEc34zEzjcZSBweJvHLUUvWVcOR2Ctg+fWt
Qf9t1pR7p7e3ltF9DAk8wAYnENwo7TIteIQhWdyVKi+ulwydLM3xppzIaSUGkqlK2xOuyJSjovxW
u4XLqVJe1HF5Upmwds6obh1VU6WUA18BlQmHC0gxXJvg0mBD+V0vtYti4B8Il46PtqVIJ+MASeHv
AB4lhO1Vp/rZEuZ9G9FLi7PqmpHhRxI1t9KRz53ODZ7n/+wO5AlVdyKkNO48zaNJAgqH79ZjdtRm
t7qe5vhCn4GPJYIyM5i34DInzgdBWdINNA+QT+I1tcgMCxhO+m5RPPTNdJkFnunruK+YeaWz3zAQ
REzLyh0Nufk6hwcJx4v54hSUT4Fta6uwhrkllIPFaLR20eh50DWbikhatbWWFgK3pMZNcHCOPeOu
tsh7N8lAUFQyYgBQ6HRJ8lAMzUtWa5w8tDtDjjd4ZQexzeF0rAfDTEfe7VF7FD1qeC1LCEuMb6xX
/Er2EkGsr/WiuQIppNFfpOgGylBCEkejwaV7CiHRroCOPVB0sRvbON6RwXrScvc2M9l2D33a3qdY
7K8MrE/PRqzPG6cdayhDjOhsbwZVIisXZUR/HVw4rHqbPJpzeD8MI2pSm7x5eUjh0IisUfTOzeRW
50gSBYU+P2xEapibEkMxGyQYkHMd0DWRv+L0ASXuUs4SLnbxZIZAGQ8etHqcYyGavAzVR4WG1ygE
tsoVX0tu96saHdQoFU700HgUpbvHPftKFQofmGW86K3a6yVMcJzc13YV33ja4ofPgSFy6D8CODV2
IuSrVvQV6OHqpotsB4L0eBKdupry5mCN7T7h9LO1K6wgxRyND92kHWl5JQ7hASl1e/BDfD8v3dJa
y7CqVk6FRuhMINZNevWY/fJ1SuxHLQKg3S+U3Hnq3upMe5w8SGOOblG4ZqXniKabKIaSbc0bKvy2
DaaDlXLTnRECtCfV9WAa1KPb1lvVzRdMxe6nyiQ6aBBLDSOxreYSvK6Qj6mWOUxUbaSyGcpqIHlp
FnSrxrjgK7MXg+T76mrfJ9v7iAkX5FOLllhctpKPssmx3BldJ/wx6jBcgIfbYAKrqarykjUcBSxa
WcO0qCYC7CZbEr0OzoWQmbBGWLIIdlak9f5EBC+ZJ+JNTXHRueRt+7SomW9ivx0lJ+7MIsepsiMV
U7QVzjTY295gvDUyS985dcsbrwIULFIwnzNg9KVOcgODgRUOh8wKMzBWDA+gt+boJ7yl0zYItcd8
xkFGnNHaOlIbNvpoNKtugH6M5vuE1EkT2oQSx+rU+Z5dNj7+SljOOiJgFZFG0WRpXOetENRBaS9y
gvAW1iloc9vZqq5+SWIEWSAVexkwxofwopZ05yGxlCS0oaz1ODbsm/sm9207hZ6sW+e4yohi1JJC
pLGD7cPRYqOnfGc0jQ19AQ6cBAHA/llqR5DAYOfH6HnOSXIn2B/9KREQvNOpvxjH9EHva6hXWvQw
Ou0xtjTSyp48KQkBipPHNizqmyzCElgvmd3ZnOJTm9a3LOAwL3Jg5Xk3U5So3KOXospU1lIgNRPK
lEwxAcQP7XW3NK912PLrLrtPGhpeLOcjsSgcrntdrOwBmh5NJ6ZfEOdjZLHIKgM6ahTC3BmDszfw
DtjBPMM/zg545qONa4/6ntH4lezBVo8RZv4sIC/TNgbQPIZd7qRuWZIAxsgBEWYkx8nIzl1XKfKN
mQBSRLvfupEgzgnSN0R4IpFJORX/Z7DMYEMW7R46a+8j2H5zTXXjDIjAU/BBJScuoIZpN+2HM9Tf
8IRzIlsF1kmnnQ/dVv+qUsve5G3b4rdK5Co3UAkSi7PKeJS5tStMhmEzzkw1kOxs+0pe2pPmfN5e
weZ2zruq4eI6iW5sIYRQFNbqfGSeQeh84gKfydivyjC7aXruA0Y5vQAJuJdmfaUslHHqm2M/dfiV
sSm3zHge3AYlYAZ5R20jSsxMww3rQMn9N3FfNI8YMTC/JfQfxsSvEeJiwvypkZGsjuEFhTl9kPZA
iRwToTkjhTnXM0iokaiBepJO3a7SlCuzaLSX2VUUgHgFwzqhXrB0PWByy/3RtZstDWPaJhUCCdxp
XBxcXeCWRy5s5DhFSWQRFt8ZMT9HZcZUCSw+iv17qPMNHiDmI+eRjVog+o2Ok6CsoE4ns4Kl7LkH
1t+N12XXvRadehj8dmEUawcqP8IgdWUpk0lrQfZ34CIZn4PxnxagP5VqX6cYxL/CNOOrBfs/LAUA
5VIF4C6lALACtC0WqkNT9Ie2hFStY1LoaRLITW5GJeh4J0h36VI2QAHEh1jqBxp6CNAyCJst1QSM
KMhsL3UFyVJcgGY6bSFd1GuR07+BL5ie8J6XldB5QPXIk1hKEKhkSFaaN5+jUTGaXKoSBobtOIwx
f8R0nLbBVwI+DcUKpK9vdWehjVG5MKjoGvLc2bP7W0Zlp6F11g4VDUVGTTG1qh4KAunW1rHeWXFm
6PV0O3hLywPdIvmmpfjhX2+hl33rL1tOAdNDsu9c9py/+iU18jCzHsvxEI/q2qGwMFbucznuPx/l
L9UK/c8oTf/LcCw2W/h/fjS+j77Gv12Fi3Xgz8fj5Vf/OB5DVgEMQqhTF47BTOjH8Zjm5EWn1zkV
mBwOOBH8MA3oTOMMvASM5BbU78+mAUEKwGPzTBU2Tty/MlyzrMVe9vNXZCETOxx5DJPvyeJe4Oc/
necYtOb9lDbq6PbFxivTbzKbrE1gJzN4iqXK12Mu3TGwXTtzfg5V1DDRlbeqRLqf6Ze7axZvuNaA
DtVcJFc910L6FZpmA8fpm1OU925+Z9nDJhw/AoL7NLVuMgHkujduQvZJwuh6mpmNeDtY6b2rPGz/
U3yoJ7sDl9CfGsZuK2mCIGpScWm0MDbMzHqZ5+AK25sDGU4UCC3VR2jNqCHekd4JCyYuxiA545nt
vsZ9y1xaUEgprAdCpi5dJPYNSopNc6UrV1ESD6vSxPUw0IwAmheDwHXZQIiqRbsJ+unW7VP2v7bc
BXTUrCn4uHP1LMN7VZm7IOzsNYTAcjuARjU9mqXz5AZu4YFHSrd6dO0mx6rDt5XUdbFSZSYZNpQP
hVewRWdVdCwG+z2tmEZACQsDtqsioVWn04U8TnSSIMgkF2kA4BZcMlyCIUAmCO3VMJZfgxLJiG4Z
45LozV2eDvfEBIjPN07pSxtuRznRvOwGQbsOBH+00UGLq9I8U9KWbWe2Nre5wtkA5fe73WJRmOb6
k0z3MMlFZdL1j9Ee9tOIVKunUm2wix20KGVD1HUklIl8rfvOuXA/4dNgkAkcdxe00V7l5H5XcoRc
TChGbWG7D5tSqYfYpbVjgs6zs9xxQ0fTqyLp62sSAjP0hKdojB7x4rH3ZOKLUbo+00nEJrwf3zMZ
X0eO/pWdN0VT2G6xgVhP7sJ1r3UifbCZDTe/RqU/tEOPLYW5ZDmYhU9nz5UdGiepmXsx07Aqyvsy
lMfCXnZ8hvOUdtRFEuiNN0LvbrCvXQuBodesqNBwlb2pUjDLTYezIaQEmA0Ih2Z3Dp5kH41rYyCa
J6YbTvUXg070xIo15kuiJ5/RdFAMwWTVcZYfDRCr5hRdwMPf4vkEwOW49+wzSEuDGOKM1Wx6QYsT
qLRNGEThVlTBZdHQNuKg/EWzIuJBFJfDKWAzTdP3uA5fHDNPiXHYWM2xHfj4H911Ao9kN/eEmlaG
RTyjJFRK6rHnIxw/lEM62kkd7QBnMqVjyDDPOZ2AEP3IAJU2wM26BsIdpIO+JkrJpkPYx37m+9JC
31h5wMbXEezdtWG7W9suURXL5HmItKsGfXllmeVTBnuMxuz2XdoNvFFqVHxcloqT0iR9WwKlpGba
wVzXBKjmRreOouZUzuydm7q8Cia3hlSr37URm1fhjZfm0usaVNCGe6oH153i1E5ckXBt0KwbZdbs
Gv+LvTNpbh07s+1fqXhzZBz0wOBNSIKtRIkS1VxNEGrRNwfAQffrayHtLDtddkV47oic3eSVLkkA
39nf3mvTWEAlErFJcRyq9t5tmQkIHu110T2MA8fENmZ/qdXat4LpQj62Ljkro4eMnftWT8XR6stz
UZLIidHoNmPCYBbZ9BaOmLsZBqINZRS3Mo4/ZuHciDAv2PEytBoF8rtclvYRGF8jAbtdFsZ6HHtB
FdUd4e/4JBMynQZrQnvsk2CEURE2A01VWWOt+953g0ZjzprAzm5d7EPzFMYnDIQ4bUzAzXXurNvF
bURkCny06nC39scyweobwbdbqZSaRlgqTEaLc6kCvFthZYqVja8o6ew94TTmK761GwJXCm8kLig2
iMaOA80x9qKHAaNU5SUiKBfvVIKJyppSd68WX1UhI7LdffWRYOhYpYv7alh8WCrHIWNhvnUsFvUd
Zq06TX/JsW4JD8XtzlwcXc1M1Rux5WqlOxR8YvsyFv9XvTjBnMUTZi/uMOWDWY8Xx5iHdYwCUGOj
L24yc/GVqcVhBty1CsxETZwEXX3vhf701mv6kzfbctf1ebE1y/zdX77aZqa+8wp0LD1pC9f3XFSO
3PXYbXcNv9IpS/x533h1sy0p7k28GAexgPOi9Tf0UY8k2PE4531Dr6uht5tQseyuUtsNMjr2AiWb
dhtX+J4Mx6DWeCz9QGMVDilKberJO3le7q/pvUCwKONntutb1megi0IeJ+1MjZpIu/ueb/LAtRWk
6Dw85Q990VzKBbGdjslLukC3ywW/PcvusZHiwSMjhqE7eZQZiDAeUfdYFwAjQPH2LW4bKVxv6sZh
2gD69iB+Ayc/GQ0I8BoWeLZAwdFyn0jwa/9Bjvw1PYBE/K9Hv0d0+Jv3fzL18ao/pj4bBid7UOoi
DGOJPv1t6jMh7f0+b5mOAZ8TXfvvpj6T+gj4e8KkTlLnr/vrTtUgJ8vygH4JQVrg3zOK6ixq/zT1
IUG7YEvQ1h2iWcyE/H1/mvpqkUnCh7p/SDI1kPRTzmYs3JdMQK6pWSmu2hlrziDFfRFOVxHPRqAq
SEFzDeSDKkmIaNwppas/pzqrWKkZINSLcYvv5sUbU0rvKGZa6ASJ0d7n0wLRLD177/VWuOs4iu46
cPiXUa+gb47xvTPVJ2sEzOebHbAKzWvWUdVh19LGAYUSw2YSWp/TWJtBTTPf2m9LQvwtUNomNL7C
mkBnEY5P7QiKv6QUbpMY5otNLhWftADyG6YA3mL/vWxpG5jajNbl8aWuMy7MCMBQgrEdjdgUO0N4
j9QxDXvV4DYLhf9qdDQPVR1QENqHPQ7afm8D1tXVvVquOhgsK1j813xCQ/e9AbVd0THbsrPtOe7j
59LfutozjqbNs8/hlGmbHnwL0rihydraHe19msRw8AifFiqd1qaWKaL9tIe3tnOsyvorHSlfHlWd
HPjRSG+6AGmQoyGLOYoD2fBsMiJ3eJ31KH4NSSDdsZOlS2Nq0KHSjuP6DOkYxmm2cmIw0GanHchc
3qMSNlvSw2I1W/rHENMEXZWZs8HXhrWVhfsqw5N1lj4BlKVpVLjqQ/eH77Qq7kqLD5HdxWGsS2/v
JRRYJ6P5kdGchU+WAWcUlIVpiEqTVxoEIBaV2dMxrTEtrMreVA9Nkr5ooX2iQYeH30AcjdliWvcF
zWn+kB1Mu/lkKxPfgBgZFkHYDSrif2uO6SZaQlM+JQVk59YT6bH3ufNJzXudao710wQXEYdKuG5l
1rPSm8xAd2a5yRPzToEp8XUmlW4oLyRvdKjN07wCUvuMz/JqmuGtU6bGUZrQ3vDheivdb7cpWwor
9lu4smMZLIIfhsMngmqcS0xsj7V+6aP4AFX+oGsQunTrwcT4Bj0ZZHeikNwRFsKjaBicMryEKxma
l67KIaQMI5isUvv0qo9QlBe7NH+0TouBw1n+yRtgEgrUly0VycWmrGA/A8ZTAZ3vPHE6Ya6FU8W7
rO+3FkQzH9IC0CBOEgZEy4OT5RrkWkc/wEV/bkuN63zuf5Qw+vtCf9bQg9dY1C/EbBqoixntbSiU
wahj/yqrWBDDUMa6ceqznAbIN3b0y6Mc2Svieo1Ck2FNam5MoenUErbH0nKfRdw/G7GIgxyRbF+0
rbZOhzw6iqq/dezwGrWAJ72O1DtElY9w8r8HKqbX2mR1m9yOPpMed15ezBeK0c9GWVh7V4XPrAhv
iAB6ATsGaxNhcF51syn3FrDEk565R1crrcADeLPWR9vbc4KGkT0mQcWLNijK9FM6edDHMZ+7L7oA
63lDT6lBkUdb07fc2XieAV94HpIMZaslojRdKEY61etRQ/YcyjGlMyQnoNHMWELGO6lo5ppFCHcy
xTgZGgKCGtO8lg3AdKMuOWZDRK+UNouHYQDR3pRtfvJdvj8ul0SvLPtqWPLEJo/F9Gh/uq6kXnAe
X5JwYTzW03DkstO3/gA4r21GeOJ28tq1hBndciC2w5nbiJybxjT5anfsWqYQQ24YGahgAjfxDMSf
mGRU7svZupa0LK46TF68oKNxqieF4raVd9tToEqJBkuuam5OBWrv3qQMYV1w3KWInhJDe2Bmn0Kk
0nTxz5SAS0RXhoFQ9k+VcngC1nmMdXlsverX6GqvaYaY72PzswSp0cmfjhO+szV9t6wFU/OXQxPQ
Nu8WjLPnksLUNoNNt1WVLfOnLM1A6vJrHIGxyIZmhjh76tLxzfTmsxWDyqe4veaOIJ9NGQ+rcFI2
wzReNLTfdU/MaWkq42QgckoawWnNWfEetrhfpvpXz+5zw7HZDzgqhUsnyGsNhgqATR5EtlHtR1hu
rPx81Nhwwi44iftEZefBcc9V2z3WUrz2qYDcWnR7pMG3yKXypJsqb9NqdEZSRPg2pnTLUZLgrbLQ
TK8mHLhTmrGnaSbqHX2wSxyA+pL9GLeh2Ohd7ru1uEsnXx4n9ibrMbHMg48OvQHX46+xs6BHzpUb
GE6vU0AwHouxi/bJAp+E1PrW57So2F6551PERplQ/tDTCLnqRxNequI5mJoTDbIWH3TUcUvTckru
KZg/p7X9QF9lS4EYPIg+a4+WjZo51Q7P+GphuFDWtkbZari14GU20uLWqyDfcjmFm65AYfdo2tvi
nKV+xbDqvcvZF2E1fIZEDYfB5h9buDwJO3BfJ7dpYXQWuAzj+SaXzk3auOUTS2+PmFrE7qXIL9mY
P7txBG5jqIYDLq+bqCDTElocW/SM0pdu8Gd2YLipbOmY3Enpm/RL+Z5amlzbml0HUe/oVDc2+rqp
p+3gA8wyMZCOyR0TBS2+Kch/w4YEmYXOXeIOV3ORs3QCfis1EnMYC5PuQ67suhtu9SQq156R/ZqN
xl/xP6K+w6WxtH2hdxAWyr2md8dWAgOZ0mHcN9kwY+8FoDkT+dtYZqQClvvoRY1HJE5jiUCgi++G
zwFBG5dZSmQHEh3pGmI2/54EC7lqWDdzJK23iQzLQ0tbQx6xrhpYWGwkN2SCFHQ/N3Q8iCThwrNS
FWim/sN3dlqPKoUUG5fnuQopYfVoXpigwdl2dJURIEagI99Cuua29Zv3DjecEh4lfJoVGM0jS8SY
BWUVH90aSBBdV5AS5bdljBG2+fDM0wvMUwdiVCVD9DaPOkwkn+WjGh6NVBqPeVaMuxz7CQodEkGX
q4ueUweRDhcd2W1d99jdRDL2QWZrd8Skad6oy68utr+ixG2CyhNf1I3YgT0widozSKgeitcq0et0
q1wpKDPkI4XaLDE56C9OKkmO5OExjpLs2aicYlvWfs8TkHVjo6goZLatCeszVlYQRMA8z1/sTMwb
k0Iqsp99evT5+m8rXXscJmw+q9oBiQFo4JN7P/EXdStU+5SZSFJV6FJmVXC6X/KgrL+Jkjt98upZ
lPaywoR8C27Ucjt0GJqHVlZRXUPFHORU2sdQGo9zYdx1rXPuGZNWcKFueO9gTintsZ21d5bA29Dr
7ruueHNlvgn9Ya+VZN95yTNzQEq+Ibr0ZrhWoPVNf34Ite7kdjZNs3wax35AqmRl3CxKYrW2PZae
UwKjzyjnlaHm16HRoXZMlKpooDmjxL6lIdY6VT1obMluuQ2TBy6Ek8wHpMW6/MGiO18dtrbr3jdv
3bJV24QQcj/73jrt5Q7j7gPx6g8lJ8ZpX+xsMVl3+UR9JRwUVvUWX5bypvbaZ3cer2Q/gb+RYgTz
AdB0Z7N5dtCBGlvsfLcYuUnBOZz94slKIxhUuRKBmHtwuYgRJj9wpfU1nOUU7DVHG87FURjtpmF4
zJPkVzwNfG0Al5Ir1V8KvCaTaN8wXJIUGh9SN3cP4GNfZ814bXv7kRTG3tfTch2HPLgjwUKaEpV0
F1v9U8eOjdGve3On7tbQVVDXrbHwQolyNjs97/0V8Ii1x5/gIi2R9OZzFI00jpPrcint4HZVeRLF
xhR3VkVYVAMtKsPwh/vQvYU7GoqVFRp3aRju6Kdjsepd1bxEsu/DEc5sQ/aj7KmrqX+sED7NsqF1
9M+cRkgaiaqbrJ/FTkbhzk7PGC2qQ1/ahKMLatDk6BUbh9IyogPVuSTjxiRc0mfVabvO1vCBN/m9
PauL51m//IEMLK0+QHMPQyI3sDTITif7ouk95C1wCiIvtSA22q9oOPYNUDHd2E7qkVT7ajB1hBRO
EHZzaxg0nc9Qlbslr6wRffbdg9XoP1aFTiQt4la/l8XM+AfSPvp2e4CVtgaXLlLOqqFciN+PM1LM
wxYiu9ZqW7PSgtIGKqw0SrNYfjoYTeiLQSMjszai8fnKC9BHLmFYbW0PTm7ro7caHA5KSE9R8gvz
602huA2qwtpN/ajWQJ0qanRAXnO3Qp+yao+7bAVukmGrSByYQVGAAQJiew/qh3D7JUpSjqDmus+Z
2Ln7BKLsyHFrjHjmRwE6fm3Cwg0Sx706FZb8xiB9DdHyG8XmumT4FvmcQGFaBaNbudRbx2DVWz+H
ucdW29m6qX5Ms9Db+jHulxwfzmbG0Do3iM6E7k6irs/NUibW6GhrrB84ImnhreqMpyYqxyVG9IXt
mWXqlKanPJuiwPPhw0WZXfH9lIoEU3lHcLXe4zOauPjNQ0WXOrTFTQ0oaQMv+D0bKzwqkkZiNGYC
Bp7iLgMNw5+d+2zJJLtdyiKEAYgLCzfeXhXymrfZtIkIp7mZ/6Pa5hBHJx1wJXZsf+P61s61Im9j
dPC1iRfqO5lZL7r0+QK5LkfNLNtWAIdXhZF91UNz2xHl2Mpqujed9lqWfXvREyM+aSM2MqOKnyKp
n6vpK4pv2JFB3J6fnc7/KHMbAkhxk/vxaajUBesFWxnpPIVpkW76fNq5ms1Rp7SfW6qUnFC/wUWh
Vn1tRCuj1T6Js7UberqTbdyztNbT9kH6PGDl7N4kjqPWveJ2UOtii9nxaBtkFwxYv6CWqtsmcr8m
iRZh8lcPHChj5V0SN3q2J2tlTggMoRbHm740JH1hWY4gy+53bMB7wf1S/mc8hudSK6FC1nsChIAB
gI+Usn9EAriNxg7Rt+KU0xz7ymIjVTsXyVQNkyUekg+ufJ0zoH/Xqv4sSelzthpPLPGWDuJ25ahR
rOMm47bFqKwo3KRJ/DtCMRlsqdZG5uzk2Dz2mvndcDum1PKcFt0Pbvpj2rT40HUNvqzpPU6F/t1R
oEcrQzDoMVHZutpHnExqOae7ucYHmuJgHFq5cLWRLsSYPyGPYCSx8OwwvtJt521Mu48O/aSfM8V0
DVT3Kc+WYuTRg/Femhtfh97fRi0tpCnDQ+EkXGu5FfhJLva/f4gxFLN6SJ/1YeYzT666HNtHnagb
N5U5olUBUZXSXUn98IRa4ImW7Au8hq4HAz/4JJ0afW9rFb6aMHygNpBMnuwP7H8OqT0MG0JCNshd
FjQF5eBtozZJVli0pPvR/d+Jhvd/2bL+a7/uX1Q4H1GPda4Ld1j8gwpnlQ4bAAFRyOZs4ANOs82/
GFv/s5pfUvT/Wp/Fexr/F5/0P2NdLa/8Q6N1fvMdxxU21JV/0Gid30wTrzjIwr8kX/5Ho9WXzL7P
f6Yh2OmjB/yPRku5kueY1oJw5o8X1sy/tZpfdvx/Ws17huCX4/ewsToLCNN/Fmn9fNJylQgWMel8
tEj6MXBPh7w1H8h83hVj+O059NOlNlKsj1eSE2l+sjjXw32Pl5gLslnj68gJwmFVVBhQmqoHZbLC
iAydzVjbrDn7PahhTgN7Gh/bhF2inF5UGO5jwZG/sF2ewzYo+qL6niNrxfYeN10ycrjXise8ALdq
cPZdSgx8QnA2WULnzAW2N3X5xAx7F9NaZ7ausZ50fgkfIPIKkC8VY/SdKM08Ow5oYdJ4q7FkLpwY
3WH+UW1kRLS/OWrfeZ26tejh3cP1OmtoyApO87ZMjJvI8dSeShKx7nweqSErK/IphrOr0+ZhVM0H
q3v/hkJaOLS17j1E9BGuFH7D/eDoBs9CL1DxoO5rxaoF7AhSHB7tgFDzSCk8zETV6sU2K/07A/Pv
xjWwQDkE+VZiLpyVi8a15sK+yTXWka5RmKw3kUoKGMCrKXN/JG01jI8BP7t9woz5plmVgxqabV1l
4EHw49ssMZ65LxibELchr8QxBgi5JmQqH6WiyZx75HeR549JWUmMiFW9GZKWHoeILWUsViJp0w3u
qW3ec+KKNBuBN+SNCcuLn1t3UTHt6PIr2EqmPy6tulpostQW50QUJz0XD7Vm78hfbPwoo6i3+zV1
ydnrou0weHeNYN2cq5NT95sMSP5cUQtF1PdrypHdWlj9Xbzxbe95iCBd+qJCuTDABcaHIdSewqLc
izzakwwJObrMv0KfrbHWvrMoeBgs5yHFBhLVyb53+kPVWLtsbH+PwQdWXx9iO/rwLKkHuoVZrLer
ZheGAw7HaXhx5HBJJrp/O6PogCxEaqd0YzoIKq5gFITOdmYAJKKQbayOipV2vowJZnRr0icKupig
IpcGBt976Wr5hfvzfYC+mxX46LypeZV0L0Syv8V0cEw8fy9hcK8dq3k0VXLvaXO+HcFxDhlWhK75
4QHz5ab2hFOiVluDnx4kHRF6CuURoGfANy5fy+PMwY1+vqSg76Tsr9qMtTHvqcuxaYBZKVxugVEb
Lynb+43h8SUaecBSCVSeKyoJNNFGQa0nI9t9wqChjQM5InPLWpLqZZbQWN1KJ9mGXcNBOqaddubq
o+1gDHdlXrOaQKixWioym/KVhy1X9UvMyrhWCacjBjnIdew3mrgQqCosGNhmfRZWfTeP2o7bznDA
uX1Xy/B7AR/dUad26Ez7Xvhoqex65LqYxuF2bOiBTJD572LllzyuSaslZnlrC2z8ZcoBCRi0tq55
1O5MnOvrzESeHerhaAObmnirU2QDTvszzUoCAIeptVuXVQXEj/6gGY189JTB2xIrkRwyAAP4gc1z
WBfyDgxoFlitRDHq6ev0rPcc07DMoC/lvUYFtxa2mBwQOIXh3TZLE3PScrBvNVcgRc36p4qS5pjo
TUGoF6cMvTONe7L9lAIMr8uZ58sheWuTJnxIM/WUtgKVLZafGAF3lSJiPI9Qe3yGMt2jq6YKbVQZ
9WHbzYVlyVFCP8ZFcC+8+KBG7M90Ix2rgfHLCh2QmsZV18KzS52syv2nTmOzP5gxSzgPxpA/GDcz
W7wgbumWdpLhZXTK+yYrmaXmMguqwUQkqsndVr601ggGvItwnDAXWavMBeEaF0QUJnwy7uJgF0aV
bCgS7RkGm6sS2WNbARrpqcjZ9rok9DgiJuh+ep/bUPlAGeIumM0PTRt/EW56M0vnZcrb18nW76Z6
oJhZo4OvizAOmelSXaSYbsHg9xRzA43w6Km5NQSW6l5nrNaPNQB6DF/JZYxwMTk93weDUh42AHzC
DL9BTJhwPdWNe0MfjA/DlqR3UU3RLskzCn0FZUmD6OY1hQKAqg0EpSwvGQD1W1+P5UpKjqSuWT6S
fadlQ1eckmqaQrNGu4cPsBi3u0s6smDifZ6IXifUGLC8K1qF7klZLG4DlewZipu9VVH94XlzEhhS
D9khjS89FIsnS5TFMZVTdJ/mqGfjkvIcqrPMsa/a/fDd2lyKTiZRJ0LzZ8ahbXnhUYecvsZYN+/M
wbspI/WcleLD9+t3pYoHsG1IXCbn8Rj8BycdVnFvacMOKQrVw+/T0H/GQpu42r8eC38HPMELTP7J
5p4X/jEVur8x1lE7orNnB1vKn/CJdf///zGh/IaJFoOAY+PMpELkb1Oh+5vuOKbJtsIysFMuGeW/
bu51RklgqfxN4KctGxLUvzMV/o4D/Hu/JqIZP4fl/TKyGsQb/zwUNgZKQakoz86xFA7qQBKfJdxH
0XccxIxH8iFrWVS3s2aDliMohIo0zPLCmQ6mjkJhaQ9ynPe5i1emVGwenAhXHxIpmNC/e2//2enG
XBJtf/tdOd8QqgOe6PEeWthV/zG47Tu1HodzJw6TmxcP0gtH2DNIA4XWoFVPj1XcOxt0/CVgE2M3
WGoHUju9TQHKafnMk4pmgobHEvkPmogybSktyOlZoMcgWlr0WGi+5d7wRSf2RtB4QNlOziqtZF9d
n82Jh72gHUHMRMAS+hJmQXEC2sXBxyeQErJCeeTmPcRceEn1ZVhUZiWaPe06D08T57UkKKlmGO1R
u7Wy4lUTMarm0t9QkGDohpggC80OaUzHA8IjzMSl98FtzYuLOgJqkN9V1d2BSei1ncP7ZGmNYGv4
5I/zCKwRPV8t3RK9MXx4S9vEpHP07Dtyov3SRQEA50Vf2inM3rh0RFYQFOE6eK1w31LKLEJdpDuC
UdguDerAJyhVe53yC2Npwai7CV+WG3oUM7VfQHKIqFGawc0M2XHp0VAM4qumqdUxomRD+DNs3FlY
9xoG1n3N4ASNqGedsfRzoASEu5rKjgqTAUjD4aTR56FFdnPSafjQl6oPLWZlBtwJZu1FNGzZLYfq
59/rQSTAFFbcBGRyfZvC1Fg1bWUFZkcSaagcUgVx9FxkAimd9hGEisvUGqgraTvad70x1fFpaiMr
vmDZ6qjEkixsE+Cr8Gbx9Tp6A147c7P8VPgz1VhVd5nJlwRtzWLLTavs2io35cnOkQaF8yZiL/Y+
umFzzPCZMSSWjWrZ+tZvJMjwltIB36ziOamfZZUs21bPtGj5GN+zPC02vWNfRGETMkl9nvzIsX1d
+wfcxXSj2K2zJQL/hPzz1ZacjLSmPRkeskyYevfeUD6nnctqDIaVhhjoRKA7h4YqLcsrk5uUT77q
sNcaS/CAukL2ck0d70ZDJxuVmxIDKYeYaBrfHR1oi6jo90IsYU3XmzPppXBEMxYvSR0OYAItd+tJ
KSnUcT4ht5iYs2mCk3WkH4cBS6XTi/SB/FDFeQcKScT3YBX10tqqyXifPVykFuTeII1wVOuLIDLX
yLEjkBnNaK82O5l1lxvfhkJniqJ4vM1QCldjwnNZNOINrdWpAey0NN7o7EMiRp9+nvajtM6tBcXB
/s4QqxMPOG8Y37YJJuNpfsAWeszRW3PnRWBjiZNwZaGC4ixkWWxS+xGR9rDlu3LgDhNo0LZDTXew
G2qBQ2CsTwO8pp5CYw2b8EDO84FMJ/i5lG3QlKRgy8itgv15ikrvPaq7QMcUSTwW3wr8sn7x92Wb
vmaLmcBi3vC5XEeOWPH4NDUnkJULhpPilOin1sKrylxYnsnanEjrgbBJCJV7I7cCJcBRhLOOpSA1
rwI4cZH/JBx0i1b/ET6UptI6xGP9itLGBWnfleqtkOHJT4qNUYdkStkvEEjsbGLrZiUp+bDXQ35w
ExPy0hQgKKHgvc6d/yxtdZi96b7EZuVbcuPoXbEb8dirjuKzPPwqIR1b/bPrrGltiQoBDBDy5JBV
zo52mV2Ygy9tLDxgyTi9Shyh2zjU55X002Wni1heDNXPWAvCOMiCeQ4/a0jdT91W7DNV8wYKO2Jk
cYYAyDK8fxOjeJQXazY1LAJaCDtx2OCeysfHJI5H8mI5X2ehnG0L9nLnTvpLDN51beYZoR/yzngy
msAdY2eH9u2ufYnjO2lwUxPqdOmhSg88bTeqBnZl+elP6njnzJNBmxs/edgeyOTIyP0VFckm1Qoa
Yput07p724vf47QCxscKsa9ggLMyUmwrDPMp9ZxxZXWDuMsZ9Nw8uvPDX2U3nHILF9sgU0hSsPlw
2ihTf+hCeQIYLTeEL601thVAaw2UmxkiqjXEuCNwBiywWhpLhycz4ug5OMlFmzPYoiYIW2ys0dYz
xUuRmKTbimKVTPZ9aRNvq3F8CTP7NCh7D9gRCw405kuTZpTJVodFoKSnb0Mtq8+iC5v7ODjGikNI
Csk2/FJ6XGzo8inAN3b2KfTm+ahl4zGaK9BBssofYFaFQenMmJrh9qzjWtzYvv7cePZdE7E1wOO3
auvyBtn+xW+8y38mT7F01Ln/5+S5r97/axEl//fgubzuj8GTlhSw+45nwb5YgNR/Gzyhi5oO85Rg
GkIo5jV/WEb133S4obTTWTZa4e8I679ZRpfQF3LkXyfZf2vwhKzwp2nO9RwLbRNJlAY92Lq4lv88
eVrsVFJ4jtGxtod5b6C+rnGNPRlZfNuDpCt692Ey3RBbDwEHzZPY/GLQUlkjd20yfeaqOzvZSLQy
JgXtFsa55Tilm9kRZ+mLZeUHCCLH3JqPzKq34ayd/Kz4GvXkFvf/raXw8iTTuZeUJePuuc19/OzR
WFzrAgyoY0ExTSyAWxkDAFGI3cDTBPTqO7cu0GtaTa9zVO+nrAQPVrmvCd6KtWXF5kZaOmgqLb3J
9HDDthI/hpFjngTik0zqa+hVjBOGjrxR7LikxNlMyAtZcf/B8x0j5lDmLM07BrXR3sq8+5hq9+qO
mKLI/tfX0ibbLIqQZU3Un3nM3oR902B1U4C7SrKgbhLec4/V37R+KLZzyhFS1voJ7eBg1sVLCHYT
fleBk8BuP0fkBDrAajz00bwfp/aAvRIj7mzwJKq+7Tj8GpI6/rEGK95GWdfTteL3d1YyHWtDYeGc
U3c9yTeyMT5zR4gHrswfcZPjwJMCVt8E88jAbZY0AMAgKteRhgUjx+SAJ+4GW09gKjqv88TadhUz
Z6nPP2mkFausqA94Rg91MTyMiXbNWu9q2oQ+yMWd077+pRvATXuvLBgQqTmuyfIn9BMToY5BJDkH
oyjRrNN6D5slXpnSO4hQuiuVlUfZxA/YOHioMNb0JunSXvIjk266tQAN/cymdqnCRzW752bybmlZ
Y4wvd7Y3XxXzuW0dsvlqDqSyqlNcE+MqFZUw+qFwjBsMuqe5cU6DhnOv7ldNfjcQUWja+c1RYlM4
0cYMD/ASEL76k9RrFl9DIOM2gHbqPUeF/qlB6oAbwKP60M8pFaKYUvN7x+fP1aZQtAOipVo/GA3o
aAPhdNd0RzcOHPXpfOMlDjsCDiA2ze08v7jpTeVs0uYxhszpkKJ/moxXJ/qh20ZvdkUZbaI8SD89
wdlFflGdaiVmYETHlkBt1MCrC7ExcSCkS5jTRTbvpRZ00b0L6JbdPAXJsOtqcbXAP5h0/C0SikcZ
NREcbd2w0o4fx3jbyRfjWaEERmm8mdKLnZ444O4Gb607t5Yj1rI9E1Qnhr+I+WBX91121+ArFJh7
5KaHOGp8us3jjJvJ0DfyCzqV7b517MR9472t5rPZLku3k4y/MkZ0b0w2vZldHOjDkXMbi3yXLZMb
FAGo8wIdy8w0LHoYb6n7Q7T0D7IXez13jsT7HeCQjOCYNYs7aJ9bw/hJfe2BavcXiB7rsO8AOgBz
IKqN0nw3aXznhI1lmivJzM9mP1x6AJ9sVkf7hIqMZSjHfu6tUPe3rc9cRz1Zkl8HjOE8bVnjc+5h
/+H9qqGrNyLbdvqlBHrqP3vWvc24Ohp7zVbrqm1Ovjls5VDfseonsoNUZY+buZqZijDMpz5uSygN
yaBexGKVKqfA0NpgErwfM3WduXbwMJP2rIBr95BUE0AfBn681B7Q+tIAozg6gBeOSHkbY37zSIQZ
8FXTEaOaAZIjbV8kV7zQ91r32uDbd9guq+EW29xCBii/mmHXT/Wm9M6dtVcxcRTOwtmJ1aruDluc
igw/oXPI523mGMD+Ixxi/XlSS4Baa8nFX6PpCqwYEXA1VfpD6Dziq94OtkaHvXXDMGvqT2J6H4fH
Lr22xXNttcc0ZG2cLXlv59cwa7up6Tac7te0ITN8p6y7uVE8z2A9Mqqe6p6WjRCzFHGETZwQpxvK
6tNJ0e/AalC0SdTAah4MLWjQILPxaoqRnOXaIpSNOslIpp8Z2NnJrPNoIyOQr5Qr9C5AYM24ccUN
SinEnHnXm+ZLUnC4KLwdQMcJEbQ/F3kyMCS1+EQq7y5q3Q2wsifTqT+AvNC0zPJD0FYwuOEVfBN+
yhnVNULKpX1xuKmNAUdqom9VO35mEcO2FfJORZaq4ZCW+TnhrBmgHPNskabgnqp2kw8wkV0QZSGU
Ra891d8qo9IOELOjdeuE1s7OCSBaKoGYC8p1uWkGY+1zXjftpXwQPsp/s3deu5Fja5Z+lYO5Z4Ge
3MB0AxPeKORd6oaQS3py05unn49ZlVVSpEqaOo0B+qLPucpSKncEzTb/v9a32CmqanOFZevgJ84q
QBQ2qJxGORfCnrJg1ujIOZ8webbfUV6D0IlgQmiBtdCycq33sDXivnjJVTKWiWqKNrGqYxtErbFJ
LK9eppZ/h/j0GW3xSar6T2IMxgXY10uDFEGAHAtwqrcjs3qiKGKFan2FdBpBo6F+U7PwQjjZqzBK
bBTT22C+kC6IwU86q8IiQc0i/mbOTuGeHCtAkhUMvFzmKx+x77wEZIRqpExnQ8vRXxUpR5swtFaj
4Z1YSqovfaW8tLRxZ5sxUaCTJAMJBAXtuIzWfh/QkSxQFGcs/0xC0GEqctODEip2705T/CryUlLD
8vxZLzLS1HtWbm/EbMrfMdadCuknGGvkNL0N0bWXC6uLvJV0c+Jkg/xFG9p241swKQbi3Iaq0Cli
IZwKrdu4YYHTIRstEm/k94k8q4r6LAFMyANmkh+dnQGoqhZRX117KciP2hDfxgwltqHnCECwX6ge
DdmiNHZup8en5Mvj0ZjcGh2YUHAYqBnbeHwaJk9HOrk7KmKA8NQoW7RIV/nkAMknL8gwuUKCyR/i
294ZG89rzY6vxWQdGSYTieY73b2cjCWwiwMYhZhNmsl20kwGlG6yooSTKcXs0he1QusR4FcpB7+B
9ISFRXcUVmBcLQg3NnTKUdXhNeUYxxkMB4w+WWGqyRTTsSXJ0oJ6QjUoyLmwzrh4aGRd9ucQDa71
IkToH9s3odqdu5PxhuhdNJw1PWjg2xreHIFHxxPMGJyD2k3a2lfGZOSJJksPfklziatBnwdWc0ez
dAmJGyEoTqBWEQ36UsxB9mQTolJ5B2F4XNSThQiI5A1OURTduIsazq6YVkml5QIAfq3AIBa5/qyx
M5y5k0EpJ4t1mU6mJXeyL6Faxn2NoykelbNusjhZ4aBdoEujWIfvdw2PhXoJjtldz3aVU75vkXRc
gdViV3kwpZluk0b4Z1wdBbF98OTWrs6KhP8QFdQyqbwHpYa4aurttSNEv7YtJO9jLB4A66O0MdOb
TLrKSZTRt8DxsDZNhGaNXROCmgqYqyz6FD5HfB1BMvekR0ysr90kbss07MPjMZDXrmyF6UYBSIXQ
CPl514OpxxXNbujBr5WEjVK+LpMiJCfXsFjHKp8AVGKeYLaNMzk6TLuW91h5k9EcCxrrTYdMMFFU
TF4G704/Fiu1pjsS5gDr2uFGbTr2nCGdbr+2W/Ti5nnWlN4VSj0T5UB0QyunPtH97IJg+X6TqdFD
Hnc2UvoqX6mhzBYcdtmUB+4T/ZmN6IzupFVxC6gVz4reegtNi6hcdYBc8HcgdsMKBbY3VjjDow32
T2lvSdJ1MU0UAcIKSFLiJk34ZWeUk+BO0nRMgmyvCarVsp/2JYnBMg0choSTyl2VEZs3gmHENgq0
4TZSWu9QptENaqItDzWay2B8tKo2Duaa2TT/3xCVf0vrmDpIzzlUgNAP6uo///cfHaXFY/347g8A
dNhdXzSvhNq8Vk1S/wS8Tn/z//WH/3r98a9cD/L1P/7X40sagoyuahDE9a/H5IlL8VVj59R//Kiz
w2/+PGCL32DwEa0jDFX7vUnzs7PjwuhA9UG7R6WD84bEQca7aRBuB6jS4AjsTJl0Pzs75m/W1Njh
fy4/0PR/Bqqc1F5/dUvo5GAFnca39AndCDr3/flaFHh6NfpOWzcAw0Sjp0UjKa6GqrrIdfeOu7ZR
O1fByWUtnBjLlVNn6YqDXsFUXsTs4N1iQ/NDzt5cyg/6OMfnfj7XJHQyLCIyiMNyjlRqZQ5SUmcm
3Vr2SxI/pSRM04RQyoNpfE/oMXw+mjm17I6vg0BCpQFGoZ/G/99fhzYnuaFQ7HHbGe3IXlqQF6Ry
7tGGG5REL72TdgtQEgJtqsmGSECaovN2XnRluA57N0bW108Vc2i5GjnUZWsDZEvlQo4dLpTRuUiS
s6BwnurRn95s9yTX5QEE01lg8B7XJMLOWT9xYDjrHkU8qsJ+ZaKaXtSldegcZoexrO+SnLASqYub
kgaP0pSbXEu2w6DmSzMsH7rKuPUH1k84AckcLAU27BYMg12wCfW8bzF8QCcgIJUEEYLEwexLQ7yq
nX3QjGDfswmmcs+pa7q5DVPJQk5kAsodckUYwh5n0GuENFm0YPC9IHqi3PCoNgoSEV3hWFvsai9O
N0VRPkSOWS7jsTtlRdDofHTfkXhgTfEh/lVxDr1hQH8BCGldWMW1LrNlSDlpRqTWcFAKuXDU5ntU
aM+uFpGZ1PcjIAX7otGt18qG+R/hADF1lTitUl3aZbCP427vS4kKiOJtRqne9VDGOHa0IMCCOG8L
VAK7EslBo4DQUGlb2Y+nqUsMtGTDYsQCw2btcXYpYK3UcY+4yrXqy1IWydY27W1sa4iEknYK8750
s2GXIKLchii716OJggSpCA2zPP9OZbOaQTSYi8QbNq1R7vCBbdTJlhUNHnSCztLQXKqCojdNFntm
mGmSspwprbsFupyZi0Tk2PJKt+MfIdgRSAGHlljDrVS2kVgEjnUFkJ4g2rger3W/tRY2j8FiiMfn
POjwTenNA6IMnLZgMhonOYEduUStBlZHp1UBxGOkx8WxGBNMytlQXodheiKTVM5cfP3m2IwsO+ml
NAt8NPQSqPhcZW4CMi+pH4MsC87apCHEo7bxv/pmjPqqsQ++BS7Uh3gAj3JvSXuXKhCvChwjhLFM
plTEVlSgCBOm8AErsgMegkpYrWN1o1tJdA+XpVjrTRrPglBb942yahWOW9VDpiD3V9EcemMBXB+Y
hSNuBB+Ybg3y+FQPh5nek3RiVv5Kqu1uKKzvtMRXIlaWjYZxF83avSVsDJL6WpcObuE6s5ZOkalL
r+DOmWqy0pvoNAyTe6KTKayj+D4fAn1CtEnNWZhFALmwSBCbacTGt8q4c3IhkfzSqLBkcVsXw01e
NBthFZdMITc1wTdzpQ6uOaO89EgpdXCILv3lvVd4Nrr46J7t1g/25LrRKcslwsH9mtHzU+zi0WtT
zrlIFZ0SkNmg5QEVBskZLlJvOZFPNB8dfng3nDqiSXd+hAlwEM3elOVu6BGa92l/modA2Vx9vKcb
STCFi0bTdGqyBGr90c0UmJtABDe03qYWb4PtZyDQlyVC29WFuekwvR+aMrxrBOauUgJc7BARUvej
TDojdiVY+7bZ418sn5LaR6HZ1Xd2STxE1dpoq3UrmBspR420yiiT+ujXfH9N81jZoMlDpynjRa4k
t8hXrlMVHbqaKwszbw7YwyC2FWq9RlO4UvsecbkHcTbdJWjk7JokAUJ7VAMdOPpM58Rs9K1XlmdY
z3csnfuSrLY+KYiJq3gEIOHgZ+9wvhXpQa87fRNUoXZNq5YITyjJxLGJWz+EkzkYtNJQaT6XvkL5
jKJCpsl1ABvFH/yXxjYGDnXJTVuMV5qZX3pNHWJBm9Klkdo4Zn5nuNq3QAm2he08VFiWYNTY1wPi
H64r4u8IjSYn/W4eDYlYmPFwRaN32Zbt985W9p5mr7pEO8QOJxTLpGrX6+M8qPIJNkMRjAOzsTAH
b0NkEnJCpkoUXy2VZrCzbu5tarbxc8/HrlM24sTu0MuFfX3wlerQxxngHEHLPcIJWtSBu1TQwS9V
DzNu3Zp3fdc/y7xfVrXjQAyiiwvYY95V8oWcVvWx08SGuGa6j9mJnfLOozTsFqiVxZTzRAIIFESE
8/EaWFa/HMsY4aPUN5VrVht7yDdKjszSiMa9DAmWY6eKTElXVr1ZnwUDNz3BIQ+XJzxtMj1DGgcp
CraixdJymZdi58NQZYLN8k0wTOkNcbDDbbvISlz/hUZRycy7qRkVPUUi3ke1etuTJTlPUu+Zlc8/
mL793JpmijfFK2aQG2n/AwBaZ2I4REOWXihGKBeCCNZZYxrNovCqKzfqXkfPPcW6sPx8qzFJZd5v
uCxTtchxg7eB9O1H7sAb9FnsBl1aqwq3Ry1OlTS4SoRcqSXEKG8kyJeUox/j/Y/qyv4UlnI6ifE/
bn5Nv/hzb26joJr2v6DyDGFacMV/7s0J3TN1MG/sQMHMC37nZ/NLBTzPLRRE4dEsVd+qrghwBZWi
q6qmGqDOnH/U/NLNX6L1TPB9eEgMlXOCTtb1+01plippBODe33UhCcacjQXpcJ5YdXVi4bkjiyql
hPGat2ZzCiej3yYhEcUB3O5lGAXB2mgo6Gu4ql8iOi7nxdDWOxTMIZXgTKcYV4cbxU8j8o+883ow
Doar1Dvp18NZpcuNEVTBYzKOF2yorqRTo0T2nVnEXzxx26yguG7lC1e2Ao0XWUfCrejZYzwmcw9D
Xx1FAJ9M+1FRc4IriyZdtSFW6XaIml3aSO1Cz6r+PBdwNzErZo8qgWYoHIrmECOCgSUQmssKb/wy
dpE9WX2HiryalrFgX8sKSYGZrYWnhstioFBWesO+IsIJOeiQrFLTXidCe/UN5coFpu0oVrskE+YU
i7aKgYl5QNp6NR8TlBeFniGgpOozT4u0XBDZdQJW61Sb2mf51EjrppYatLkel7RF1BAsLJPykTqU
d8aPRtykSrfozZH2hEB6atdp9O1aojD8kVp24ZQvmE81pvT0FO7hypgafhUaeJUOID0hQKiFqy/s
Dm6qQp9wYDc5b6bWYUoPMbUqOe/6/i4Xw6oEt2tP7UYzpPFI+9aaaUP+BDP0WjoZ/ssgPjRTu7IQ
NDzoX1KdnAtRwfsODzi0XzxP7EN6nQhSdqChdgY90JpeKN3/XUlv1CjVU2tqlg5BQ4ON/mlJHzWi
n5pOjVVvarH2gRtQ04jFZRWkaOVdNVzpU2nB/lFlsKk3FFPhwdULUNtUIqaSRDwVJ7C1CoxYob2o
p9JFlVBwNrIIFroCY42uQbQQLeIWj+qI11Brdfxhn7QwJ0jaTZaNP9STPhsJrl0Wp0ieT/MeuD2+
mPikll6+1Mme+97jDYuL/r5BvMDTmN6O7F5mmlKOSy/VXpoqfYIDUyNIodGHO8Nd0YX+Bl36TsLj
hoMDvaEZ7OfRVzZVVU5BgnGzzhAqn5pZjMh7wLfntn3KQTDDBa5lw0lnmvaGBsl3a0Cd7gTua8gi
c9fE3boZhYOpn5KYZJ1u4ZcTwtZsZEtVdtSGKzMI22UTJeOyAS65qXJjQXzTWRTq7da3cJIYErSi
HcgBIceog3fu9HqRu3awSadlswuydq8p0pt5k5aLRYX+LqXPUPcI1evM/KR3gpck8uF0d3m7LArz
xmr07IJpJwx+P7j/z3pjs5L/fTHoBNvXv/7PB0zW6df+Wm0o8xhYqm0TLYMLH+vNasNKgs7i97BW
1qE/VhucX1RA8OMINBWmavKTn4Ug9Tf+i81PbMSuuvqP1hrDZEF7ty9xWV90h5rThABzKAYdrzWy
YLYtId/41joP4OWQuDYPNUjPak3NHdqyxVymIFSmy6utQEsxTxXXdRBfekAz1hEkx2RImsUozK0a
YZrQfH0Lu3BV4p0sKvaA1SDNWYHqbduNgOi6MV6ZTnKbRvQ/nbrcEq6KWT3QNxa5aBi5UWqkCADs
rIg3euzgPcIGQ+oQdlIRh6ec+whMk55YFEJzz5op29GGMjETYMYWtAuz65wO0hytFYgUT6lAF4Fn
8hSnugxHhSZaXVMaqQbdowNBonPBerJFvJWsEUHfW52DKSi6t/R4j9T0pM/CQ2zTwETdQXOhEt8y
R78KivxKx5Hs6vu0j081r6VkleIzgNhOXORMWM0FYRlXmVM9GOQnqCZUf6Oqd4Me32bC20hXfAOh
yFmicqcoPn0P/RZ0ftc8ayETeYWeYWYV8tHS8acWvf5UuHQfaafdJTEk1qyOwO6pSyunSxKbBOUW
1QMpfZfCnfCwYMwkyrFZnjaEweUkdqSldjnIeN9TPZ9rkNuVsXvtk+6hG/Nrp9W9GdRzRLFJddEU
bJsT2Xtz9N81YpBobzfaSeMlJ5mqt4vSTq7VqsKlDjZNlze2VR2ijjpKVAQXaeM/ZRir4Nmfx1F4
bw08E3YDYW1E7BeVhAEHMQmHYXvWcSZfRH7TX4cJKQr0HFNirscr6uvOSk0jMitSc0Mbsl0pY70O
rbi5HG2SLmXobxRPDgngFURqNLdL4sUlPFFUbYAVRIHOhfCMea+29CwCPw8IqNU5xUAqQQigqaSQ
m70LX7Lw6QbC/AXK6sfjmoMyKXvtLQyOBdzhs7o16M/Ge2QkJIImYcmJjIitzMv6g5h4Ly7t5cKa
HPhAe6fHcgq7F/jd/UPumuESKW97XpSWvRbqeGjpwbPykSMiUTMsBs+4L0dEcRif55ZaAr7JlR4n
TdJs8sykk2xLvGjG6GtLpR/xdROBcp6ogbXRJSCxNCLvF02u8piXo/iepGq98HOH3D61vrMkQRMN
7hQW1072F5lGZvMaJSQtZDZG9ncCC18tsCfrEMIERWB/22WEIUorHsgbGV/MqfCBzJD2CDo/Ul4L
WW5JBRjnQyxxl3BUbzAEzXqVl8/qLfD9TZDAR8qj7KzNOiYTD9yrB0LJBnmT8EY9OKpcMvFh60ff
RAAmfHVb6dIrDV/DrFAJoISm4qxxadpnlomrzxl4dkkqrS8omWb2PB+TpuW1btJDGqT1Dp5u8S0a
imAGGQwGSMDWhBRWoGZk6GYdPTfQErAdYmQKFFYb9mM5qRLXhexa5D8JlbpeTHvCchjHla85+N+i
trzzVSJSr2q/706GajAu2qw1c3gVZnKDp9s1oXGpSEId4lAXqVswP4zcYLS96tZNnL1UqrU2lgne
e140JOV9PcXnBJvcrZYUTCHPBA0e1zQP5qh34NcFYDcsts/z3mwBgNC7SkPagmlkXdQOoM/cTC56
XdJG7dVunenqg2GV9oxuwn2FYifsCPDVEN5YONTgneUS6SuKhkCEWwQSD3pDJK/ttztBCxuZAPr3
wotWpOFRJCjHnaHTI+7r7n5wGgPNk0dBxjuErfXoRBQ7msQ/6WHckr5hnGWSanIBc44ZgKomTNXn
JCgguorrpCRs9p8fZT+Gub9tIP3n+jU/fUxfqx99pD/7Sr93kv7843+nNtMUmfX3O4vZ4/O/TsLX
5tf21PR7P7cWqDhp4lBz+d0I9G5roRuIhlzNJkCe+tefWwvxG8deuhi6hudbtdF6/rm3EL+RFDWd
iLH7/NGa+tlr+6N3w/X724QwQzsueuAbwoQxyUWnZpamTd2XN0UPvzY6qy+zZoOHb+8EqekunAhz
rtcoHFhLSWAAuskBYXExZuN6GN3ixA17+6LCyzurSKA/MyT2W1Ttp4UdVzQXKps8wkpZp0aEHGKo
4ARnKgXvvHbdNfv68DZN7rEyi1mR+izT8XCwTBrfgRuZtw0srGgmkzFaKIFivjg9HX5zlHvfiG8T
T15wwPxmDP1DjmQdLMcZsSbLXM0OuG52uCw2jQmGEBz4ofPNUzXWYUXh3pCpdyZxLPg580EAp1CJ
d0o+icRk+lrH+CrHHu+rBcbFM/tHQ0ZPhGNwVkOgqTkFB0S//e5pORAbFWV34TXFTFTunZUUzbIJ
7ZVIFeYHwqVD9HAWlngicQktLUtxMerpvgqYciWiQKoC6Jqc+8QhdIfo8J7rWWnGhTScb0io1nlM
VdIT7fnkiEiy9KwO7QfNL240hNn50K6CzNnUQXPedsN15Rf3cU6dPclv8r690bv6NLcCoD6Vrq5d
IBozpWhYeFLiMeso3lMaeSIiCtPReGfhqtLb4aFIkUQ5YfotCdSNUEqkPgr+FEQ6MB2dH0XrByZ8
uTQdd0985kXcVBLrJstzFaXxxvVLouVd9KYbRVZrs/bXXVSiJ1HjnRt4En2G05EL7uSTpEODGTeQ
EJ5h9ua0mNPS0V/9EAY2hmFubrRVnejCHfHq+oUJXgS5aKHpSDwTd18N2DHLKLhplNGaYw5tZ5FV
64tKtvhkNirKDJoN+FjiiZVUoPgdW+ChnrYpyy6Z1zL6losSCmFNKBTwu7NKoWre+MGrb+EWcZXX
aHDI5DTPvTbbp5Z0WQ/GU3UC1vYmuDupowMAmXhHHM3NgCBNU5BaCKfdVZIuWlbal2IwezC3+Ft0
N30EwUYkLoADnIIKtnhajJWbHmTuPTNBo8xqurNSGBsOvldt1zT7uEepGrbyJqts9ASjrQGlgWum
O+QI834tSEnC251p9qk3CnSXcI5arQWkKqiR6x28MEVxX7yORRzCOcj3gXp7HRvPapmfVDHdCBmm
170i70e3gaNiRTcKCenh6KGqoPSNlNn+DuXaXEd2taui4dHVhq3UFBRadr33rMw7WC2wrZbjhiXc
dJbpnUdpiX7WTHIQoVbNTq9u74io4R0z8tN0ZHZcElZuzErLexg6rDCSyB1TT9EsedEpsoyWvYrr
PUpbyc+tLEb9nRfFynanGn3llbdOBiXKSLVq4j4NoL649y3BiaKbh6dCiR7MFCN1PCVHq4eeWvTI
PJUo5Xnj1wdDJONc+MbTYCkX8YgjxBo1yKeCpgp3BzOfki9wUXorN0I/huZnPoipJylQ0Tm5/6A7
ozlXyPleRMmA64KAwEOge9el1lb7uirUGQs9G/BU2Sk0cubxOGprhWzrsKseIeIhxiLwY2YWxnej
gyyBU0NbEInAdryycWMHhgVQXD5kbQryqek1SvDQcHjS//k6/bdij3dL9cer+X9bPYjD6fvvF+p9
+Jr9a01QlP/rUj395l9LtYU9AsuFLRB5WCziP6sABpVlAk1VzQUDY5msoj+rAIC4KTlTW3YcBCM4
LN4s1fSxbZ4RG/UCxgvqDUdL82dL9S9VAA1Xhy5sEOKmxlDsFt4u1ElK0Sm1h3Zj+fEDkBGwIcn+
zUX5Y3fwlj80Fa3fNkDcaQjDUPnMGswa56jQUKFdtsK4aDceXc+yQcrtUOQl9lz/QkLy8UATxAZj
NQW8o4GSrqv0Ngt5PUo6jABLZOdAHxH+vzMOdxKpjuFwYORWv71mShuRiKIm7SYuu27lMbPSirfB
GRsvn1+5D28OuzzCr4mqxa3zfqCmj2n91Xm7IfFsWajRjRTF1edD/BJc++Pu2JSpLEIgeaaOLpqs
0XgGAXfHSLPzwqpuTJ15sBqfVQP9chk6r7mpPxJeG1BMEWxdiLD8/CMcK3H4BK7Kt6MWRXtFF0ff
ks0UhKzGaTa9Qmh7lu/69ELG2VUybP5rA00SpDebUt0o2VMUfrvpyLyfOY2PzsbFD4ROQGbF8vPB
PngYXQp5NJQg6bu2ffRiOWpBAg6N/o2BBpi4kMSw5lnxe6/vbzfaH146FGUY/vFMce3efyMlHqUe
ZwbcSr5Qn55oLCU626gSncW/83X+HMmYOldvrp0RldLseoHeAX/tokz7e/CX7JqK5OLzgX45OUxP
A9Olq2FDg1I//fzNQBYqmjLIOaHj+OIeKQjz4bxPQTtxSnr56vPRPrxL6MEJpcLf6FjTz9+MJlIP
D69s2o3SiFPd9wn0MJt7lcrW5+N8+K3ejHN0HnIyFcVpgPjCMqFoUaHpzHVLfdM0262dfvGcf/yl
iO6i5UwSqDh69KKibJOsQSGuWMWp6LT7CkBU5pRfcOV+HcYh2AGoHNOgCaji6Np1ZS+lbaTtJteb
Ra/cNzonrML64sE71gXC5gPfyJmU18jR3alj+/YOjbouOhfR0xTGt9DUZKloOLXtEw89hMZWMkzO
/umtej/gNCm/eSTUGu91EbKKFETDr9DYoNkpo+cI5NkMdO9ZPbjt4vMhf53nycsSlkEEmzudwo++
I4UhDd2V12zCSfOoloIsIqgS/3QQ/mWHdd4yXRZh8+ipSDw0HjicuZC585yb7VyrKNt9Psav89E0
hvgRxI6GVRy9vOaoK0jPg3YT4ceS9YUeP5ENc5B+9V8c6GgqBxJnjuBwqeMZzwotvYQWnDtc5cbj
51/o12ecZw9Cn6DHT4HkeO9iRxxnaUZw0VJ9m5MuQC3TvwM58MUT8PE47OsMzRQ850fvEmZN0dCw
aDbsAxYaXtBKrD3F/2K2++D28G3+GuVoFiqynHpnzlVTcRtp4qFAhgM5aemTzPlvXDfYNZYLHBAy
y9ETXRoiYqPAziXKIXzkWXRTqtZjUjbLz8f5dV7l/jAIZmGDCEq00e9e1joxvBH4KqK24bS0v6Ny
WERqPSvkma/o/3gfK5Al039zLJ0vZhzdI7uPc9QBQ7XxgZEgXQWWkdrxmeJ73j9/GjB705+zYdvw
7B0t61ZSE7TRJRU5cskzX+Qu0bTvte4+fX7xfp12xNth9KM1nYjvInbNoNr0AGohWoGNCCPL/eeP
wrtRjm5R3EvXHNKw2qgWu8fYwd0JYLAc159/mQ+ebYZByE1Zk6nneDXKVT/sR41hpAYPDJl9D6nM
OvUd80KShvr5YNMNeH+kma7cX4MdvUiD0ofjQBlgg9B43uFOKcx44wePUVWusQIuDXtV0zX6fNAP
v6HDNnmqrbI9OppctcESntIa1Sa2Ypw94ZQgVhgnoxrtI13qXzyDX412NMM2NlIVv9K5bfALC4G2
8huKjIUfiS+m8um1+eVaTp4HXhhq1sd9aIOJoi0iukEWlsW0NLaK0iwMw/hiU8Tx7POBtKPHnbc6
69F1sFnuUP45wseiy5ucwd+m5kT3DQPrlCNjmETeuFGzr5sQO/WwdTX1EXbPjjKYuTaoY0G4GCD3
UNoam+rMo9aVhZq5HKh+UXu8LqdyWBUUxC0Zz4GB7zGcSmY6eZlL3xcQoCL8w5O1zElhtU1MccLM
q1PHrOyDG4DQlFNJLrTCfO2oJac/ynXpVLgLs+wmmkp5mJiavefIQ6Pqe6GWN0nXQHHxwAGp+QHN
OsU5a4L+DGM/86gW6o18DKbyofQLaqdDehIILwPcrVAYys7tGJcvmUXxrGpMMr6Dy1QSm9L29h3O
TurtYEPJoQ/cHQXyK61wacVqY723RwTTGBTJD41Qg8dV8aD3VTsnyAgLv2puIISVuJ6J8XSS4Kaq
a4KsdHfcpVa4QjoBFWyszZOkj90H24FpD2Zcw7sgu7UxpbF2sSpIl9JfFal9dzT8tn3S03divmoU
78JxBgg+ORifpiS0q0W5E+AksOriCfPU0uvh5STWpPJNm3MvlFsyjc6rzLlplXRDXMLKsgAYDN6J
aIalbcA40CF47tSiam4ImCm3A5z+OTEP4aU5kphEA60EqRMmycK3E6z5pRugl8/laV2JKrqMm8jZ
dVMsBDhqP19QRnW45cR06bTSIoQENUCdvqLI7fqtXMTo4mayUozLsVKDrUhb8+CzvyyXgCORGQ2v
AJQEAERC+4Bx6vZZjjfeULrRvG2lpp4ZnazImwxJsA1IfZ/nveueBKPtvDalBsCyJjkF70tICBFR
NSZH8PngWS2PU2tLJGAGxnNPp/us2XQ6E+mB8sH2MIMBP67CPLDWNtFrGO0K9xEUVgQiX9pbsng0
WKmmukzJElnZeoIMji7mxke8QuUbMPfK6CN5OYZOvrbwqELL7U8MPw6WddadKAMhRhX7+QEw+nxQ
BEl4pTsbo3Ztjfl3LzUB9DtxCcMBx+7gt9dGylPbhnJPIOQCIv4ihgsJ0Zsm0Ei42TnVmPg+Linv
O0G0H/Mer2MC6KJGewhD2FhEODfm2NqLZYvCeucgoXpxtOqbNEgYiJTLmr9s01i/IO1mV2D9mxGU
iwBB3IDARBBoned6uzcN8BAWj33c3QEW/cZMvNJL8rOE/ZI56kNmhE9N612mFg34TnTX4fSHWqcN
oZBQ0ZTFahy0B90c91ZXkLdbX6QKERM9Z1M86cp6lMPSqnttzoSZQslCKZBrzVXc5Pc+AShAIg8I
ivt7QnWyBQ0AQpAbxC1VEWqzCssfwBQ/vmzUPtqbsFzxd7TDlS56vN6mPTiL3q6snW9ho1gGQWuc
F1UQ0Nw3/G2fZsGqKDID8hvcyx1he/6Gcv8lH1zTDkYw3IxgM4u0e1V0JgSZ+CuQyucZ1cM9IKJd
Nwaowyv3vNXcPdXL065DDVPJul04bn8X+P2401z/Oi+ou6QOroTByc8H262pfgNDHlVFXpj90A1z
2+KwtxziwFrmKOSuqH5UpIrmxqpD/r1KedW25VjEd2TLWes6K7HEpDnpxhvNFcZt3RQkmhYCXCwJ
UfPeNkxQXp3YEzBKcFFbKkO29lHhglYuLDbbZem7G08jWz0G5zCGgbVPYJjVU4pKCFw3L6+iJtbt
b58v6L8ebdlF/LXyHddevSxvxtZoSfVyhwejo/cU2/Ix9pjl7Eq97NBWzkOcRF8suObH4yIwmwIi
OdQcbSRaUE4+CaLNpsjExUADqSNMhhnBQT7T2OlMgxsXKjRG7NQ4HRO5LAx9Oxi3wHgWWRhviVNY
jVkC+aW7QIc1I1F6bbXlWgUNBpetWVXmsxhhJuLL1nrcYpW4KPv0wfCoMg4dKU4J+FWiAdQC1y8U
fBYgMonnMV0wtzVOhvox8oc1cDRScgeELHj6Xc3YapiV+h8hvTFGJSf6YlP34Y6H8/fPy3K042k7
L/MScH2wv4F09cbGg/c3wo6xRPDF5urjPc9fQx1t8AejsjpAPtWmTf2XzteQ31TPGo3GL271h1se
au8mW5TpxDJ9jje1jJ4NTVCMbBlt9gI2r20bfjOBXApaq7Ucvxjtw2/1ZrSjXbGHC6gN1LHalBIy
+E2KQAmi3ufvzIdnljdjHD27IiXookvxmUjbXbY4fDrd/WKn+OFz8GaIo+fAK+xwYKGsNl1IyqEL
SxCi/bjMRKLOZQPv5t/5Rja8aMoMNqqM9/eoibzW6DwOLp4V3Kt1tzVKZf35EB/cGLwL+E+QmxpT
U+n9EMyJeBsHbkysbxuQzKp26ij/xvd4N4j+fpAUBlJqQBFnNmsXHSruzvWWn3+PD27+uyGOLpVf
S01mI2eSwCkOHrlVsCQPnw/x1aWaPsKbN6YlsgSbJUMQW0PUh6Gi+uuIFEi+ell+lCaOzj18GYTq
tsqZDjjC+5EiIoXoHzScvuMWB6nVD+RD+c1VYOVnpemdWwmCtUwoBIIOGsK6ZmGBSt+AjXowXSxu
QRNgIHC3Sq1jVU2CLWXzpzzBnoiCnQA+pfqi/vHx1f/zA1tH5yc95GyjF3W1SSDxSKu5Ef+XvfNY
jly7tu2v3Hh9KOBN43YS6Zn0nh1EFVkFbzfMBr7+DtTRkcisfGSU2uooQjqH2gm3zVpzztHYX/Qz
Tt/9fw9x9KJ6GCvHGNDKdspyhHFteYGWczt0XvTFWfrExPj+5v+CYrx7zHXjVKCGOHQSS8GGIPHZ
6SyG1gNuHi8luoP/4K2as/Pmao7L5PHxWauiG010d2Lb1t7Shf2U29GlWetPnw9zoiyBekuf+xhE
+DnHnnaV6AiLBOJmG7Tlcyy+5bjOGmLTFddZYbPRDPKLQX99PuiJ6fL9oN7Ra9HmbT7YgmtT8pfJ
7EpC1d0bxa1+Tmn7xVAnXw/a1UjKMO7T/f54G7u+ho1ZU3bpnKEhH2tAcp4lb61r/fz8muYp/vjb
nMXxzJV0OIC3fBwoCdLUDUbiPVJVAbdWP9WZ+Rh2PQG1YQ3Os0ifcuJS/sKc/3+7eb8qEMfD0ueg
So/An9jAoylBt5ua/HjmaXUIDrregNdtzWsvMXEbGXLn2cN5waEz1MtbaSty9flFn7i7Hi62Wben
Q5X5rWaLwEYtO2CMsW7f10GJBLy7rA2x+3yY394XHWW9q9voHpjgXOvoW4iIW0qQ6HBUIWPYRUvm
hq9acAEB5U/fFgZySEmfO7DU8I8fYtnL2hNaQo+ASotGmNrYEPPjvX1+Ob/dtXkUury8kTr6yeOq
cB6EHgp12ipWgwdOmgetFWdm/NWO8dRdcxxunKayYefGfXwj1boZawhV/dYrs1t41mQAu81+CAMV
z3X3HzwiJipWJjYkHomcHweTADYSr6R6n6FH1EYUUtZ1L15n6Md/cPNmzBHKGN6G4xMQGJ+oEQWA
nWDg8CES5cWrdA//hlCWn4/02+LFY/plrDRdW8f0cjR16KFSG9gCaMenVDFx8T8qvfXHFdp5EI4P
9EXJVqHz8fG+DV5LShXO+i3ewlXF3ndCpm23MxH8iwnq1Fv3fiT940iao+uSPg/9opbUeXogbBAw
+nthufr8vmnzs/4wJ/26JgsREg1yZL1Hc1IQOJCKEq3fRnC3F0WHDLTDcbmI8IPgYiyvaMJmvm3b
iCZV56Lvo/NEwTVg1aNBYYy62uc/6Lep+ePvORYi2CEeV1LLONKQzRIkWrNsuRsYQ8rL3lPHVe24
e3BwX8XTnPj+mEjQcOm2AXJg1mO93xe2uTpFdvZrMrkmIo8c+J3E5jpMr59f3lfjzP/83cbEc4ax
h9SDzkJe1cljNvxwcGXWzhfb3N/2PzrSMZUCK40sRF/HGxIvTOxU+zWMR5jDZN3i1t9PZXUoFM+3
uuqLfd2Jr+/DcEeva6VYfOXVrMzKAwjfP1zni1n4xFvBAMz2iKV+cdM+3jYROwGVdaPbNmbqsd8h
8V86dbkNUsOvRuOxcJMZH9wlX+yJTz2uf49rqUebHzK+64HiFceF9gGt8prYF2+hJOk4E27/fAqD
64EsBqGWQVDy0aaEJAkLQ/XAKU4FpZoQgSDaxPY/f//+mgmPPniGwfGuW9xQ/bgV7bVo8e2Sc5wd
0O52lfE2l4ToEhvB5+ztskGo27xNAF/CqA70ZF+ZpNrnTjYS0xvnPk7vXTYSlRFKA3tbwabTLEiv
IekjXpqKe0m/FnNUEU3rxqAPHSQqMYIeji6R9C9glYuNaJJpZVM8RzofyUeKu+aqsQDoVoWIV202
FtdznuGSQyxxa+1I+7d14ougjtPXNA3lMg0iZaFEHaq5ApDsQOghgDkjO8Dnuykq7Ed9D99npADV
VYO9dxrtpVNw5SilCTwpra0HNkFzTlChrlVHM9dOK9yVEZnVLqAOvqwynRiLyvRF5NXnvT61ay8O
gYAUAeEzjcAWNUCUXUSCMm4Rkwul4SbEq1BTzw7kI3ms9UKAv4LdPuIGJ+InMIGCeXFTrdQxVUHW
lRzpyLeZihqoWST3FH+/0acA7R4ZxiYrzG9MxIU/Etjte0IE+3Esh1s3z4mYZSOxD/vMAw0m5H1S
IPvftdXQxrStkl3VWaVPW4cuGBvdpQOIaJh4cdtplMvM7R6NbLrtSIFyBti54FXAlMTE8KShE/sD
ALa4ar7JCD7v5y/fyVmJLSHbKN1kuT5aP91edZuES9lmjXKZRuQnmzBYBPyLMM5em9R6+Xw8/cTi
hoiWpRr943wUP1rcptz0Go2i97a3FHuZhW0BB1iSVqV6S8xpN/rUEPvlmoD+gp1i1vfhRAqx6Og+
dea1RYHIr+qEKq3otcvCc/Dhdbsh6kkmnRx1WQDywNKg3pui/vH5T9fmKfPjZ4oDmEl8VtvQNT0u
4iZJHqWaWvCZVl7q4xWjeQq6bNGP2OZ7jz4bKREvJklO9NwBknjZNZ55vKGGk/91bvmvA9xhHftE
/h19I3KEzP0T6m/+8G/1t/cPhFDANdGnzFkhrCB/q7/df7C7RuGIxI2d1ewO/1v9rWPuQjPqseWY
uUYeu42/TeDaP1Dk8M7OiwDvLO/FH6i/513L+5eImctwkLuhmHZYWI7PYu5QjV0hlW5nGoR46nIZ
0reNFfOLbf5vL+s8jmvBG8CtRsDK8Zrier1bBXHAOBMExNTubnQ73I2Fa/hmIzdaWy674CFt7mAv
no16coNnK/5icjleqo9/w/zP3+2swsZpSyppQEwGmqyEaRAr7VkL+kvXQEKKL9ZRHvhvdxaDHnOK
bqJrPq7q4mPymmCS3c4Ys9uJHL6p8XiR/vW2Xf31mN7r6k8OgTCcchKJdMxhHy+oCTsnz9Sk22m1
tQtId0CMeff5EKfeD+ZGzpwaz++3/kHZhT0BdW23szrlWqUJx6p4W9LR/+NhqH9SB6VqhUDxuPIQ
N7IV49R3u9IZN6qGj7rXNnGqfTHM7zeM3TtmC9wTJumc9ny1794AkUQgJBWuJtMhveDlP0Pb8MX+
/fc7xhisKSa9NZWz5rzivBsjCxwc6GA6d/r4InTqbQatUvuLC/n9Vf44yHyh7wYZM+iHHKo7DEf3
YzKS6H4W68O2Hr7Ytv/6/j/OD/NAM1ONw4KBIO3jQDrJypON1mSnRuNNNPUHmLyc+koOerIOtrpW
/ciHyF6K2iGYveL41U9zdmPlXeUk5y6IL3xxzeqnIUp4a031ZkIyg+bUk3A7XuSBcisG+2cxKdSb
inNetZhwN+sBu1eyDnRbLrVqIvgkrgZCKHPi09orTXQesmnokpprs5xNFhWQULsnDOYlDcodMcmA
7015I1TzUJYF2f0V4fpumi6V1EtRsnjYNewr6ncHy2zOkjgIN5+/ziffM8po2lyDpYpytKvwutAr
tTbqdwE++CK7dNyv4ktPvgDU0PhYeCi/4fkMtakRVXTdLh/D3ZyIBuBkDaMItPft59dy6n0m3Rkl
PmsN480Hr3ev2kS0YNVmQbtziruxfQ2EXAfGF9uw48Obw/8xDpBZr44J6rdqazAZ1ahDRti5Ddv2
rhohLJPhn+Scogh8OAi+WQJA5PrzSzuxKpHubTPl/NL/28elO9vmrSX3rt2NcUUUZj6tJ1VuQzDF
eh2dg9R9Cmp5GRv6Ki7dFyvSbvIi+/75jzjxruDcwEyEWZrv7LgLRNyIMyRG3O08w1myM55bWhef
D3HiEb4f4rhv0wNH1tSe20t6/xLhkOEJ0vTbL+ak4707D5FrMAmomd959LgfX5TSzOE3o3LZWdzL
orqX7bSUzp0B/btC9Pn5JZ0aDKG0R07O/E4ePzkvHoj1klG7a/poXRr6oe6AaKDt0n5oX1V+Tt0+
jc0W/XOgSWy5Pl6YpcaWPqZxu9MI6wqy0i/s9saSzhcf2jwpHE21xmxx4Owzn/Dn3eD7D60OmjTo
E+5fH3ybchJuohA0zU8NoUxFflsB0Uadhi/u44l5hJMWtT3WXAiOv9Ca775uwntGaqXsyyy4aGrT
LdJxDne7bozHzx/YqasjkwCPGYaUubDw8eoMU2KIzXhg+ZDe9yL+lucE5DaV8PwCPkVllbvKjcKl
Yidf9RtOPT+Kdr9eTvQ2xxJ+pFxB1MaO2EVZ/A149kWVpQ9aAqXk80s89U5yEy3UUGx1aeN8vMSs
ymrVovCxi0UGAaqPtmSp3ivaWPkYvTe1anw14qkrmw8BZI2jsEer93FES1Lv7BJN7Dx0ZWAxtqAB
91WV/ifzJCFRLm8KfFUODB/HiSInifswb3e9R+JY20GSKYF/3Nml7hPl4sfWa0UNp0OpFNuer6pf
ubR+a4zNk8v7X3A0uSjSCB0RJe2uiCtfrdUDbv5lhHlaTO0qsoxdB4eLXcBlLr+a107dZGxORFlw
Qps38x8vngWrGsYUnm3eGxyeY78oN1ryFcX21IdIXAc+Tx23p31c+RhrJSOjj0c5AsFM1HWT2qum
/T6GX/VBfqvnz7cSEKiGwGWeZX7983ef/DCOegXuWewK4Zx5ItdWVpVulF5HCEodyE3sO2DXO6Ui
gqm0f0x2uA1H4gxK+dVTtU+s+ybz9z+DyJzj99dTCq1D8yx2ZPMtFXChc+5zHDgSqVL35qVCLoy2
zlc1GCNCBAI/MuAxAEuvowZSF+lA7qT9oHMvobaYGycyR38kKFIfnHGB4/8CwDGRv3W98qA+ENAz
3JRa/jQM5VVjhbemS7C7SrBRVXnX3P8rUEBQKXRrLYMhXw0CXqU9jKsidAu/lcaFMkhAky3JaLlU
cz9Rhr2s02dWxUs96NUluYIgZ4PiVQ2zp84yz+JWe3SFd5j0FB6SrHeKsL+ZjXnelQCATEcI3xCp
iuaaBKAkjn8YCoiuAg/GEpwlWRKOC8RXaRHotSQUOMnr51PW6QcAfxoXM22rY0dBYoK8LTuz20WN
DtgZBkhYEtPWeChHG9YqEDJ1vshNc/fn49Ka1VW2sITvHx+OrdDMStI+CEyw+4c6yy8NqGO1PYFK
mq5J7EoWppBfnGVOfGGmxYiktOogFo4nsZyEa8XtIWQoGbARzrQFwLlBQ/QxsbdFq/bnl/h+uKMZ
K1VamdsN00Zhh0BXiYqENkOZPJDnBblVC6sh5M3Lwq9KLScvkw/cmj336m8LbeS6M1mvaXYekVnL
KM+fUk52vkoeFIFif9j9YC4xOetyPmBhmCkKH+dGVLrClXrd7FDehlJeFsm1GTmXUm4/v5knNsmz
K86icIT3xdKPFqC+JV2w7hkHzg2VTONNyZT7z4c4Mc3jZIUQY5rUy3+b5g3VtXM3ZIio0ldUxmtk
CQBrJjLiPh/oxE4INcK8EeI/5kiIj/dsEHJIqtRrSPtQz8tSY26KCA0smzctCJfjpM35hAhb0FKu
Ph/51Cr6fmjnqFnVhkNCSqjJbXRu4XpXZQLCj7xB0F2d84jCxJeEHgLx+3zcE08PbQRdcdjUHCOP
TaFeHg0xrZhmF0xkC5KLhEr4j0egegTNgyAqiuHH33YGCljS0u92BLY6y0ibkpUxfHWqP/Fl8Zpj
FEdAgMPs+BwweGpfAT1qdr3YTaFcT9UPs4OwU37xJp4eh8xQUgNhsR6vikNuU2OhB7eTE/m35Y0N
aiV1bmxAHJ/ftROvPFZGx0AZOjf85nCx9yeOcVJKCsBdvUu0h7DYdx52AeCRnw/yq7R7dK6ZRW/0
VtCjzXPF0Sg59CQ1m+pdXds3fUXudFpBMYk6P6mcV6IuidgC/qk2CcS92fDklj/KeSHNrOSH1Q3J
ktzMbVZAkuyGb6QgfY/b/NuUlGd5H56DB3vK08lXAv0CW8j0xS36FYn27lg2d/opSiCpo3DtIosy
55v4frvUOUGagDHZWV4jKGipzXiYbMVbdInxOjkk/DeR/hQZ2biMIzy7o9ku9IC45iyyILy09Vp4
HkpG8xolVXhjNDNYFiZ0U4WNT7QvOVeDIGXKudVCE1RFtEuznE6rbm66gjBi0yNs0zFuerUecG/A
pKEduAGmckvvYBXqJLQKNx23rp08VvhMyqwkIysf7gVaMjhb2bcqYO8TTHq4Foiz/Sazn/XR+C5D
p94yHfas7zrBk6NL5GRA+uswOw74Dq5pTDjL3ku2SYAgMq0iQWY+CVfS9JZdHHyfcHEs2Ibddib5
YW16BjrzqSu1tTcEz+44HRAk0/5yGsev4ubO7KNsJUW9T5VsMxXmMzamLfr+jLsjzkVbHWZIo6tY
8NBSchjq/rL1Woay4qVhqfcEIVd+OmDrShQ18kcKRgtaY/eV2nwf+mapNJ0DpSIG0cu2Zl2nFl04
giF9O+YpJVk/bDWNfrGe9t+McDjL3eyCXKYdAVFrL3N925rOkzLcBlm29pp049Kw9uteibYedLpD
mSuPc/xA3WmEMHcjHr3hzh7FKrLJ6rLr4skdwQeaMbGpekYPtnfVjdZ4kitpH3qn0lYj4qAtItHx
OkiD76Hsd4VuDhDI5Zui6NhcCuKdbIxTUB2LSxm4qHjrdKcprN+C1m2r2i+NaNctCVyg6ZJLvSEn
283cczuMu21OI5M9+wz75fshkSG5pGgK5i4Rfu3Sl8adtTeJJPeFRvwXhis3aV9CVfHjLl06JKfR
OteWY66cJ1KayzgrXiwvu6RR+8QulhjPsdX9Rs2exFC8GBn5tyTVa4TPk4qt9gtZ2/eOETxPaf+g
ODGbrEA+6FNaLfSye0yNYR9I41CBT7uwlOyqavo1R7lnbRwGepXahT45fqGnKM4GRM9Zt+qdcmlq
ZL1briIuyL/BiheF7iLX9W6h1g5ygmG4lU3PEZSdO7i8NVHEVzYZqpxlxjfMCJt0oBoVtQHVjZJz
Rr0xrfpKKUAAqhakyq4Tb24WGc8kdKQzS8Zt73Fs1hcGEW6+jG1Ug7FVwFCm/S96fC2B8t1W9GRJ
qi+XXI72mWUp311TwTKTPpqFceMprQGJhmqsawYtmMa6X9gosuOqvosb/goHZ72CVxKtQhAhh8ki
2rOspwTTV3FrDcGam3YxobHgDjJ5RHlZrDUHuROeqzetGQCr69DfSX239mqo7MNsAr/SjTMotSl9
oome6ljstFZTF3qvkxSaip+dZsINAbK1tKEKrZPMQww5xnuK0ymoFMeXEl7imGmPYz4ECyQN360K
AcY0a0ySCANZp0ZMDLxAPl/Vc2B28Z2RSRILzGSjxApWLQekHVH2G1UWw30klTMlSAe/quTGHWkL
mIG5riLzZtDV13EOaRNy+qn24hLxxop30ltYg1TXnZdem0302MCK5fzKjzISPI4h2eaNjAYfYYC6
wUDTLFCzXmBd4ldZFg3E6irUMrIgUguqbmPPhGvQ83o1GQsSBW9yXNtcaevMFD3ox7EIF3E/ROBc
IKk0YW9R2IgzPzWaDKXJ9OZN6Zus1PisJNSCv9Sehqa9DCnkroyxhJ3sEBYnyi2UhSshdCCRNC3L
NL3DK4rvtHB59R0lEwuytYB9KM+2ETZLWYrID0ULmlnoA33AxFzZg0csfWBeakp6QO+LM7gUtp8D
J0yQg66NMGnIyS9JhwP8G4yWttRl3+DUUoptpDuL1CuvFS+5SKN+74jmGkTiOgrowoh+BiOmsW8Z
5lUTc87EQf6U1Yq5i3QFqy8wIQCW2Cjr5E6MyesYi70cjW6RefYjlg7OSW5NcF6ujO4yw7DgG6bz
VHfVXto57ZOq2+hqBxzOcc6aKdC3ah+zK5pqyMMV102o90Vi9+ssDULfgCYAAFphxkDKGgmip4eK
rD+ndls/6oDgAFSoEJuw6o2DejbGuUvQYlfDFk8NAoKRwiQlUYULPIxLIe039NiPrW0PK7dhvZCy
J1bUIKglDG/cDvWF4rRvakBwfg+BW6AfWlLkqYFa4mptB2U14bL2uwFQcG5SrEOeo0XVsB6c8KfW
qle6EfCq2QVM3/qGgzA/1c77+d8BNcnxnmjE6gy+pvR18nK1OGwWBRIiPyCRcKHaA3P6cKNlEr4a
Mzw0p6lZ4El8yByTsIXQujIzTWxkEVardqxusIPdwBGLF41j1MQr5mclPTVTWOOS4mqzjETP6aSr
N5PZPxjOTNkNh4caQ2hiZc4i6rInhWzsRdXBkYsNPvixOp+cdEMfBLZFGB4KGm4bXUGhQhHa9N0s
VBZqiXK/DbaZXopFwBvIBEWGZF9e8OeQ6QaV6ckD9gMCo82u08w4xOSBYuDs3gqTjzQppB+qKXvU
MSBComXqT6vX3GrWYx1QW05e1NnjW2YXgz6tnGnaZq081GZ2IUR7lQgCOxKc93WinfUicX3HTJ/r
hLDQFlVwKXDnkz01vjVectOwOgIdwrBcKA25wwSdW63K7BQOBvkBBX/yMI02YZyRDgoiiLejMH1i
3IQfOIG2jmpimYlqvtDViGTKYshxgrr1pcfpfN8anQLryNBWeWwNG5l3B5fSai6qp8AiiBnb3lMf
VDeBN/7A4X4ZJZgBzEG9o4hzbdWdvuC9H1c5YbSLSk9ImKWeuiqtwlhMlXImsaj+HKR7HhZ0RCSB
3uukgKNs9/wLjsxvdBIwNyJGhdlZZwISNHlK5mudjimA9+bQ27XnDyMsvHlPFeRFeSkTnZT9QG0W
huKdIzvLVgMGWw7JzQ+rt9YY66ttB9MN2GALU6qX0EnYGfAVaImfOxZH3EZZUhJMlrXuhfxPyXWm
Ggc5gZsfUwRDZFQy01rRiF0UnbHotFcn63dxot3bOS+M0KNu12bKC2mgMM+V8Gc3jocqTR9EVvZA
pTSb9Sq4URqIs22QwVBjTj3IuL5MCeP0OXaPWxqd97obJIeBdSEA0rJQgpL5okieAbl35+g+ORFM
FT+nVu4j1avPol6Bdw8WeqFmSnAoHAlnpbZvs05eQSc/qxMA3VaS3+a5eqYNYboqSj4NLr5aNkk+
nA9jFECTbq+cknpumM3f7uAW6yAjINMVcE4ctIxs+TFej51x4wTxM2nF3maYAC8nw/jaICdgYreX
Lq40ZH7aRZoX3ydVPaugyW4GVU/nWf1OKwjeT4r8jQf4TW3H5FyRru3zVyD6UqKLKNFcmqBSdpGX
34ZBiby60sQd/OTgYIZ5v0zLGNwNKnq44Fm7sUqHamimGMs2IP2D2QCeikVabd2eZQ4vVzTh8tQQ
8sLyy26SkpU7DscXWUTkkit4dQKj3tDJu68GPWMhYkM4DeFVkc7wawVIXqxcOLF3ji8VZ/9oECJe
bUYEBmOUwCOeieEcfu4MQxwSNbsLW1tdQ3UBvVs2L5Ps45VbeP0qnNrJb/XWuFJNZUYfsok0spta
7a469hRLjc1qVujhMmv0g9KCYpyK7obUJe+A2jH0ByuwzsyIjqIsI9ePg4BwWKaPKdKw4uTQA00o
hwCMnqgCI1XUtDLeGIl3TqRbQcy/fVkY1VXlqVexqrzmRXCdSNtdqlr8c+w5rsWp+CGmcu+g1+eJ
47dLqzlIT93J2kJpaguWJcqGZ6lXyTPVUi7HoDprPUQJNRkQnpM/dcJWDzjdvzUjOy1exVdnNNKN
5xUstTHu4XQk6zpPonijGOU3p6pvIQRUK3eAQYFT3ddiJFHE8DyGRQ7azDW2WQ8htJjqCwjAZyAY
08XgAo6zM/u1clsm5LAJ1oMun9WyPc8MTgiBcW1ARlpgX9bXli6JP9LrcB3XjnnWlHGxG0lhvixE
MKaLFqL7vgLY7PdTPe3Gtj0XIbhCo3N3n5/9P1Yy/jo7z6YYAmuonLCefDw713lB4z1C1sP7slKG
hxTGmxh3nh79UX3wnwPNmhssRfh9jiNkOBEbbKBmaGasXwpc6pEcv/BmnboWfD7kMNCcmf0qH6+l
N+AfWnU5D+FtcjM7N9IU13a3zLX64fPb9rFe9tfVENpHc4aKJMbQo05wA8MrzjobsRzysYHZ2YjK
619D/FexOWOD/6WhmynR/6Q/z3yA//1/2w5mz/OPE9Ce+e/+Fmza/0CkSKAhaSi28UuW+bdgk8x9
0MTk6lMU+ksJ8E/Bpg60R6WWi+JvroMjdvyXYFNX/4GwbZYYIyHQqci7fyLYNH/5bd7X03Bj4eS2
EVoAB9Jonnx8EVWIr4neu8k+tfRnxSOWx2UbmWtQv1K96pdjgd+op1m5SqvgoMKIGqhIxIG+qttR
WwYxrkzNjTZBXB+SwVt6drYuy+7HWFRrd7SeYFDQ5yyLb05W7pWCg56T7zp+0AJWRLENGm3XDMYl
LNTFECbagg7Bqg/jXRb1F0plX0Sxet33E06glh06+ys/bagT4b876G2L/IqtqSz0rSHugonfOJ0j
z0HjJatlklYqlafsxmnzGO5bfGsoKRvZEeV/HTnbKSyWNGrzmUu5q0tj4/Ajusbcc/b16aysqBst
hEx9UANrxYJj7yKmz4vl1BPr1LbBJs/aH6KJOR5O4lnpOnWRZumKA37ot1583gu599LqstaiOzye
j1BjLnu2QB3VRdJOYciZ2nXsTZAHsvRAOtZdZjhbK7+rWJzCWV2jsLdo0tUwKtcF03rh8Bj4etvM
XBUqW72C5Qq55dJOwp1N+p6dstZ2d2rcUMsA/FHE4ozk+2drDCm91VsrBgpMcw6lvrDCRVtaW7bN
u8yDwxvIdRbl16013Y3yWenrZVMWGwdjg11OhCbl61w1lySO753E2E+ufkmm2X7MG3qRowq6Cfmj
vUYVgeFhOOSW8TrmuE3tlLNe9mR32TaS0y5zeB8o7A7s5FCxAnVy8nE1iQLISnNrymodu+beha6r
TP3jmIqHLva+O3l/g6ADrwOc4sDdsNTsRE0BB8YCbvoRCMpIN6ffFCkNRhxOXTmu23HcIFRe8JEx
iHpX59aVmz+oUb4xQPPJNn+TPSuv22900S8V47tWeetf52Bc4qx1cIfvhsaFPyXLRaVoqygcNomR
XzTZD0HSVpzLvdCaC3Wyzzz2Il2eLULTIyWLBCmSlBYcYDEIkljYmyzMxiR49NliCB7MacuMsUlF
hN0MVOsEXS5MiM56y8RbHkzwCPVNxl5SD8Syk9rWzM23VrE38Asu2rxeZKZYjb96ftJ89vqeMoPF
eJx6pB3jVSLYiqfsQ5jwm95axY3CUym+93361gxsSaLhjFp+uXAFhzHAPAiqz2giCQ3AQMIDcgMf
39oVcVFgqyibEVqUG/atrhaVH8TJXS/BwgyUO8c83LuktEplwICikOBLhDVMBWKfiLELsl1NySkc
lWXlKBw/fgoiiJzYWBq1pMHdYDKgJBsZV5p3Z4LHHsz0lrXq3B76TeiKtScPSqLvyyxbUA+DhBft
1SraShJb4REfigLh7fQKn+cmLF7ysr6qO2p0+oKj1SLVbuvK2pndnSWJ4NcfKZI8m4G7jNvQr8OE
2EqpLqwxI4nop+I8m/1LhYuIRhrfzWVJuhpVjxKxVBRhioTlw2EFxYo2PTgUD6TrrWTqpNBrTciU
Dblv1iHXOWn038mqWnMuc8GFGPrGTPFXRcWe9CzfDHgHLJ6484P6MseoMNy2xJcbUQg3XBL9F0tC
4Yr+XFjRtalSO0CueEWidbTovXBX1c690WG6B5TNKVDT75WBDZ1eVdu6DDeNbYEVCPbRBAMwmKt6
uTn1Z6Klws22/lpN3ZshdjfhmNzFpXau64qzMGNXWXakuHoymOg/EL5V9dMtiQbzhYFitEFYlUb6
3IfyMjACGx1u3+912SA6sCiwevVwNXWhumR38Sz5v5vr19QjqBZj7fSR715Yo7FqVHuLkpb6q/T6
BVBgP7QHNGIOn6iYniPgRrk2fcNODjfSRe7bZEykaoaXyW2N2f81d2vHfsE+mhznaWKDPioPhtq9
oQZ7EbF8i2I0EGqahASeDnsCvWA8yA4yE6qAtYqDy0f1Y/3Vk/rv7mdurn2y+/kW/w+vxUlaAX/4
7+0PKd+zZQGFhoU25N9+Fdi5SI5JW5232LiL/+VXYfuDEJP+Px10WopYSj9sf6gJE/3PvsVGbGv/
yfYHiRLbm6PtD/kW5KprZLCiYpr36e/6cZxoWUq6LNvLZrzuci/cGFXKLmTMZ/50ehWZIlqpCQ4/
RUuGJSfofdUlcpFV5EUXRXGRNxHFtElvfKWnS1LTUX4M00xfWc2Yk8VIrBB7nB+5gCIr6WquI8Uh
jU4x4eVgyB2piyw7O4vmryP1BwfGDx38M0wz2ordzluuWldaZ710XokTUNJ+wFr22iQxLt40qzf0
FfZxOte1KvFCFQ5KkQyeC3R+ZKsVgOdT5YctZbMOrenKDoMbqqJ0E2Url2ZctRcYABXON7rBwdI2
l2Vq1jun1n/EXn9tOmm3VTzqh7rHrszTphUkctThCJfWsqLvBuregVFr3PZJtXXFFC+skhOvE5DZ
0zX2q0MqnZvFzHO181ahzwRzNrcYoZZlet4uWpNFwaAhXYo11Z9pkeKBWdvtDAb2WMhmghuR9Kzz
es4EC2yom5yndnDOY4sGR25auyptLuRYH7Sc3gGwHYyI2pLcXf5LsBys8Za8qmiBnWqdyvxnaLPc
uvH0VkPxDkRzaxvZvaEVZ1oJc30MH6lIP6tjWayUKv8eGNN+iNhSGJnVbkxvctCtRRPlRcotUtpX
tAehNgXiPrTMYuV5LK2Qna/G2HSv04Yi/NDhSVIyN1nGZb83pKedWSrVcG0Yy2XT1m/jQCM2mVcK
Uh/KhVIYflKr6TIMzH2EznoxRIlY1jSvRc3GuyXAfKUAjFjEUfs6opdZZexz2YGV/SvxPVhO1ZIG
aV5TfapV7JU1ZHCKGWjfmoLqg5fdRW71PRPeZT6qmh9J84Ly8yW8ogzZRnngpbAP6TDAietdxPLx
tLEUoIaGtB5rIdkb2DHg4chmaq6rJSKpws+blrQh2f7sTeW1KYDNmo2yCB3lwqjTM7Osr1vPrdcE
XbJpp8kRx/dU+x80lHZGoK1Suz9vyuFbK5KrtkoBE5nGVae72cbLPdVvHC7QGKny542p+h3gZRbp
bq/l3d7tTAdiUpWtB8JR01G+jU0WgK5j36cLMt3UtEpwzfwfe2e2HDeyc+sn4g7Ow7msUaIkS7Il
W9YNw1Nznmc+/f/Ru7tdleIuhrtvT0RfdITCRAGJRCITwFqBSRUMEjBLeZQ8r9pbgfSV/P9Fm+tP
0WD8yKZ6PLZwZ/H8Gb0alfTdKaZvY2J87OkoPkwl8GZMKH+D/HNrFfVN3nT7Wpafqlp5iUylPA4D
JFIeFb8b1ODlRrLjXW42H2K7p2ym9/5+GgPzKgcOcJeXXfgwpHXicstLt02afAFIu7yKB8O5KtjJ
e5D8Yg5Qy/kc69FTrEgzjaZ8y5Op/D7vAWFtLSneKim1qKRqtE1QRs1Oou1zYwGNtymqODokknzd
JoDvVW3yOs3lKVnPuTq1dnnTydqzVzBh7tE30I4+xfoK/qeSlytQRWGUl1LYuKkN7oZR+kJjJXbv
ZU7TTHWZenLo5xs+q2V200HUSTPBB9+J3TruRyjIokPGzYwnxl2b6M0uDJme13uLRBOe0z2R+BiS
Qzv5cJR8BofNwXnXxexmqmvHnoQ8rnhxTivSZpOs3bLCj6rZ//BrRn3qDC/AfWhil+faF9cD6M37
DXfCb35bfGBmyLoOAXXb6WmZ7wYuIJFDIXMM4Enw4WHcB0XVbwqj77fcbNkj9ghBONeftnH+GAIs
r89XpDRP7+2u+WwpzU2VMpE0OvEVda/31MtvJ56e95UCkJQcvFfC5kvTZ+UhmO9xOiBCu1LiOXPg
Zsytg7wV8qnuXSCBvp5wXWTkYbrpVbByGbhzgDI3v+vzHfT/P8hw6EM1wOvWpZTkf/Enzf/ur4zE
+M+cPljm/OLBSyK5yl8PMvp/wDbUePYDNo+bP28hfz3IaHAlq3RpMXRA6zitR78yEvU/TADaTIdx
l5w7rPTfyUjmfOM0H2HURWVA14I/hBEKMqfzfCQ1fCdhEj5xeX5my02dT2H53i4YbujWRkTmp51L
subc6CT3adTIhi3WSdzkibZk1YAddmsfTuxPMXn08+x/D5WS81FQRyVVxS6WDI76uQxLa/Tca7LG
lQ3/mhm5fRT9sSJBPVPjrQghhctMtU9KDwLXfLqqsoxjXLK3SRPpW0o4x8Gh8tnrXUXFCkJcxQFZ
tsuuI43aE83pAblPcNMPcU+BmgpBOQ1/QIR8gGF+X5sDaMrg/IYOiBR5nd3SfLLrmuZA9fAaGtgb
U89vqtHq4Xgb7/1y2mm+Tumkzd57ufOxa/1jnBh3dU9KVNfSVVmmD1ZM1T1K9xG50GVDnA+MvLWD
0NVaBJ05jjV2AM7mGopqcLr1H1Fggs/7QQJjb6WXTTl3n//KM9mUPF8C/MKswfnSZp2sUoVkaWtg
JTa1Z971KCyhOB2xN/4Q73BZqj2YZfKm+wyskc2YZDcJhoub6sYAfrrAqCrQFI9Q3q7hr56n9m9/
n/CyKSlgF+u8EXLvHq7Z75sG6DoosK4um31NDJHhdBfNk4aa7rdQnMff6f7ROWiSalgztviIP++j
E2PrQq/tAOEPnJwoE730ub/j6ax7rp6lz6rzOTmu8Xr8nMP9FRn+NJ1Gh6JCmQV8PEGnRAmqMrXQ
aU6jYzj+4oDOpSnVyl06toew769gU6dTpQFpUh2/xJl1vGxVZWlX08/8108QpwxNUAS0tuQnNPMu
nNiOTZMfKrbnBI81k7c07mRNfhXxW3jjzqAsVaNrpzaDlV9yHpHf2MIQyieENpjSm6pxixnuJK7v
85dMBRm9DVfGVhcd6UTj2SIn4XgsJL+WOwQBKrBrpFvSXWx92azznnyzsGA0QNxL76ljC+EYzPm4
UJWycVtGYL1h2EBlMRVHdbj1spV9sWi3E1FCWPZj1detClH11O4cqF2Tehv0zq30/bJKizvjRI4Q
hnzFbw0Nxhk3vEuOa53gQo/7n6t/8nUhiNCf7YWjXKBFelN5kKeYd4lZAKrf/EhUSBhMuiIVQ9uW
yopa84cvrZSwBSHcjdJidjtaXeytnqX07qrqduqUH7ylJVCC+/cJPaUrgWbFmiL6Zt32UspFhkPE
fGCKKoPT4vJyLW1sx3EADtZ4+FE0EQBODWywu6hRu7Dh9saHcnjypOAeAPtt1NcfmX9akTdHRsGQ
p/JEgLdfK0hjlKq7Y35MLYcXCmDKne4ADu6M3HCr6PnKVluwJHKhQGSX8VYhjilMeeYF9BRxLqT9
loYcXgN2l1VbkyD45uTZodU7NSHyNlWuJOu3pnFm1zfsecQJ5AlFVkmHz+NRn9ehCvVC7rZQCkv+
Y0KXwjy6JjnKCnrcW0XOJc1/P4l8WpIrMNAiqSI3uonklVr726DH5y1Gw9CIAqw4DJknMSQkipG7
uRV/mirr3pObG5Dsv01jcW0ma9Noi9qciBPiuDpKOiQaVu4Svjd9neyt8OvlhV84n881EpYm1tTE
SFQ7dyfrMZb0vZ1IGzN8twnLbg/bc0UBw17Dfn97PM0yQYYCIwhwH7FjQQ3VsHAqDZlBtK2GH4b3
VTHGlcN2Iak8kyLOFLVhEGqVLeeurA6UqYy4eaki5VPUDN0ujWs62PogvR+U0AFE1IrdYpA/pD1/
lHoQCXi+eWlpsdSN9E6Kh4dKN5+NJF37kbN5z0PK+Y8UUoKUPlpLcjAFQP5y9dH33pnRdQefpJ9u
eReAj/7BkF+5TV1e9mU//nsFLMGxJFBufR+wXrdKaPqOp4fE62ler6i1vlftp8vC5vPlko6Ci7VD
ynQ2hUgausdNPDyH9ccuq7e1flCa7FgZOYDp/QpV4oqLzXBZp3GgqfSsNAeFjQqdyJNlf3LklaC8
JkHIf5Q+yoquwr0Um87i4WC11TZcm/17m/ngHrYKyAlIHBZH3bkaQ2V1YEiEdDQ3vKs5XZm5TABS
+6NX0LXVVPknfgE00AyqwzCZJS6V1mpJl2eFS6NHTlHCdCNd/+S03U02WOkmL+m5u+wcb5OTWcNf
EoWFqge759kXieQf/f346fLXF/2cLi/jJ3bTm/arZHQShSe1wlVKRsh6wBV/D4Pjz6Ptl4SfWd/J
gZNb0EwVLRK0HFpzqpUVLQkrq7J4DJzIEIIES+DrJAGFW2ic0HF7a5BHrqzDojufyBAiQkjmUtFA
Xrj+IO8Gbp5la7wfszVkG4Hq7L/2oiwxAziDDsSQxLlHBznlPZuOHnfoqVokdnqcpDQ75H5GawP1
88hsips44cyxYhMU2zz8lgXZnQc6dtgryZ420evJoVMzCU360BsotI008DZqOrQ3ji0dQU0Eusm2
eZxOXmIrUZi6yOnet3MwUopKZ5QvHY++lb1U1vQQ0de8qX0purPD/D1QEV1eHxV6D7g4/b4rniou
OHospTEceRi4Mbv3k9Mp+7yT74a8f808eV/Y8W/fAUHHOjG0EDpazW/GTJsNbX0b2ulnvqUxvXNZ
K232CzG4n4oR7mb1lHZlmAXssDF1GH2qFKZqYlLyOVQAm0oBIU4+gsi894Kx3wxa875E1xydG2N8
VXrmPpQJDNQk2GmZcqWUNE/ZJqNRI1N9uTpdU4V6Khl32nr2+FVOeCeoffNRT+R7vVez/cB8I0iB
hzoOmo1HKev6soZLIQRwDYqtZCw2SGPnDpvqKe1Z5bzBi+DGDKjXGtdWmh4LIFZ9c/9PhDEpTOgF
bkocW+ckrsxpzFk0w9la5heLCmdPLc9ZW7elM5n6p0qjnuGABTZrfRK2JkvL/BTWAlcf82+E5w91
Ujz2VfbF6ILXxOwfjGK6aUN/DdZnKdyfyhUuGtwyw8RiKMeVmcJrKOa+tl/LT9ZTEK1st59AS6Jj
mj/r+vPNkHT9XEPNCdsB/pLSLYzxwZGiV0pRXyQbwP2yHK/S0AECt5gxex0jPPZ9TNmSGampa97n
XvFSBdCuyzq9ZKE9bNTm3QRxYpDVR60a9/HkMc4neRvGHfe+ZtG+rd16DKPx3L5nLJdJpfZmZBKS
4W930v07uZP97TTPHWLVyx7zE2Hgkp5CXCmY9GgHcyhdgIZhh6TJDihE7XOt6Lze6sxpA9v1fjCU
d05UX9VaSLk98qmbR4rrOd6HKEvSvULuMsX0aVKW/DB66ec6DWTOMabSRk++GxuTL9NQb8Oad90a
Bu2G2JCJqTXU/Z/8sW+0UZhrBiULWAVxtyk97aLwu5VuUNvaTqFerQ501tsGWCQDP8zjB4JerM54
y9syNG6daryqrCcfNF4Iur6ZciY9jqZ9HanyVu7im8ikEemyyWeLXvqNwlEJ3UEWM91SuhntY1XG
5M64cuAv7hIFjg9QQX5yCJ/7ru0XoaSN7BJldhwZD2qg8POD7ijH6ksaqO99SdZW1FrKAEj5QPmh
UcbRRIqAhFETXS/D0n2Vk4e83efqSnDTFg13IkEw3NAocTR6QelaHhOQOi/8ti0f+iD8FtI6urEh
kNiZcUxHrOowGkgTXOuY0jHqSps5KX8jpdIexO1t4ZVPXjPRvGBuoc8Efvqj33jfQo3pobh2Dm1u
MvesStcRteudmYI/3TOWNMo+7Qwmc2OpJX81giI8BJF/FSb9iiUXg+uJnkLoscw+jqrMJ/QEFNsY
ot1U2QiVIIPAo78Ns7mdsRzuZK25+geeeSJYiAVpM/CME7OE9/t/+WUhm8i0Ng9VCJDcHSNrK96+
6BZUKGGTpkcLHvhzby+kCXwEkM0pVPI83z+b9e6yWRY9+5cA8d2uoAUFRsOkdJnJ2QNldz1oznXm
yCtiVvQQmQtkuW5TWm8hwCrfpeoO8szLaqx9X9g+fgd+emykwBQEn0rnyvJXMp3F74MqMU8EKCqY
gsI66EarV1NVuk6VXsFPCZvpl8saLF1nabT7W8L8C06yjjFUKjMBNd419D+qNv1Rt5Qzw+bOWeMK
WBMkuKs6OkZQRQgKH8vhsb2ml0saVt4CF72KkV3KljNir3iTGfM8NpW64sbUvtJ9souAuy2LlX23
lH1yDv4tRLAYUyAaZ1PN9bj+CMzMxrlxPubBmucuS7EtcGpsjclPIcf1ClWu/KYrXLq3P0zVpzC+
8bg4dWvLsuhhJJt/yRE8mMaoqIarqnCnG8jJP112rjUlBPeFL8BU9ZKPO4fwZj8cy8O/+76wFDHU
wbESMV1egqLBqcFcCcPt39bErNno3HUv/+TFg+jE3sLlzOmqrIaroHAN/91Y/KgezEzejMEx+3FZ
zvJW+LWu89Kc7Ou8qytFUhvutuFOGjfF68ouWPw+9VuuszJoQGKt0ZBocov1vqBHb2e1D5N6E1bH
yyosmv1EhGAqIFyCbJjwnqq3vtel8cQBvpIWLDroiQjBSnGfxzQiDgVBqWdwfCiOTfcUlS/SGh3L
4qM+xXYD1i8L+DPx7uPZaRACbli4SdFBUj5Wn4raZvS6N777KbA5Us8MxuhrT3He53tHg6zbfLps
z5/h702WPKOaUh1WTUvM5B2PB800Z82stN8Exh8qo/nOtWEys/KZofzL0hYd5ESYEFj8RPabhOYY
d+wYcvfzLa9xBwkc18tiFo8VIKfBpALsTRav5yNozE6cjdi1crXoQCesn99xEbgsZdEVf0l5UzjV
Mq4Y9sQj7GBeJQbwG326+3cihIBfq3EytBKKMJDdPwFTcvnziw5ogf4KHaIsg60muHrQ+YktyV7h
Um2xt01FqyjJbuQUT51XHsswvO+rfJ8nXI/xiyr01sAGl/ba6Q+wzyOSqhaWOin8gHGGYWCMRJ6H
9OODw5O5Hmkr5hRGH//7qnkqTkhhlWlKi2TecHHEBE4aN9pT1xi3ujq6baTuBybfYLkvQRkp6OkB
XWPjFVJ05HkfTs/Ify7S4Vbuh6NfRM9Jb7xYXX+n5sBuRxVkPHEEJoR6FUWQwhfc3YPSGWe2nE+F
Ht9UTGlvbG2lfrLk6ScKmUKTUAk2SlKCYOKGHTNB0pBf1VxhpEpl3r0uj5fdZWn3AvbGFKpCjNfF
qqqeRb1Vm1ivnnUpUcpMJEBfp2KlOrwsyFKhp4HchD6oc68IEyeG1EjhCB+YPg2xIJQg46ZW1jp9
FgXxike53gDvUswN68TjOSWmx8pScyBdzJC37oFHSq9aZduZt6oYZ+cHw79EzdHk5OzV+7CJM4C8
uGwO5Y7ZemYaSkBrkVTPIkejePHDcvzYFsnnLGRQL/dX0bp/NpNe+hWzQU5+RSjB5TLyUuoq7afc
t3dDQeu9Fxq7Kqg+DVVFP6PdbnhndblEPtea9r6I5Aen6/eQaXy47E6Le58CPe+nNL+CB3f+WzJm
vWzPo5mhNLdG/KSNdKQzzThCnrSGIbi4zjTszsU5m+ZUIY4WYIKARIraRsIDog70yLuhzT5f1mdN
iHC4AYEA9buGEM2O8VovdBlLO0S9Uq6coksHDzWZv7URMuisYoyjnrWpqGKp9uMUrmz0hY4dYyYV
+luC4KygLfmm9XNpWP0GL5jwBtJ2N9dtcOuoGm076DlAIzI+J4miHxkX8N2+0rp/oCrEDpCtgIfO
7hECNrhaTSTZ9ATCibfRD5cXbMmOJx8X3xt8Wg1qqeDjmh7vyoyZbsAL/50IwfEUydZrJ0MEE9ug
lThrJEFL8f9UBcHnorYFO2f+vl8xslQeNTTQgnFjtGuEIUveDWoBaNtEMNUW27qjUWGYtaBNbKIh
ujqOEmjpwYq1lrX5JWP++0l0Sg1v7AjEtLwCCbjPyvJrYpV/OKoHcOXICO3ltVmURn8/ZRODSrol
5B5+LGdg1KFREMTDzpCbP2TvY2UlzU0ZrMW6xcDLFOPfwgRHlhnIiwAfQtgwvgPP6Suh76mQFfCc
Gf0eGwBsevka1MV8O3kfnax7LKIMgCwQ1Y9aEF3/K9VtIW3IeiCS7ZAIEpvJ+97RjnJKa56a3+sg
Rl0WNSsmnjgniotvFoFvGFAndPiNVYdw3RkfLElhEh+FZ80VSaaCXNx2xRq3weLNBox62WDuAwYq
8XDX+nZMzZz1HdAsp+bpRQDflNkefp8XEjYGnwdgcgJwHiHced9YjbXNw+YmkJLvBiPEa969GFWZ
JXGAZQGKEBKLc/f2QGExyaexeiH3H6TOfAiK+HZM9pFPn53jHMs8mclPdpMGIqaSU5TlObdaCalL
bg8UNpXSmS7GEpv8wK2QecilSzEtjt1762P9EK1cjNYkCKdH7FGChdSSgx2YOyD9QFbb0Hh82a+W
4tGpGoIx9SlSm6lDiJLc9vYuACK3XklDl65HDrjTcLBR4GFeVDho6UtyAOrCVE6huYljvfbKQKIC
Su0mTPJmMxoBI/y6eui0od8BrhbObKcre3XJj89+hWBOfUqTPm7x44IyH+2MCTAXh7GKGT3bkybe
9oy3J2q53/+2gc/ECgb2kjFsgABu3OS6nrbFU2qvvBatmlcI9xNgpe1oYV4wF7hhFsdW2X3skx3D
v1P6/rI2i1YkjwDbWwV5++cM2OnZojKWlIBhX7u5UX829HzcOH17q0REAVs9egB2BXIP8XRVbG2n
eRcojDmbI/gDVlStrOiC684TFn/9lDcdj0Wm+Y7R1O6U1kcem+7yODlKK5twTYiQeUhdZWkFK+ha
jnWvomantFtDXyPT/om+LcT3M2XU86AWdE4a60Vbk1pX5bY0/FeGRfNdYs09ClO2Gar2XS1HziYN
8/3UUZKXqvCPGITcbZvXr6FcmNvW6YsDDYbaQ2R30tHpO2rGiXOwBvVH5BO7E3WAya1LvZ3cTvoG
zAcFPg2ORZNZo3vd9+2Htg2jrewA+OL46ni0J+264hgH3Q9saiWPvis8X1yHBHtgj96Zqj/t1TnC
ynOsBRDpOeqGd3n1UNZA+fXzVu7nTd2yu+UeSNLqZmppTovmfW/Rir+poja7M6Jm7/hxs8+8/jFP
i+wgycWTX2hfsoIRz9Gsvmpp+UfkmFeAXXS7KdAZiNe18tA30NQPenRtVYQUi/nWsGaW21G4/yhK
Yu3qpsv3Sq698/HLamgOgb3CMLG4AUGqApOMjhkOBOEGZpRpzpWVLqBKGh8DqWj2OvoAhB/vy6CW
j04JqoyVxPEm0wI6vczgDs6NlZ256KgnP0JIwzwwu0EZCkn66vDYdvVMbYLRPlze/4tSQH1QaM6k
di6isHeB0XkV56xbFZ/7+Lp+raRo5WBdFgE1JH1Wysx3eb4TOFZlo2gCHhPypxwoSKWotqa+v6zH
Qjo1j4v+LUQ4DCLmizUrwFpt9KGa3nXTQQe9D9QcsA1DWuSSFaUWLulk+3Rk0uyh839CGAn9QFZ7
Q6ldsKaTB7/6bod3tm4Cf7u7rNii9U4ECXEkdYKpH/WpdpVwPxjX2rCZhpXzfCEvOdNFWKCiAMdT
KeTajdvwUHThp1pNn6WoJgcfN5e1mZfhTVQ80UZYJtUMAFaO0GaKb9Ueeq2Hy99fthZwcPPGIb+d
3eTkpmTYaW31wFy41s0A6GStHqqkWFmR5aX/W4Y4jweqRzbZPjKGadw0M58JfOkTTRLdHQH+sj4L
U1c8y1AC+VMhcebOpy1AhsaxdlXpY0VbSI4DqNkm6PeatJJ3rNjOEDyt7/qBCU4VvSQmeA/dozE+
X9ZmDllvVp9hco13C1mlLHy+OqavWlZW2bWbxiCJSLm2l3t9TzcwoLl1DSxHSy8SO/ay1EWfO5Eq
+JymTmFFf3Dt2loI3sLWieIVyy0FH0IoaJymQy1dpPIMGIssxzqv3d7+MGg6A0jNdtK15zqPr/0B
nCzN25awvF/Wa/GYOhUrODuknxKQKIj19227i1+tT/Xj1GyzzwAHOtJHe61xbClO/JJnycLtuPDb
MC5+qrltrpLNfu3VeWljnX5fiKnWWHe5T/LjVh4txsAtba050YyrDh6P/kMBfvllCy55/KlAweO9
dHDAY0TgUDxlabOFtqcz1prhLjsHA9/nTu/wYJ8ofUEAt6VyA4Ht19yUj1kFFE+TJSNDCeVn6iTX
etSGK9F2UT9tpg/liRAyCcGgDe1nlhNmtZvQ/Vm2760+OK6/gC26xYkUwYoZaXDCY1vtmu19DRQL
oFE6yC7W98uLtWjHEzGCHT3Vio0Stgg3TpT3Q+x/hQ/6KS3Nx1GVb7qx/loa82jh6uvE7NVi0NJO
5Arho0h0XfPHpHab/LE2DlATPA2ReaPa/nXc/dzYIBrmKlRToRyuHGeL4f9U+LzCJ+dZEuRd1NSz
bUv1hpGgR3+wX1XAMCkIHrTwUe4AouriZ0YYnX+yOU70Fm6hwySFBqCJtVvW4Ehke69soDPxVlx0
KTifKiik2gWMpZojI6V9jiG2WNFhzTWFHDprTEv25w1uAFsIg80HRx2uu1LdxHTyrWiydLhxTqv6
zNz2FioZvqnK6ahxukoVHFrP2NIYus84rqv6wRqVx1RZcY7F3f1L4E/fOfENPR0NYLvi2uVJbSNB
lROkH+T05fKuW4zJJ0KEEJJqUcXLGN4/Ba9wN27jstt19btpCsFXd3aXhS06gwEilQoaDdgygjPo
UlB4Y+VUbjjBLqL6G1KJFRHLh+aJDMElIkmzo8K2KhdAte9Jm2+8lIo08iTnS2u/Mzpn57XObuyT
Wzgv/tEReiJdOLI9ScohUvOAYbT6Gzgr9onf7Yo+u3KKj5dtuewdf9tSfMrWVOCoON8q13ByrvQj
jxx+sDWncq0tek2Q4CFmGBZTkPi12xnqFXzyR12rrppQP17WZzkUAlek8GoOG514U61kvUvlJJjj
sF8+BE5/XcxBtzIJv2MSvSiVcU8n18HOTWNf92vH+GIoOREvhMOgnN8abalyFS2gLFt9i0vI0ZQW
LDPnT8yqb8P/83/kD/89XE6hgpZCCc8O89Qf04WyeG6XRmzaARD0vB3RCbTpP9ZfBvMl/HTZoksa
nUoRzu1WnrIEmLvG7V6c+/GjvE+dlTVT50+IZ+epCOHMjkZJcoYQEXBk7quDdNO62YsJnPTr9ALy
kLrxIG15COvNawkpVDBdmR8u6/g2aQAqZh5GcphANd9U56rEKdWuVas5A/o82PDKKpX9NHa5G8l6
sYtb46oAFTa216osP0vn56qfSxb8RQtT0x8dpWJYIDt0PCWQ7RWfag8oYh6SBjb9cJUaEbDaXv40
WmEISGFqbpLaDDeTBaalGQYPrexfxU0qbVt1eOdZpktzzRb08aswAmDysqne7mN+MHT2wLPPdMxi
+7Qd+3bPUGLltlr+Q82rbVxD2QQc9/6ynIWNfC5oPgVOzq2xdMC5LYjAttRtnbHcGc3wIyUSD7r+
XS2irZH4myR4rNceot4eL+eCZwucCu5DC2ByvXJLXebpQYP6Ym0wfc2IwqordjtocohuaQlOcgou
YRPulUBb2VjLYkCRtTgogWoVjpGp8sq6kXBr2zSv0jz6zNjRo9y2K9OR/2Op/pYjvsjHdt3DkYMT
R0V27IqRos4P0/8hQegGduTO7iBizIqdYq1BLLyNTfNS/RIsHiolKJ4BlJCu18ovCQ6f4vi5Ph18
by1IrdhSxBJg/iwEcxUd50tSGNH+1n+w6Xq67PWLvkeXPc2kUAu8eQSNGgW6sain7zIffvRF/jJV
v50OYrITCcK2UqqmCMochOegeSlw7uhH1/927eRchLCBMivUk7gdyF5CJd95Q/JNhkKUDGpt+Rfm
6M4lCfvIdCCh7BuUyY38uYdu8FFJPFIYKxtdH9SFtLXdjpiYzMGRIbMrM5bu5TlsGo0GW0vGI4zX
QVfSeJuqb38AfAIgfSpfXV7VRTc9sbl1HlFobPL6oWnY7mb+0Piwi47KlRVEX2tJXRG15KZc5HXV
tlT1LZRCPlSqVDYl+Vxa+9dUxt6pVvqgmam2ImhJp1NBguljEJCbsS84uOJ6LlddRx9pJtiorbwy
+rmmkWA84EdRqatwWO/esTfSdA/s6uX1WRMxJ1onEX+SLFpZh7pyB93cNCG9OaG5gaxnRcxSlnFq
MiEch5lm5V6WVe4YgQXsT8r9YOvP3YucAXzbKN+gXRr2evzlnygH47puOqZJknOuHPQZtRolKfbL
LdnVleneDFXezHQwCC9Lms0k5jJgff4tSQgtU2zS0OYHlatGwVPF5K0PgGE9dtXtFNj9IdNKQOcU
MAUvi11evV9i57+frJ6lWUnEKCmrp/npFS9mX+ogrW5zYGsvC1pYP1CdZqB1Sn6MdwuWzLRmgsTU
yeiZ6Jh4LKTrTBkOlfpN7dXrVo7e54b/w6f3/7LYhTMBscZMRz0TUotpfljR55Tmfu56Pf0KIRPX
cMdKvz8ZQmvaiRT13Iq6BCCokgW5m4Tp1czHBjfk42VFFhbqTIRgP733QkhbEREP++Z+UseNFK0N
hawZS/BBKYBaTFcwllTdjVNzMOVpJalaeBo4t5Tgb3A6SG0lo0ZUa4ChxObRd2C0TO3iucnqVykK
4g0MYzOjYHcTDIrbJsraFPOymjyZ0oYEioKY2Ule5gPfbWVuMo7XUsfVIc++/v5q/aRbNxhIwt2F
3MqOWatQUjKe2eU7b2puiu450FZSxyU9ToUIXge7Ri0lIUK6OCEBHrdZmq+IWPI6E+A8WH0snjdF
U/mVkcECN4uAkCgPo2PfBNdN9vvYcsTWeYsykQQCnPgoNdT5wKzJkLmmtZekjfF0eTUWjls+TxKv
woAlvynAy/pgZIbVZlDDVhtpBJkcpCSJ7rZY/3FZ0s/GcSGMn4kSTnYj9XuqK10GU9GxsI9Ss9ds
EIWuxvw2UY6atqs55vmPRrtsB7FqZ2/Ta+VPjpD/+bixtGynCovHvh4klWE2mVsXt8pVrW4ta39Z
0SXfO5UgnPpm04WGpNWZm05baLGnlc/PP/CSGYXTfmT23cszFJjUjRm8TAXs3ju7vtPMw7/SQyw0
eyqzK5GMIN+ExeuYlc+Xv7+yEmJtuZR5TwuBpHaVK6c81jY0QSsn+IqpxJJyGALs0c4SoPi9ph1v
cna0K1drffkL+cmpY4t1ZRnee7r22UPeH1Zx791n9g5Wx8vGWlNldrqTZETTu6iPfGRMO2hX4wl2
FFfuHxrr969xMwWLqdo2LKFvLoq+AgFXkPaZ2/8Bn7ymbFXveFmTxe1xIkHQJKlys5oKwkBR7OtP
q8nUYkA7+fzsdSeG8pLK0itaQV3nG+xyWbYxd2pxfVmFhZZhgvKJECGUTSkTjlKGDm2/L5R3Mswd
X3Tz6IxHOVzZhYvOdSJqdowTffQopYXaRlQ9uXa/d9z2O6ViZst/fwr5XCchbAEq0kMXiKBJqilS
ebuU5t0ol1aWf+lR58x2QvwCMjEIPAM56rAr9Zs++1JrULFBKP5FVTfhU/JyebEWd84vA6ryuQEH
O21pAMMhohweeANamlQ/aPp418FR21ZrDdBr4oT0pmyoxHkR4upsD79vgV6w2Y7BJl1xjIV9BGGk
zquyOSfvYsM4ROV6bDOizq1oUx3V327K4kZ58nVhlzpxUnulXhD85dcA/Lf8JvSOa8DwC3v1TIiw
V9sJqha5QoW2gJN670OaAk/j1eX1X9hAZ0KEvWoo5hgkAMq4AeOz/j4FeelZjfa+vzdhb7ksa2Ge
5Nxswm5V5TQwUoDAXJ2iSVfvC33fOw+m0W52rdxvrPZ7pRxL+2rV7RYO0zMthd1b0tqv5BVJx50M
u3sJGurusmpr7iZsW6k0OqMb0Kze5I/V6+WPL2yak1+viq09eRlAfZqUmWvcQsvYyA+ptrWlu+b5
spjL/qaKVw/dlCxYuxGjvcBTpD+awwGe98syLrsbKft5uLHpBPUzBzsp3k0+wBv9EKWbur3pfLde
q/kvL7rNLITJnBSsaeey0irJvVAlv8n8fQnqYnjQ1soly+r8EiGowxkAqI2BCIu60Dv9M8/tZr6V
QI5afe1f9rBfooRrvGSHngEMBh42biBC3/WvqbPtnGslfj7kt01I5yEbJz7m9UqauIB1PO/aX5KF
YNeFapWGLZLbV3gyKv3Wsb+WMGk8wu5+HMCeowPlS0LvuTQcL3vLwvzDuWghBBpyaPSDw761mN9O
v8nGrhxo3fgR6s+FdvD0L31xZa1JXfMbISQOdtAxa4a+SbZJZtK5/Vq31JoEIQ4C/5fG9N9zfFif
ws0wwY53WLHc7NzCPehs0YSIV8iFCtETGTHYfdo+f71O3No7tmvOseaVQtxrpUqqmevFVu0+/l4q
K+FiOfL97Xpiictq4Z2XJQzlvIvtfehOzzNLy+8n9aemsoQ4AUFpAm0fQrSrYDte/34zOj4MJu0M
PmDTeyT4MGWfzJKmDF7VXgFxUIuu7Sz7YKaw41a2HxxDtXi8vPiL7nUiUXBgjTk2CjIJuY/8aFYb
3f5y+fuLi07jlw6ysgrWwXkouvytxUPn5FtCcHF8J02KNuS3Jnvpym/sTQ/XbbdikbVfLKxBQWPw
FChO6k6UEks93/lpubusyJoIweilUespiGO8a0TX07jV1qpua98XYkaVA2mpeXzf/5IEx2KNRWHx
JDtZByFeMLyjl34aZVyb9Whn2cnXPjIhpBssumKnnVMFd9kAE+a/M5oQPiDvrlVH9lKmXe27MQmg
yfn6rySInVahKreURfGvuH3fjJsqvr78/UX/ZTwHgAZ4YKGXOk8yQoisEm0sU9gG/esRksaRhvk+
NA70m366LGrpiVCTT2TNLnJy2ZVb2CdMvUrdaJD7vdkX0p0nW/tED27jyiyOZp+pmyLsGX+KGcmW
wuYhqSH60sLpbioAnS6AuFL0KXunAmKJDxkre2Ax8Jz8QGGb1ZWp6WnapW4h/R9pX7ZcN45s+ysd
9XzZl+DMiNP9wGEP1Dxa8gvDsmVO4EwQIL7+LLq77S2asXmqOqpeHJKQBJBIAImVa6XPDrhdemL5
g6JuBOz1MQfIDHXAMzvJwmssCjLaUslgpnPrO7WRJi5HhhmNSt9AbRyQwfMDv96tn/aWlAtGXXSD
VlQYd+fJfkI2tqMbFuYv/m23horwv3u0ZHcspkbmgJmXUcWIZ98YNOBGoL5ABdCz/zxMAE70y5T2
0YlsoozT1KAzAwpljjV0QGnbOaDsHczw/LCtRSxseiBIhoLO7+QLRqPwRg5WGbnQWRsMZOS2+P3X
Mk2oWvtlYhF0Uw0CWxM3yoiZLyYOpCytfXPSvqjJS1wgEQRSVwhysjsIhks/oe5lSuyn871cC5yn
n7CIyy7q9soxtcuIcySCzcdCfqofi0cp8Rqx5SaErLniqbVFmB4sDnWvCdZEhQoq1CZdO7RtvVbw
DDeP6d5h0G9W3OxOyUQXUInnilms67oYlQjYS2XXQgd630xjvos1AjimeuNY+UOp1NclSpl82k0v
iHTvmSb9US8DFMYQzzQHnwmI5SrFY9w1pte6kAzGo999EidT2MZODiLx5KZVmou0gtTvoKDStdLy
r5XQLJA727qvlZgaCAU/06x5sc34hrfJG5P8KxRiVL+ZMudGBVjwyejV57i6tNIDSAfoQ1GMImQu
dIlyDpSeq7bvoxjCJK7A5qoiX9HxQCsy1XMcehjUNiwz8dLWTYgKXSiaTlCgwzhB+PWd0SpHtYr6
RKzyMW3orSjMB9TiH/TJvnQcwES1jF/XDipnc3nVtvbBiZWwgsY7kvyQxJ7SUDHSwGysFhhk0M93
Id4UEghPpVAunsm+S5CcZ9et0yBfx5XArlzLK9sMtHQCRKRuawJNWLCgxUhBvepzMbWTz1ot9pzc
eOlqZnlknA7cMF9tp4XZ2rjRnOkzj4eX8y675USL+KnpRWnEBlZNZgBJqJYgeBnSO4aHuvN21gOA
DaAYdkfyG2gxlVZKCR4yIjjszjDHoKW78xbWdoL5gfE/FhY7YpMoJSSktTKy0/E2tZWdMmpBVbp3
YpPUZ33Qfpmaf36y+ZLGNGsXNFTYdHR/1DzbyX233+jP1ogt45lqoCOKQHAObl/PD9VaZlkHHz+o
RUD+P9O+fuyAIboYbGI91ICy6jq20msQyIUkT8FycVDSCKeBnWJbl62zkStdPbacGl5MEpgvaU8h
c4yRe8yKPcoleZvu9eKmzq66rN8D9n5wZb9HHPGd5K5s7tuWY8EL45NmiUDnzsZuu+o1JyOxmMqy
GvO0w9Nx9Nm8bO9u7GQjY7LqKiftL2ZxKIlTaR0DVAGc4hqNg0HSq+4v7OOno7rYdwqIOymVOszi
TvYuyXDXq3wdDHfnvWZrqBb7DWN1YfJ0RmRX2je3hTCp23hxrvomdzfuaPMHL89Apx1aRCWIOAmV
oFATRDNAUWe+Sm6HK8XeeuHeMLMkHxy1OMHpEZOT8Qr649UVmZQ7KWciwqw+iK3c7eoA4ukIusIA
EJAliRvgZuC+V2gdccDQPLUH04qhc/VgjtozMBiH89O1do4kJ9YWh7shH5Rx1CpouinXvQJ1b3UH
npDuuaY8SOz388a2urYIKKBfbZiSNwD99KErxX7Sv1cQE++0/Xk7q8vppFOL+JH1qTtRVIJGmXmh
lI5nq8ep3Vqzq6nG06FbBIXJYnpV4PwYZcAO6VRcJKRAECrAI4ESv8/9YF9Knh9QjcXA2+NS8F1Y
zOd1FwHN8Ha+x6vbwEmPFwFEKSQgYQwRE5KHgS6/1XnyX47pvEpOdjO1J23itLBA5U57zosoLf6S
BWTeZ9cH7/diOesQnjNR4AEdvvKS05Abl1rxp3lELZRA/jSx5LJ1jL5Ahriro8oAeI5YASdGiKR/
AEzp+QlZX1e/LJGPw9W5cZOjMKyOBrkrIGJXBZb9SdPTIEfRP73MtnSB1peWaxHgOsFouKS4Ve0a
QGLArCNTdiZwLHiK4251awAEbxD29Xzn1k8GgKn+x9oiyGdxT4qx4zUQslcQsXnNtfghY9c1K70q
GS4Y18EIgWKgadwCWc5u9lvMP7G8cJJflrVxxI1icq9zdj2iUD9n9SuJN6hjVpcVpAfApTLzVi/z
BgZTFDNHPI5qAJsGLGimbh151zoEPOfMVGaAIHvp9SlKSjOwESOXfJEGyecou8m2shHzbCzHzILQ
qTGrnFmQdf7oi1B8B92ghZQ7r25B1jOFeaf5U+ybR7JVUrDWm1NTizgEDlSwUs/PpnXxJqsCqoqB
Ub5MluZrf772EiraJ72aP+UkIFmabJk7YuBkuh9wtapEkOBepcRbcOm1QD8TbEP/Cnh9VN4vfC6X
MYrGUU4CPPFO9odBD7gapun+kvVHUz1Y/VWchudX2MoOdmpyiRVzIeuK/cumkTX5oF+7LQrjBnfJ
80bWlvEHK4sgRVM4JStjGr3Y9tGKr/X4ycRgyosCb6ymfsetLQT/yoL6YHFx3BhTDQlR1aURvXX3
W0yXK873ofHF8YIzaKk2yjxPMbksDilPPb2YjsJ9kFuom5Ul9cHU3M8T56s7qjilhn4Udq3uRqP6
Plmy27NUR4rEkjdaKtkxM7aKm9aHDzdjU8XBF7vLR7NQDjRBJJWWUfksoi3NxfXh+9X4IqiTKpNp
Z6PxIaiBJE7ubPnAgJxW641deKsXi/VEUT/hQAKtjMyee0OJDXErzbdhYYlRmnImnK4qysiZcgeg
pOoirtSn86tny8Zi8QD4QLROoyVI1s07IdpQZ8lGFFg1gXQg4rbjzpTOH6d7siaRIzmOJG8PRVcF
goLjFlnUqiNDYAt4a4TT37gf60lnpp1g0l0NFJ2HOGLGO7MO+m2ytdGtd+aXpfnnJ0vGMlA4nE0K
jRTq9/RQ6Ru3wdWQedKTxWA1g10hfYT2ZXLLpDdIf7A3IOpr2WNUbCEzDSQnAZvcwnOlLbo6sTQa
japbHwxmJWEyQMMurdVLDGTYQrnGs+paB+EAlAVEkfq587KJyVxdqb8+Y3mMNccmZdxVaaRxNQmU
5rU2uy8i5nvdSoug7Mj7eVffsrdwdYHbr9so6HZObu300mIuqFOqx1a+I0l+3tTqLDp4/4buz1xe
uYhwPBnzFswwFLSt35rs3nCecvvlvIn13vwysYhzzFJ0WY8wwTU8lmjfKe7xn2rxqRo2To9bfVl4
S2NUaoqjA/ajLpiSu7j1BTLSG535AbJanO7gk3ifAVbAcZ3l6a6NY2NyxoxGg5mwizTF+73LB+nJ
Lhl3DaMP1HIjNaVftIZclHGd7McYz6ZW/lJY0z0pMhT/2lXj107f+HlbXKdWrHqE6lkwDOauBV1y
m+JxqTQAvFPYEb8S+x0kGSEjVzxAKd1AcQELdCGPKKK5JNT5LIr8rhEES6GYUAivjm+qOrwy09x3
IDEKOjm+1o3NvEmW0CxxZBwmUKG4GDLQhHTy26BMFG8JTR5khNxJg39TUoglKzLeW86Y+LFA5jtr
oXqq87IMVVx9QlQ49h5o6V1vypLKd7r6SuIW7hkJxQsrMd/yIZ88kUOqonOrOzryb7XSX6l8HI90
QvkEQm1xoU38imXskKGiPRwNLQnBD/m9UsagtxTXN0fymZr6a4sqR4Py99S0G68U1jdNzSOjLY62
eqGrzeBpFghqzKbQdk1XDoeOKXeOnCzURgy6h+KxK6Xqd2kvDtPU6kHeg6rB1aobPJQScFC6GeQJ
pjqo6rL2jLYbPXTlQjUGdleqrQDYFqfCRPbdJV7ev3HFuK1detnw5sFwEh6ohfkt1/HJKsimhy7L
AqbjO53C7sEmKiYf5JZIUbhuv2/yycFwjhhEmXwmJivwdtGbvjqV4DZtGs0voV8QDN3IA4Vk1DOL
ZriT3QSOrYRr2LydAeKbThL2puMEI+nHSzvTQlc34oPKteJLIZPvNktjP9Xd/IrbIE81qMhDRQUr
dsrz+zZvrTDPMnmAprcWmEnymKVtsVMn0d7ETCehLaSzo3ySfj2UbUgUWkA6QU9BO6q1B1IOzC+U
zAoN6J16LpTkIcnp3GlpYfhDR6cnavRgplB73c9lGoFDRXrEZU85gdpb3mVqgHfxr4ANJT4IVtjz
GOefnKp+67RWXE690/tJTtOdTrm1kyAQDyzmDBcJLoNaPDyWlIFHXezLHP8uyd5StDAf9DtoHx6n
xtwzyw3VOD9QNZ8CavC3Qh2vDEMZfBBZ3MRqmwallachA6+mn5Qm9wpZOEHcOK/KJJ9GrWEen8wq
qGOiH3kN9FySFZE7oVCqNLM2nPRRO0r05a5o6Y3TCxlUjaCejLXPSj9O+w5VGztLAZFy42K4Uajm
U2hUh6qbPuVD+qnSON6ntIkEMfQpQwp/hjhkp3iNNL4JjT0LFzNNurj7OhKzPHZGRkL8frmPdTy1
gaVT7BxaaSGPrac4jp2gVCrIbbhNe1MlWRXKoj22VasEhPIedH3acRokCKjsKbt04V9BX2czJcYI
3vJ+ckLKzNZX4CooO0wr5IGgT0OVxA6sit6C3XhC8bIFcWe8VUIAwJJeo9c3tqI81E2aeXGc+1Zi
3hYkSYJkrB8Scs8hxWTEA0pAUcIgTfVGp3GHTJz9WYwUjpPZ0L2xysR3GjxzTgBr+4VKbZR/5/uR
yhLMmbF946jiWRjNVaFO+kXv5u8y5o9lxx6dXiZ+62IlQ9xYg6crV6pRWz5Elb4bDoCkumXVdy3I
1HaNwMuoYYg6tI1c+DEWgmV7TEQJn5XKnOaiKppXXVSDL0aj9DKu3jWzQEo9S6WMDX2VBnSBG1J8
bfgAJuDcawsE4FmSop7FKcpZpiKFXkUaD8gEzrz67cywn1bDXdm2b7qw0tC0is6ry9b20laDGNJM
J1wV7k0XywcsQAebPPiG2cw87BJO/AQ6P0EfT+9O/A7kf7crZrbiypTv0MhOgoYMb0qPyoZxcrXb
cmibXcolD3pbHFwFLt0OmKUutaqgn2rgQHXFwR7VX9Nuzqg39EvGujpom/hVFWbhT5m8qXB8iiWi
UwV2Pd6Ub6VuPHMFddcTZLdnMkG3Mx5yRCGvBvENiitQ2Ra7421H428y63dTk0QZWIVc1iX3VYxb
hl1wHNKFFtm40AcaWDwo1XkkhvyVgjBGJ8kd3pSFW+QeJNwvUlBT1NJ8sWaSAqGbDJuK4zcZLW5V
0JT7OGoVl10cmw8xNKSvi87JdsJoD0MMvtpZ5bikkoYdhI+nkrwOE5i2copUsFNUd7alPxgu/cp7
TiA2Et+C9+u7AbIlqRW6nxR5fdDT1rzsCQjwhqwBPfcPNdqKUG+EQK1NNXVXOf3XUdJHR+nVsJ9F
q/LCPnCV5Ifa1L61s8YaXjs/TVOV+7k97FCOCMj8rGVk94L7wtRab5rF66XMj+ksZ+9C175r6JWT
yDkIOJ2XWUNzwSb6VIEm1bMzRMrJTA712JWXqJ9SIzMTF1Dq/VRWVgTW6tpDCqjyUzcFQK9QixdI
naISDTfzoNKnTyTX+5feZolXcu0BBfWFZyI92en2tVs4n1hPx1DHK6M+ongxb6wAz/x7s9/lGXtW
UcAtv6WmGnTdQKNaGLWXTAR8ESSsUNQLz2iBY7L22Vzv26j4Q2mmngXoQErKFwLRIUSnym9ndEE9
4wxEVeVfGaAH2YxB6ABGEHhq72Z0QjrjFOxY3Hc/kAszhkEHmGEAqMFNMPl0FnSwaJAD9uAW1rtw
x5dqxkPERXXtAiAB/eobBYAJNyb5rpsxFO6MpsCdIlIb2l0L1c283O26wHYRu0eieBbl99PUZQGw
Ba3HUu3ahUapZ5e9vjchXgTAnQCbDnmhXblneFTGqdwNIRp8qQkrtFolvpr1inW/1fpunyvFd9Fa
1rFEdtZHoEzCzrWLqK6Bqqm67MXBKiytGNi9MnscnIH4lNhNkJLhtsIZwhd203hTDpGfTg6pV2Ud
uxxK8dhqCb+wkuZaVcDgknWcv3YQ4PaoUzx20L47sAEU5CamEgscezXKvKtAZlNxrDUdWnhJS1HG
A3B9PJlqZJlu+gpmvxTPd/ktrl0HiYgBRvfipQRldjAQ0ocdB4cQSfpnPjUihM7FBM4uyLSO7lxh
m2ca3pBYtWvG5K4e5fNoy3qnl6Dc13Qz84xJq++csf+ktUMcdnqDZRynlRdbHcpkqxSbTd/vC1E3
l+6IrVYyae0motg7l8Hb+FC4HjWtGqoH5X3ec7h3ag1HXM8xVbZ7QUDq6JeS5p7bltSr8qEJmXRV
vxcl8LuT9jUpoANdt9IOYiNz96pwYs9ueub1Y0/3E8XeH1PILUz6UASKpeEUayZ3AKAUz7XKcVDq
9DcJ4kgvUcYU2yKEtBKpP7Xa8Gz0zgNAt82+JMpFOeSXRlIe7VZ7dDs3rBoVGBHu4IGjztoDG/mF
oUzcKyU2GKlZj6aEHKLBKg7dEEvdQaKd7LmT3eqZgGX3uiX9w3yCpT25GKHmhcqL8SKvUMwG1AxD
6QfwnuQ7VXpowTbYjGod9wK95/rOzDaeuNbq+T9cdBa5ZaHaTc5rSaOuHT7b7fTIub2DtsKRtDko
uaSPa6MvFDWEKOKBNfXh/E1rNX/hgqrOcnQQhC9xmxOpHYgZwDwQ/iCyKTYuvvNlcHmN0yERBrZE
vDbgQvcxPZLKTFV6A83nkE2rfZtbGEeQO/gcoDDsY2yL93qtPycGl0mENm47kSkwWPPhRj+U22yn
c771TJfcRdqA4lgV6zEskE8T+MAKw4Nik/CLbKewUGW78/Oz6h+nHVrkllW3H4ykgbnJtkFbC4iU
EaNQrCvbZK9OVhpkkF4v5hDXz8EOHAGXYkr/gpecfsQiB02TJCNIBdOoHW8Mxe/b8Hwv13IKp+0v
smj2CEYJ3Ub7PRn9/HNpfXb04w8T//9DSX//z//Bv7/WDfaTJB0W//znVfa1q/v6+/A/85/9/LWP
f/TPx7rE/8tf+fAXaPjfhoMvw5cP/wirIRumO/beTffQ1qbDj9ZBqTj/5v/1h397/9HKI/SC//HH
l29lVgVZj0vt1+GPf//o+O0ffxAVT2xgKT8Z69nIv3/j+kuJP/a/1H/zvlTJ+t+9f+mHuR3r747u
QmoJCrJQhzTg0vz9Xz8x/46idUjJqZpu6Dbmraq7If3HH5r+d/wqMoYQajVUUJL88be+Zj9+ov0d
NRfmLEo7y1LMlBf/GYLbf62jf03L/4Vl0gabD+g/8CxAzBnXj2/8GEBE2Zqznjn2PPrgNocxxpF7
gJqF0EBadKG6zQbf08cX59/tLdJoPAUZF8BnEFgCkN13zSYUVSp9K3MOpO43UmnLnJ2BLDgYVNA9
naCIZEkO0rs9c9ROZVFj5R4IFyevzfRbVwyX0LnfWfGWTMO6PagV2yjdh93FYHJ1LDLdkCyitdco
hfepZ5GhXG1hSJYx+Ee3UMCs4T+LGIu6mP8HtlDBWqKzCIhc6GM9nfjvvz3kHO/osvVFrIi1VqO6
S1hUAmiaEUd4zO5xBQPV2hTSfnpFJbeykY/86BWOsbQ5x6+TLD8SStDFsdAjQ7sj8ZPly/a5tu/P
d2xu5HRjWRpZnARU3ClbacJIZ72nSBGUaoFn5sfzRn7bT5ZWFj6QFjimOwQ+gF3yASgHzavm8RK2
+jp1PTKQdnUL8b4LteyuS4nUGXx42Hgq++2JdvkRi1WWlfkIKXB0dfja2+M+tpR9paC4O469PH2p
uzsX59KOjxvb2Kr/YzJBo6VC4XyOc6fTSDoDWqJFzCKRVfuOkAAMo9COBPpRIcGwCRpcXwc4VJnE
wWH1xyiceM1YMwc03skY1dQCBfB0BD/VnwpX/3HMXyYWPbIboo0KSCijxvkWW32olFcOT8E2saUg
uboCUAWvA4s/M14u3AYkL1U2mQaLGDI/cYGj8jj5nXS8JqnD8y66ZWrhHL3OBaEFTGW4PYJ8zJNF
GvY5qGezLUju6pI76dXieJoBWmEJCVMjciZeEReDZxr23iQiqluigT7ORKbtS+Eqr03H7wWVe1vh
2QF4+cjoUh0XmvL7+d7/tjbAGIIlNQOeIAdiGEtcRoLLq4kcM4809pQMb3m8dwd9Y4iXnrmwsQRi
cJ0ajkFzHvF0mrknnYumK57Pd2S52H7Y+MGEDRV3iNwsPMZitqE3cclBodQfe6Sn0wwHVhrGs0yw
vlVy9ftFA6N2Ym3hNCgJzwqpVzxSoMusaWBMV57VloWjWnhpyi8Va/SaLdYtbemqyz4u/IfTIm+U
ruZRCYEyv+eOCGqCM4Pl1J/K2rzlXXsAaTSDCgLpke5Fbtep2RtYevZJoV3WmrywJMv8bJS3Yq7S
IEO3dybjUS3pA7EBxpXCeSWTizpKG2noxjhYLN+IIctF8LETEAX4GBXNrHDySsdEpdWNan2CTpoJ
6YbzzrDqcD+nx1xyKqRaPjhxTjlWDUUaOilT5JeqjfC+bsSA3iPUjI3feLT7fpSgBW14NKbKq0MJ
kigYub/SkV82Zo84iel2NhbW2LdIsKahPjjHwkw3DoXr0/HLwmLdKA0UiEBjyaOiB9k0aoX+y1Fa
rBQjzgiSvGjfKOOwx9LkW1pGaz3AmR2KY7jzE2s52W1ViWEagcJziXPfsZcWVbPeMGxtSfOHnp6X
Zr89NbO4GfPGqTmZzZgdEq6o89/ryUszWfcMpirN9BkSludnf8vk4h6MO+pA1Fbl0TTdEOeKtajq
Suog/15r39KtIpi14HLav9ndT1wNMpO6miOvFXW92KtsuG15l3k1Hr89UogtOv+1cA18gquBWv0H
nOWjNU6tztAF3MJpq4cCOWpQ1OwtXYYtCK6LPPvXdfzDbfz0FL9hbsloQOy0Mguj55Fqqt3e7BqC
U4XYUx1vpD1wOuX47fzUkfXh/NnBJb2B0PvOKTjoptn3nj+l8dsxBnHZ8IVt9GzdR0DRapgg0YZA
yMeBnMpOBRgcdlpGblttgm4ywjyuf5cZyznKMpvLxta2iPHXYp/ugooTJl08yM1r8sRZ7MTsJM6g
AnEpiMew3Dox/HZvmFeboQK6QqBZp0HQ/aMBCDCWADb0AveGpDuwTkmCuDS+oIgOtYqZl9JHu5Xp
wc0hZJhpRY/aRP15Ywrn5bVc8affsFjxsnZRR9JKEamKeO4MyIzPT8sxra94q0COWvvs2ONRgXZb
NRrQ5OzaY0KRDf7zNAofx2IRBoomtSCYKgTEItO3eMyeerZVcLQ2n6ddXSx+jXPR97h1Rq3ZHfF2
TrxUAVX4+QFdNUIMZPPnHA9qoT/OKe6BA5434DRT+Ryrl9qfpzXAOJ20v9gsE8tSqgSqEKgl8UfD
Y/75z19b0afNL1aa0zuQghjQPJeP40N/BJ2ITv7C4ejUxmK3LCE2bKsD7gMmyoid3XuTbISLrTlY
HCEFG1qnBEt8pObB8ES+nR+ita3Y0HGTgFiGaUFG7uMM9+3QlWYNgea3otl3YCfanW9/9esNpHls
A5lApAM/tm9USdHwPhPRMKK8eLrMki1A/IaFZUK/MNkAHFAKH7X1BDiIIijouEGksBayDQMc1zqS
VSgMXTiSCpRKXoxURKOjf5aZ/U2FpPEwtiGdle1zlt73TrbhvOv9+mVz4ViGw4cJrBnolwGZTEBR
cv6X5uaXhcXcCIOClMuCBcfRrgrg9Ixiaxdf3VRPRm5ZRchGYN8p2PgjtbLnd1eg45RPtVW/Qcry
vdDoI+v6sJoBUdK5B59UgDJ3kMK0zXtsxXin10bdU/nGCXpjaJeEZzVT7FZv0XEO6VNPfD/v8hvO
Yi02oZolSp8KuLzU689tjyNZ0pO7guePNfoM3o+35OW8xfX+gPrdRe4KnKFzHDzZ21tAAVGUZ+Ks
BBAeA3c0TT6dt7CadECq4aeJxQoowCOiQUSQR9QkPp4K950rvYproWq1eP/Fi7JAqsdmgCSowXnb
c9O/beonppcLoQbUKiYaj+qYh8ZA9hNzfaUQgcbwom1uET1uDeZiVdQ/B/Pi/XC+I1uDuORH+TVP
ZfJJBX6pUS9JY++kQXxTSADe9LsO7A/2sCUROjvAmSHUF1Fe1aveGjs4iDXsmHUdB7ZxpyobO+HG
POkLvzd+zVORNWHKh4vOAUIsN+0SOGDnCyHN1oBuzNVS8qDObUeBYhocv2qe9cZ6FpUCWGRhOBeZ
KR4nKULHVsXe1bMjlwT6tcS81iv9foxVn3Vb0W71cyBybJsG8scg3fm4DvUpNbMBmm6RCFhwd955
ttqef36yxqciH82WW5hCbl9Dh+GLhm78dyYWp71eSpCWVDYW2mjFftOmR91AguG8kfVFACwHbj4G
5Fx/kxkedQaU3KxhpusvvVqgJs/uLgi/hELIbiTupd1cV+7Ue2BTfDxve9VDT0wvlvYwVWnvNImI
KvWaz5Zmi3Xqc7U8tJWydeVaqZvA8fanPahFf5wztaDc0Wd/UHNH7CW8cRxSDp4Xd6ejc3mt9V4x
GtLneK0yVaD7Gtt4F2nz9hf6PT/e2po+a4Ms+m23Xdkg+IgonpSnxEoyz6lA+96M5DAqeuIPfb8R
C9a7/svk8vruCKsf4LDg4WXutcl1xUsLC28qpSWDeLCSwGrM9pDiChhrX9M09QtN7sqC/JWd/uQz
FoFv1A0IBBqdiEj6GcouLH06P7JkdVmeGFgEPdNRqnYUFY7/vAsBT75KUY3A50EltnZAbY7mOSry
tyigLBx1J/MSpZo1rjpOezd09V86bqNe00adjg6NyUV/m0EDVeKAW2Gu3ipdEONEfL7Dq/09MbDo
76SmbjyauGG3z/ngFVuCg6vXERdKh6gyQmHH8hWpR2EZKdMBVX7C3Es1C2vwDalb19oVRUcszBMz
iyMFQGoFSsVVDBNjkYuUAOpEEpE1wNGzO62fQhA/hU0HTThAjr1K1FdOPdzbsvlq1lO1B1GU7Te1
+wb6g6/gI7qvR3W6tBPSeHWKQwruCu3GuK/u4CdfvFjCbZwlTpdyEZVXR6j5HIz78/O6Ghp/tb+k
/ysF6iwSgfYFhMdAwDQEzHnaqmKfh/W3Y8iJkYV3ovIjLcEggus+td71AVD3Jn7sgW1RXOtolPSY
V/TTf9evhb/qlmJKO58dyj7UmQ+WFCkPFJU8W3Id8wSc69ti7/81gIn10g2BIM8VLm2amniVBcBj
QgNrK2O5ZXJxJCBt0aKECSj6uTjjskpLL8l8JGWVsdvYtNdWvQmoDiqtZh7TZUVmDtEIKowRYdS5
UXL1a1e4L+fnaTV9CFXBH1wAEMJZsi7ZvWmqzYTONPzdNKpdfGtzQBwvh+6py/C2m+/PG1zzxVN7
i8EbpW4o9QB7OiprvBqO4TrEN8Y+6GrbHxPqu4N4PG9zbcJObS4OWAQlZoKUGEYTBYRuBRKdC0ZC
w/icu8+ZtUHFsbo1nVpb3Ap1h7eGkcD14zZ9GWx92ultqgasHdyAAoeI8iZzPwCsvs+kDY7dAUVa
VgOMABL9fTAmVbsfsq0nuLUAD45DVII5hjk/YX88EqVlzyHfg2GXAN9q3I+Np3RLfGTVW3/ZWGaE
UogPdkRBx4FDrzGnfyFUnnRhie8UeBnPWIIuCCvzH4FfCmVdemILUrTVi0Xkwivi1PRiNnMwEw/U
c+d9cW1DOe3FIl5REJnIZETzlumPAu/HaeO1duk59hb3+6ol1LVi0h3oQC/f+VODMcEyYAmyZ0FB
Lb/l5/OXLiMv1H5/tr/YzHMVzSdjChyB3lVvNrYT3gO4D2j/sbNHsH4w31LnksIypX7XUnUvxvQe
+PuZMAYw//PjurrGT75m6eBc7W2V42uIyO/TXMWHUBQ/oX7DSxlowai8ZG4cGLP585ZXHeanZbK8
bWTZBALfNuMgS899HVK3Xcw38qCrJkB+B04VkJDgBvdx9SqyTTLM8hiNlgbBa9SBVMPhfC9WA8SJ
ifkTTu65rhxJrHTxGCnMOVjxJxxLbM8xwKN53s6qV57YWcRiI8ZrpiOUMRpc8aAO417RpwNr2yOS
Whv186umUNtk41zugpR0ceyJRemiqsUYURnkQIO484a6C8BdddDc8ni+V6ujd2JqETSatqzVVLHH
yDVFQAuQCuNNIna3cKIr9Koa1B5/dWnhCKztyyQb4AhZIXCZIfZ11uCI02ft7QQPx0Omj/PCQ42x
dNPm2p3nz6pxQtEdBp0Zu8YF0Lbez3f+x6Xyt0hw8lUL3zFlg8RCZrKIZxTQK2CwdG5kBw5Ulsa0
49A333HMfaqQm/KMGmwJrU5QnjY4k2dNioBSIWqETBRI7mrQCnk4Ol6M0kZFYHOnGuk1BIfA3SZB
djYoRihH2/FRYxhy1bqmlF+Yc8lT04CWvRV57LGm26uF9c0s2Qu3+4cmz28slAV4TNOvTOUeV2TP
dLPjWE0BKUrmlUSgLBz6mf5MMu5NQy13RNokJFMudyCWwv1VjKgAd6adyKDMDS7n2gNh5BgYGo9D
VYMkbO6oqNxNiI4sqdn4A8TQuv8l7cua67aZKP/QsAokCJB4Je8uydosyfYLy/4cc993/vo59NRE
vBCLKDvJQ6rihH0b6AVodJ9jsC+x4Z0tow2+ismzz95E40cyGRhHMzAM5NMydqJOf8ScvuKUpbJH
2ctG4Jz8thM2YNpW2xeMHgHxs9ve+NWwhPEU1JNQfMNf1zEDtAoGmn7hYOG+fmlUV6/Vk+Li61J+
iYeqHjWCrwuMMo9PhXESIM/Sv2Pm2P1veki5w4v1FqOAkFT8AL6FohSyuhXvany44enZWOYmPn6O
MKSLaag41RX7MK/zB/8TRAekFyqQ7Dei1CJ2V76V8iFHt5s2N6KB3PCls5nnTKWpOWAseMuFp5of
Wtt6js5ZaoO+7CMMhM+yPCMttOrO7beyVSSJtWS+/Poc2RcKhZHthUWDr2PKn+hfCjCM5Xhe6XHP
Csfwjpq9I4LnPzcCkHED5ghw31hDyZjzxgZaOys6sFkZTkqeo1SRxFevWqBaNvi8XgQkrddatdOk
97Sougvm95Lwe6E/AOCcCKdOvpnlI5ogOVOEgTUXWkqU0hLzDQyL6w3WMf45lNq5qvNDADaDKA8d
PJdhPCpX7NyqXSx0lBKURpOxxwtqdyGuyL8ASnt7k1YNY/H5WfzCMPw6E02L2ebLZLoIEG70fdJP
aXkfJkAZUKiy5rjLxZNiaBrygNRt3V3M9jS4dnr6ua2LaqkkI6/HMKt63naokZJDKXqXiG/bEtY1
YBYezgFxD1in69VKSUQTDEzjrJXW9+C6P1HLuKtoqrgJrJ2zOJ/Hkyw0IAk5DdRZaGSpHSJ85ve4
ZbtJNtwJM9/j3ylcaHXJ5tkc9MRwTDFJW+KhcbDL4xRL5iVfEec+1cVUKpLBqjYzJTpQEikVcmcG
0AQ5bQKKpBaaNSYf8puReJc0AECAn6pOw6s7tBAmOWgR95lezsK6YjrmUea04xNr2t1f2MFCiuSU
njH5rckRTkswzIDSfnCyHGAKTXLalrO6PQs5858vvHMwJo8MAevw3uFjOt/G/PbTtoS1TGchPM+D
Z5iOkxtCkhxv4RMIA+aXJPKqT4fxBUAWHYYQtuWs7ctSjnT2KEJjqMEc3V1SgOkeyq8Alt4WsBKZ
8UoAeFwgPAJ5mUuWzO1y9FPApwA0wjtg6mbXT9FBYBwlLhxAloAxflveikJX8qRgU6YW4LgpajMB
a49V5nLxS2OqWuza9eRKipRDG7Qj/b8KUG3lZyPp6pvAAN4BMEKdgb1kWl07Vj/hX8alQ+zujCe3
7M7Wys9GXro5DaaL71l/bpRXv0naShCwVmnczFWpMTn37AWQ/PvttV2JGFcSpDCL0X0NxVvsZeed
oeFgcceyetSGB4Ufr2Q/CDIt0yYCNSS5DJCJrrSNEHXMHKMJzTQ9edW4M7Lq1OtvVpNgWr4+gHdx
W7sVPFLjSqrk1UgvuFyPkEqjaGdr/f1Ay1dtKP/pa3LMKn8fZ+UJWJGnkfWRYzfRifD+yFWvuiuu
f/UzJI+Z7JFVQ4af0YJfnKPVGkIEhAG/IZoxFyPFYq/v6vtiyx4D1BdCc9hNEQzxzurswJmycBdY
HLfWKf+yvcrr/vkuTfKczC6jbpxL1EK7BBzcIaEOYKPovC1l3irpomADUxaDGICWRX6TLFWvg4A0
ESw1ACBZ1ac3ZRIoRghXt+ldhPwA7eWVFVoGFAGs/MnO8/t2pN9Hj+0ieKFTlyqwwFWfWMiTDtVl
oBuxBsCXSwpAC+S5HdBlQB3zXFi71jROWidcIM1sL6NKppS1AfIW6fqI121BqxPIT+9LLGWSkpcx
B0F5YSeJE2vZJ7Rm/cfFlRJ5znRUOA0Uj3W8f6Z4nokaHQDB2Z3hfW71+r9ZiyU5Pq2EjTsepFEP
IGndqQ8bVWxRGOQ8x748MURFEdqgvEOz5egIK3K0DiBvdynmycO7hn7e3rZVH0MkFgKosxiOl6zf
NkfSEhvdpJYPwISp2VvJc/h1W8aq+b/L+N2FszgCNVODypE+d49au4gAG1F/yJ/0XyKZFDa4unIL
QZLd19aIJyQCZYDX190DdW9bj9XoZxoArAEwJo70UjzCPEYS5DFaV9DAduzAClSjG4Db3l7r/kaR
hSQpP6NPPeSWXyDOkuETCmQnG2xE28qsbvxChLTxplFpcQQoHxhy+akCRtkYdEA5UWky/9IP0fVd
jFzpqXTA22g5jDmrMsDaAPApagFSFh4QJo7AynFzQ1OchxXbZEtWkGlA7QbIFI6R5K5L7v3B9dvn
lP55CQsDr/8agy3FO70qI/S2QIoZvg32MRhahxy2t2jVb0zg0oNMAA++8s1u0mCCZR0jbbAazBXl
QQcvVdQezOJzo5qrXHWdhSwps6ehnes1SN4v9Ut6/7ith6H6uOQ4LEu1zgrgl3kBxC1j6C03SKMZ
/s/f4VoJ/Eo7uAfhyiEdRiBUNWee9Te1/YY51eNQlycTSSPxiiNNtNsqSo8FbAbcRBQgSkB8stJm
Z7Puc1/k9Wn7l89O8NF633dA8kMPHBIARsSqlKiQu3hs3ftt8asqcxfPEXd6KZ4qIPCKyP+8LXfd
a97lSs5JwO7XGUAnvEQx6CvYNxvP5GGSnRozvGPTk4gwSbQtUaGpPGSd9ekQdhVsLTc+J0V3YOXZ
BkxWMYnTmOINAhSHNVOUYtbtGwdl9AFSlBmlzI0+6sgEIiOaAvTy6OM5wezHfY7WR51pD7Qaztsq
rseFd3GzlS7SUGv1wBWdF5WG1s5M0l3epSdUuffEV1Egq0TNwXchqim7JBIxNOvCAihHMVBb7fFp
Yu0drQHbuK3Xune96yW5rj+gzDX+dl3YogGbDEilKa7mqq2SPLgufDsJZvMImmjvn+rsVxGVIPMD
iWOgMsU142eGielAA/MgHyp0ZgbeQz47HePnNtD3ZYeCt2fsgSKqTcWua/8c0h9zpO8C5fNJ5xVx
Ruc4i+m4nQ5SwNZTNVCs6oQSDcFEInCBZFMvBQgLCQZhZ04W1yhNvKsFoe8YVvRrnjEHuPCE4Vxt
/IttY6aO4x0GIjFmLsWR3jMKgHpAbOxlrtb8CkR2b4wDSoSD06EAsW2Ia0eKhTQ5hqDFWNerCmGe
FwcKNkfyFCskrPnVUoKU2ocYKLvhOCeSLjkGSbC3+/qAqcm0VbVO6GsBcSnKuHZhnQPvks1WaNXl
zgTII/ftz0nlAX076+4BE/GAzqFzw/UjxYKKPrtpymFnj2gUAEQhn/h3VJqjfZBV5qGO0pPRqYg8
1nwS48+YlgMoE7FlJgp90uK29XGs7rJ+1/p4uN2Xraryu76n70KkDEhCv7XyHCsedOZd4o2mM7Gb
0dS+b5vOWgxb6nJtqNvf+u2vctZefEymntA4bvloCMFIFRF3SD0PVE+eNdPCTFn9gPFIioKbf+Ai
PFWG/WNb+O9S+JZwyUTtmoVVBhbdi5/+SjJgFOa+91Nr6KmcDG03Uv6ihbfxvJAUvwaAQi7pfNOx
fSN0aTZ+tfhEnD7np6BFD3AxhJ7Tl8nRNinQPV+3f+z6SlmGTQB2iIcKefiM+1E0gmxnhm+J0A7h
+I7/Ob9Nbx/S4ovRKPrwV01pIUzyqKL2C9aHWJmkrpz2drQuU644lK+6xEKEdKKoGgBtTgz6VGW2
Z/Q7t18MNE17OHW2o6oevhrTF8Kk8wQfK6uudA/dVeJSTydtuBE1dXSApBvoaBiftvdqrU8cTejv
eyWdKQwSFzSKsXwCz9jeGIZuYqSPXl/e4nHkU9PW93YKcruxNV9GD1S2fktPmAf+GYAOD7esf1L7
1bCn1vFLzXfbXkfRl38BjNc4d4fsegwqOdu/WGld8sFEWMVUZPjFPRAnUeiCcf8Mu4exft4WtBI8
wL1gAUdAgL+L61KMKnob5OI+NqLC863epTsgpR+2RawY1pWI6/j0f8wyRwWPwLAAAv8rGuaX4lti
HwahupavZDhgEZq42cEjP5LBgMEgBz0hMLEnDtBvtMLOT9JJGjm+pzgb/J6BkyLVlSjJfr0kDPHa
B53a9J8O5w8dMLxpE5S70m5ehT6CtDEX91FQH5M6uyUYWfHD9pwyKlzPqG59PQLCL8jpp8R4MHjz
CdO1rmf3+0SPywMxvaewZGCKYMaNFni1g9PeLSsisJABac/0u2MoopukMdGTUZTH7e1aCTVXqkm+
0nWmPeoFVjHK8ao/8vDRGtLnOrfO23JWQsCVHMnCwbKaRri3o8nEPgMtth52U+B8ApWPSf68bw+A
GTimAtHid6/E9XEkDOD1lg8IEg78O3SY7vhnEAG0hqq7ftX+FnIkjeyYRMNQQE7WW4827x9rzXju
guJQ5apjt0rU7HOLS5IdJFOE1kdkSuBtd6N3rE16D14YAEv3RAXzszYEhpId4O2Q5nBYkuchi5BX
eL0c+0uTA6t6Gq1z3FfPBM/a+wZ2kU02sMALmmISrS1Br0w/oTB6FxpmrfC7Vdtc/BDJ7XyWm1HU
4ocwDXTtTghAXBBpbNvl6tIuZEj2bw0en2wCGdUtEF1uvPAYqbAmVoPuQoRkKIBiNqOJDMCvaqIn
GMiDNSgWSiVBto8OWPbBCCXaeLyhj57tK04Lqp2Q8kZTVyxMJggofrj04ef2FqyhDVwZnJQywPJC
Q+B7ARorCwYw55DQaaCIloD7pGI5+oy0fwRNATqQmQfdEF9pV/zPGjAQ2ST1G54Lv/im+Bplqj6y
1Zj178bh1eva7brSHLx0wO+a2ua56qddjBwAFo+fFCwY9mMb54r0vL3Mhoyw1dZan9J5H8WnIjzw
H1zstpd63dqRd8AagK4B+RRbsIQmVgpsLdoUjj7B5sNH29c/F5ZCk3WLRHO/AAQNUACkLe31SOPo
1UVwDB2y11T357UDE0zm3+/LM/la1PoDOOYAbndr36X5J+te3HvpfgBzhtkcFQa6vmrvwqSLSoEZ
9DAUEGakR9CXpGf9Vxftt3dm3dbeZUhH/qxDsBUWZGBX9pZwxCQcr6yPrNG+mEBMqJBc/ptEem3d
kcctkpfYIjRd3LX5TCMBL8K7+BfGijedxXcotSui7apZ4GxO9Nn4uNy3IrIwDMF6iYi+f6gVfWSq
b0thFujdyRQm+Hal75IbW1WoXPXNxU+XYmycYIjWxHXhQlBCMLob06xulV0KKh3kOFtpzC5qAf+M
qKvX/5vA6/MXu75QQ3LMIY/MrJogwZ8sp8Og8WSOGDeoD3V5hxoO5kcP2wIVKskv+iNKO7rRzCol
bh688uhx+/tr+2IzcE4CS1x87OnS2siksQ0ISlu/H6rp2AHa289VL81zqJdvAEsp0sYU1DfKFCxq
F18jD0A5xjSBsHTQwcTO2Hq/Yk7MA+a9GgwkapqqfLXWGAX93nWUNq0uMkxuEEgHs1Huvfn6WfPe
gu/1lzxxs1Nx8rtT9kNz40NH37ZXd/7yht4yEFA/6siPSYrQ59+BS8sxj5gfH7y9Le4nct6WpVJT
zk5xgN5224Kw1ALfnsh0y20TWoIbvH+IAtDbwbPLiiQOcG7xjMi/aQNxTWwBzQALR+lIHWOyFEef
tb7r5eLLwEAibCfaelj81PEegwdegVToAELQcbet/pqjAKQRDTaAWAf11mzoy0N+B9RiJnDIBxJs
fKjpafvzc3z6uJPvn5fCY6UHUxHZ+DxvQfLW5A8ZWAoLDZV1bn5CTUDh9uuG8y5OCpe5KD3QXQG0
NbCrUx3rh3lsdWzQil+DVU8n+SmgrHE6ANgpItysyAdFrRmflBCD2HKOMThhfmb5APMMix2I2S5m
/4aWM0AhKSqxKkHSioI0dUq5hVk0D8xPOtBjutTh4cv2tq1axUIbaR3LtAhTlGzg+ofsZH39bx+X
ohqoFOshMqEBaO0Or9vfXjWAxQ+f/3xhzoGtk6kc8W3yzeqe275wmgF0ll3nBHf5TanadYU4Oc3E
ePclYTevUwXavNryH7QgvqXR+NKaAQ5VKDT07Y6X7XFbzd8lsw1zk/FHad/VbQuSqUuBB+gOsqqa
vMS+dmNVzWOooUvVzs9lQ75pQfeZDd6TGXmxU43ml3wSx7bpbgJCv9umd0/xA7d/nMJ4LOlQibGt
Ec/xIYougBA86EnTHtAo/t9kyMdI2JDQmtkLqAPCpqftr68e9O13M5K7yEwjTQPwsgLdiCfW3gDZ
qpP49BOP/fOINN9l2vfK7/WD2U/HCKu+LV7h4nKDWZ4bY9nODkLANnvr3Q0HkIlui1DtkRRFErRQ
8QCh8iJgAgBdTUPFAWl24o8GaoObAfOaqOhIt5dItDoLfIzmYvAT41CYeonBsAcSCr00nLKzdnRU
gQ5/FEkBhksYJZi2wIi3JLIOaBjGDeYStGjc263lsqx78LSD7/vHqfb3Fij8/nQVryVKlj6B1oWN
DWYHwML2Ymv+szKhfdynawmSncd+qAW5P0sAc+arpnoC+HiMnT+PmjxGYQQeoKVw2UxmgcdLjvmx
FufHfOp6V9igT0Nrr2qyfwViYpY1k/+Aewf3MCmndNogPFBQwqrt+sSGZzMqXsZq/CJ6grnWC4/a
s4YkXY4XHtsuiwzXKnowv/6xYV7/DCn7jNpYhwBgwUAbp6AFSfrvmT6ThGp3Ahw9ptc6jJuKFtj1
ZX5XXVpm34yNUvcgk/rtreGbuxijA1qgYkJZN5Z/xcjvqkbe0NQjEJOnx2y8FfZu29w/xqWrpZOn
jMQ46WnM8P1Uu0UKf5lplzM/AoC4qZC08kp7LUryLMtrxzgFf9dFhNV4AE5+7A6RgX4CjhQHgNXb
QStAkYZZ7Q5Uk3nDP5lR1btpZNdOVxaXeCiem9B47cucXWhbfu/DHAS0FmY4wNjtNlx7216b1eAj
bIJWQFQZPlCMj2WYBRHF2JqO2WsnMzsccev6UxXiomAyL3CnCvB41M8VuWLVtBZypUBODT5Ybd7D
q0wn3vG3X9tqqT4vOe3Y10DIzvB5s2zuk3uTfa88TRFFV81qoYLkkZhYi+2wgAy/u2tvohf+1Kja
e1YuebCnhQzJA+OhJAXpIAOwiDs/uwCb4lIYyatICwtkshkQsdviYI6vgoCAMm5GxzYSPLBF8R7c
Lc9oWVBY+Kqvvv8guZTYGFlh9y1+UBQ6E/2mZS/bG6f6vpQMB1Bj8GleVPoEVuj99scVViGjd0ae
3fggNcVqNrv6JG5Vb+krtfmr7ZKHhiiAV/qIItJwr3Oqlt+DQMo4pmP5KRI1KK1jtN2b8CUjrd3e
O4cD25k9YNlyoR/6mD3rLLmvQ1M13a9a1PnPF7cLkQP7KJgXdXx54j+213TNCwwCjEuCqUbjQ5G8
1O1RJHGLsef6dohvw5toVKFfr8WopQgpqJahV6bd/PObGDzGs31jCGV0Bp1jbMc6FXX2pNdludtW
bOUwTXElftdMOsN4aZP4dY7x6mjmZnjKjDcMnGzLWDPIpQhpY0qQ3FqTBRE+MHq6lDgTfzWmSFGP
W9v+pZT5Vyy2P4sAgS1KSAFhfcXNk+2bh209VDs0G8lCQgFgirFsIMEeAB6A8RKvIU7u3aHn2kmz
6VhC6rZEldlJAZ6aFRX+PG2voZfbbMDiCy7huHcyII1sS/oNRnB9JYAd2DAEHYdzVOElUSwsRDa0
mE1PwBRNItDDefr4GooKZc2oqR2udQyjeGDUpmAHdaLSv8N//7W2+pswHEJ3JMkZDC13bSV2Zqdp
bot77hTS2sEEg8MBozLqYBkx+P2gm4FbRGCDp/yV9ux7oGO8yRjsk6/jaCnIl2rKHwpCCicW9LPf
xzchlnbH0NaqsMxVm1koLSU3QJJbGmiJu0uffQ9BThwrjrPr3rUQIGU2jdHa4yE2sPpfZTnFKbyL
kjuQ3aXsGBxL/+v2JqrEyaVZ3ICLoumhTwC65gJmKRLhtuFr7/Mj+Jbd1it2dhYdRrQ6bYteX0mQ
MaLBYoaikLyvNFkUlRUkZ6lxwsPR3pvCL9siVsMIKE/+vwjJ/QBWoldWD7CLQTR30WwRqYnCL9Oj
dr8taVUZnCUAQ4Lm0A+NfYAYK0glIMmPMIUHG7Q1S9VkoJIhhXtByl4HXPIso/5qRtm5BNT2thqr
0WOhhhTaBSiDm4BDBDcOldu9GG+jIj7N5vshaAjM8TALeHB4ZpciYhuLQQRIi34YtM4U2d97+HSD
uUlE4icjrh5CEpyDtFGgNqyZAs4gQKADpyr/UM9Nq6HOGKC+cJcynEp/awS/1ZRdL2vrt5QiGVw2
aCwS8/r1dv7GyvRHXWBKGgWLH9TQ/koj9CMDW4yBi1Laq16rBk5qZH+indIXyt1AdWtbX7N3CbNB
LrKXnRsxMI7n41Fs76rgW4u3qdKqjts2N6cJ2SLALfWvHvOvWEgpS3QJmfPJOfwHN60wdnoTqQMQ
YYdtOXNk3pIj7U1h5MbgjbM2czaJ8vjMqf8p7/Rd3Dx7JepJQM1U6KZaQSlFFi3DGHSGW6Qw8aJM
mx0QW88VD/bbqqnESEmprS091+bzO9XCHQYTDkWGikz9+t+kSK7LuwZvafNGFXpSu1Nj7ihxMXOv
qjevhYiFQZhSw8z7oqHXbz9aCWgRbZBL9CE5hkHwGsf2S6pl5yitv/6FgsBcMQHjTwBwIClYc49n
AjBrlxijX1o5wQatY9iokOjX4jh9FyNDlDIgaDWihJi0Kc4JtCE9cBO2VVHJkK+LQUtLOxxnIKni
ZmTToYhChT+tGt1CDSkd2ZmdoC4IEeAdQRdAf/NXd2rKOeC9wC/O0G5wHRnSsUqDnmGh7JDetsNw
M6mmMFeLmOhiAqWqbiMnyV2KVWh2Rj5AhFnpR8NMziwxDqKv7mEHwaFN21dzmu6TuNibdfnNM409
Q4OiPX4hbCxVL/Srm7b4MVK8JYlma4Tjx2TWJX/GD9m2iZU3aEqWys47uoi0XtClYMbE96n/MhZj
dAyTUByGOGncGo1xGJJ4nWZsi6EKdlqi5XtrVBzIVmPwQkMpBpMhrwgX846a1oH7/qtXxgcta15w
YthTrHCMld7WemVRGUEjKtFBugemZUlpYjSRSCwcONAMYGF2LmpV84Br1Q0GQFSAmwNKh2Gs/3pd
QXRfGPa8b5pR5iedAJ4xw0sJpndeUcH9nPjspu842hAL+9fgvWE6xiWkeqxE/ZawwnbHPJjOQMlS
vZ6veOjV75I8FKMAgtMUJ2xyrAK24+HXwPMVgWbNg66ESMcQmvpVOc5X9QSNJEZw6qto2PvcPuJ9
4Adw690SoqPiDsBV1BHDqfbM3QTtDazCX+z0Yhsk97GsMBkCC+oaKd6HSVHuqq5W8YqumtNCiGRO
fGQoSTAI8X3uNNDF7FVLunIgwiMNAp7QGWPo4rg2JyNOzIjqwJfLH7MC7dM7S7hj/JipOorXzGMh
Ry5ZRkEzxhbBYbUunjAhCQptBDt9/+ebshQi+QZgSnGWr/Pusjvu/tuXJetOGPdse77cBVbiotEV
oH//UYJk2qxj6HM1sRHe6PLn+PP271/pkAfEI/AyOVDEKGiJJVMCmpHhe7+B5GrQoZTgGr90Gubk
0H8Ilq3iZITNF8OoHv3B+9pryQnwWcWhx61p+3fMMVc6F1/9DCkm5zyqIo/EuPPpF24VblaB6/wO
IPEKOavmtlBXyuaB6FKjAh4XcPOmg1HtMxbdWhFR1E/W/HO5qNJRmBiR7wGmE4er2ttpjeVafz7j
e71tsnsaPLW6KIXbMMfEKmEI7JtdotiWcHREKVnoZzP+sD02rngGM1BXkNvZAFdexZQC2LAG5SDy
984fDRf3JRxC/IcuH26BSLW3Y21XYjZlCCPwHHNFYF3J2gwtc//+BMnTmq7hZtBHuMWUwT5JzMKh
XnUuqumJ++UNSiwFuAPetq1ydR8FoA/BageYMSFZS+9h8gyVABzMHkckbkU73qpGi69LVjJpM/iK
57Xw7Pa70cV7j4pziAqYHhsX0BSdhqb6i2ACwB9mEhw1qS5z8GYV2KitQrRASfmqY3yRxKrm77Ul
W0qQHDlt2YAnKEgwg9at6l+hrrrOrmUmAyJ04MeibVsGj0UnXpIDU7a9GJZbt+cHcxfcpX+OSkjZ
UohkbXFk4OLCaXvRAifv0Sk/4/YBkcl3auNWkZ3W3hGvhEkh3qK1nvm51V6GTru3iwDs8PbR5JGb
tda5yVLulH7+T8nM1ol9/0uaD5+6XvfdTCcHklhHjaiGEtbCJOhSAWKKzGBxuYUD7xVeUWLS/JLx
3vXFk5/Ue3tsD3/uXgspMnSA6Bs/y+yovSR29Z0S/xtNVVfQtdIyW8qQUn/Loji1Zhk6JiuPwWP7
phoHXE2hSxGSrTRtTtKwSECglrISRDsV2HDyPryfWDqgu9Y4ebW5D3HtO6QNyR6HqWp3oiBfkr5Q
uPcKfgG90laypPefUjTlLh21r9FUfglj79QyFu4LrT7XevI1BsS7U5uWdpqSeHRiHpOdP+VuVlL7
EyvRV4Xmvuca43I7i0fnIG56RTCf05OcT5ZLNkeRxSWQZVMXlB7sS7QPeb2v7a/blrVmvwwxDtDZ
ONOgFn79/TqoTHsyQK3F+++l9go0H8dQRO+1QLcUIUVvv2+TqAR/zyVMd6YbKqtpqu9LGb5uaNlx
ARVo1A079PoUx9SK2b5AS9plYto5H6ML5qLNb6LItf2oGdNxzI0XLxTht0Qb9D24sydH5P03IHA9
akWxr/Lqs4VkKVrTZUjeIyWX2jvGbbGnZoDnr3sdUEwCaRzmPLkJ3m+PaYnnmIa2hzbM3ybKjwLx
CcRPYC6IDn7UOXE57grdurM6dDplCE3R4HW7piU/R9x0XTGSyCFN9T9LT27DyieOoGguFrx5NfAO
4oxBe1cMKob7tePkYnPkpiUMnhFghmDxMqbfhn3sWJlwqOHvNb87b5vaaoRZypIiDLMthpzUtRcg
2eJ2HR7naSTMohjHugpuM8MG96h+J8qodmig4p5RKSrFnpE1cS4GKFpre/NX9FNzxvF5W0GFIRpS
TOnsJA+aEIbOHyfzGHZ/kQSWyyeFgiAXcy0GGlj3Y+kGKnTA9UgwHxQIuIk/VF6iMI9hkGOLPgHY
ng0jTDzwPZOKKULa6jKhT5+ahNvgJpGWSZgpypCg+rn49A1UWj35j9+X1ikcmpRnDN+neXsExoIT
opjzFzu9UGFey0VUNm0OvIyqhjFVT71Z7OKgO25LWDXXhYT5zxcSwNlitVYLCeW4b4qTZRxzxYOU
ahukyN8UBY2zAcuUMuONMnSwFf/7bzpIgT8wOelpAH8wRzCxpEKMDsuzW5Zzp/D5aVvYqjqU4AQm
dLxTyhcvDqiYebYRidL+rP2yzL9ZLdvQbYG7lY0miuv9ANJgCKIZq7kADQ3osJcIPenbCqyejtC6
+K8IKUK1ujZxVosGR8kmcFlFMlBUchQS2tg89Hn93OXJuZnPGkltP+taX7mWWdufOlDAbf+UNePj
c7MIo4AL4fLLSsn1HpNvtLlUI71nePKo8PDvoAkMs/i1qjFlbeMWwuT3lUzL8y4A79alSMtXvHvs
jc5UONNq1XMpQ9q9PvCImcdmc2l1lDeHoH0uaE12hQGuMT2jxEk68WOKxfPUCMPRc7xqRkPjlvV0
BrTJcw1Oke0VVv4iabOTyc+6nuIXlRY5D7MwxkBfGgfUiWvddAwjqByGarA7TOITbf0XQuvL3IDh
mNiQAr9q+xethf/lEklROWMpSVtQLl3aPjzR7jDlp7osFE46xxT5NMuBWG2hFUmf/3HtRcHQ25FV
zloHdB/m+rHoh10Rsh3tyLnIRkXG/F173ZI3294iiubo/YlbPsvrfB84MenPmHDulj15nKp+77XZ
T63OHgUpWgfFjW++x38YiXbMvPBcTe0/Yd0HjhkUR/xv1PEa8+vg05e0zu+ZkZ+TPj340xg4ukZm
vqijngGDMhWp64XRLmoV/W9rD0Jofn9fPSnrWJXVVOY4u6URvgDx5FPd5xNa9c3PcXuHlAeKKPaQ
ILm7VpDeFO2fD8ZgcGAhX8pJ1WT0YgzgqWanB04K7QG5dJuUzQkNIZ3CQ1btcSFMSk++0Vb+ODuI
hrVs50UF7s5u0ErVO8SchT7YCOZsiS0EYx+qJFbS5ZUX8QZNNCAgyMv7pmAvGraa2Jj4Zdh8r8tV
lrkS9HD2wX0LBQIgrsj1MhOdDa0ZIZ009/W5V3iZ6uOzxgurryo/ixI+R9QebzmzCQ99+OOPw8WV
AtKli6VUy6151QBE+k8Od2lDwHjyhqheWecPSduzEGTJeBzAINGiusBK9XpyX2AGgTXkTvB41xHD
TQf6FFK6q+tQAb66Yn7cppzqAqdqZEIpY4i2DswA2AwXc4p+EXufB7dpqCkOSGs3IpCrQgj+Buye
TCAV6zwBTj08GlN6l6EUzEWZ4XHUpt5F/8SJDKDDMMNavzHFEaMV21u4duC4ki7ZCaXoIi9i6DiA
EMWOmp/VkGQHTScY0dXac5czV6MdwHxzYbr5MO0M3K/DKlJE6dUdXiyCZEpNUtHQFPB0PbZ+TKI7
j/NCBHZ9sW+LG5J6LppKVFWDFa9f6i53rZRhPFWxDt0rBvrgIH8uEFjs2Haa4KXQwoc2rRVqrnol
x5QX3vTRIyFjnA4x6uOeMeci3wXl2kietrdzjr4fHGXx/Vn+wuuHMQF2jgFbKu7Hwe3HozU8pn9+
SEAz3rsOUgYCjkQ/gqm4uYzlCy2m3dGLq78JXkBw1xkHpjdgZK7V0CyQquElD3H/1EdH+y/6Cyyc
PeYeVuQyjMJdfz7lxKOej8/7/be4AJ0jGBG292HFnK8kSPuQVEmuxZbRXCJxb4XBrRjFqYyevL1F
rKMhxnOiGCZdiyJXEqVdyUTUYNwTOuXJKfCKYY8mbsxtjF53r2F//EIHDHub+BfG9OxznBeFosK3
EiyvfoB0MHhXuWHxRSv5EUNRu2JQnR7XFQXQILCMbGAEyFwkqQWI5d7E0obdUx3RYB9lVQ3ejPRr
mIyniduXyhvIjlpgsAx9/nN7Y1cOr8Aw/Fe6PG2e2TkpREOQ8tBGj2aCwXJGGn8LMwBJ2sCIitlf
jNReSZSSEGjrKs/LIDHqyoeutZ5Izx4GL98LvY52I/RliQpDeG0v0QGAHiukPRC5S8bkj2Hsd8PU
AFolx4QA5NAkem7rVEUHuS5oRlUF7gVYKSRP7CvTbytDh9XuB2a4tX2wiGpiaCXKo5XoXYbki50t
igRUnYiJJfvE0zB2+y5/G/4ve1+2JDeOJfsrbfXOGu7Ltel+4BJbZkZErkrpBZbKTBEgQYAAQXD5
+uuh6p5SqWXSjM3rmFWVlRQLgyCWc/z4cYe4+ZSxDTav28FDr8PP58mP4vS/XPW7IYyGS4v0gKtq
nhzSnnm5M3YfoMr/EPPwdrIBGiq2Fj8kuvwiRedfbAi/GtnvlmO60HqZQkwbG4QiF11FJdjtXfer
0f3RgvDgKQU1zkuh9HtMxLAFxneXBeFH5dKUK9pAFKZLU7mUlj8f0x/e0jeX8v+6bVuYk47TtCBI
hzRcwpzN8nwhb/3vLvLdjPRB50C/N+4HjTH3ang2g6hC8ytzsR+dD9+O2ndzknbEdPOI2bFkUVOY
TqL42+Yzf43XNfeBfcOZ9Xoe46ef35z/g/gAwuoRuszjLMDD+i6h8ofGTLCaNofIvsYg+pSr6k4C
FLOrTA4wXDPsS6ycKydlpgx95ucuqUsYwr/XyVoXE+0r7ri5VpvZuXM7r+BTU4klG/JwgcGHdfxj
ug63Cvq+rR88oR7zi4j8R8Xfv9zAZbF/E+Ck4bro+vJ4rNOrYoyba9ZvsxgCRSMkOOBikm2mpaVF
yP2pgLnzMcAMgXRQlHP8IDu4eHnWtz8f1h9NzBC2frBniEOEFN+FK3YUSE6WEYmc6crRCwr3zZ/Z
L9RNf7SNfXOR708e12EuepgsHh283PVlhFd1O2HEo8vQi2Xpr4kz/KK1+VcX/e7wgb6JcviAO8tW
SLdZhocNOZHUK+DAV4WjPWWr//nng3mZ+t+FsDAjTjJ0R4CzEHx/9iRJ1sxJaAw4YphyganhPrvU
v9hKfnWR73dHGB5DbWHARWS361tv+0sPrMs+8W+3ASQXN4Fuj38zjXIgQuMxI5A7GnB1rY6ehsYp
+NCxXNM6K+ASSgtUijAxcTBUZvTv6kb7RczGY6dUXy0WhMxkEmne0nAqRohptAtnG5qlj5PeoXZz
WmCF2K9yTxr3lHrqyaRtqf3sdqXZNkr6U+2yKbdy8HMeNftmgQzPHIWnUc/YZGRaxTbbmQi1SxvF
1bDGNyTiSWFMK6qOonHk5w/2h6vkzxH5Gth9s3SVG06drTEimScqvbafW7tvNP0ltfcyJ38y8l9P
5m+uM2XeGigf10lpKvMUfy5c0tjCw1bWdaLLk6i7TgUyyjp4kpSaorbL/uf3+qN9FiQoZDCe64MQ
9d2OMIA6HHkw3TmMfwwmxcOLw5uMO8Dzx/5Xh9aPDuFvLvc9NaQFjyxG3yRiYpDbiHwA22W8H86P
P7+pH4be317mu90goRgttADiMsfoeYaG0Ys4++45+ZWv+teC8/ePMIIiGiYxGv7+zQqkgTzlsCgK
NMB9DzBR7WXGLpi67WUORx0MOS+zGo17Uw7+4ynQZCtC55bWbZlhIXTUPyksjJZQ/xq4np+DK+Pc
CLum1c/H5EcPGkEymh18D+v8+4pTqjTLvA4PurbBhg8fib0mVu0H8yu5KaDjP5jX317qu/Cn7kZP
wTgFO8oc6YKP3tOUkjvcnAslt5gV0Bo/jcYkua/VlMMPaut5aVjG83xL/GbKF0vPdbJ87mz3iTkR
VP9vOndhhRLQzxVhsxSkVY9NIK8topNcONaUQd2Aydf7bQ69pbOdE1JNqn9dRoi6B2M7nqDGup89
/7BEMWjjNcybNd0uqbtFYeN2CkyL3wZ19HX1IcbhMH5Lmcj2wZLSj9wne9umz9CIK4D99EWt02Ar
ZDQUnj+QXNYBqai1tpQcC3li4OhTlS4bAxukBRIfhbs068aFcV41G7luWIR9kgSLrprW3dWxfdGd
xLgQcZXSrt/rttkNVFE4gI9vTp1+Es3JYQ8qoa9kjI5QoIgKnWQkb7RYD2iGfDAzf5x93D0cmLbd
ELqQL/HhvST1tfQA4fiT3BriPsG8DbhnNNJ8WcmLZxtSNPH6oF0oS9C0+5BZFm5VEr7HroDADYQO
XZqthRYwcpocsVtnCjGamCiEtcN7r9RSMCtKUPTHctRSbXQQj/dRwkOY/A5kN0/RRxslNm/C9amn
ZKqg5Qtd33r4FNGZ7kIV3tlhJrnL7waoJaPqdQMAgKCbwjmmMD1wOGgrPPL29QK7gzUjN4yyKzrB
TJ7CSbe/WOoGEMjJ4LG7XMx2PRw1CYxpe5eZvCER6KPuKUmPuFfMkjQUe2YCvXEc7zbEvi7AjAni
dqNgWtZ7q8kl50PphxoGIwriqWvfPRP8TQZH1G2Smp1Yb1z/Q1LXRdQE0A+gyTH0072BKwzszsMN
mZkG0BRtEjjHgNmzaZxwzRP4k/RMYrb74w2nbbnCdQXo/lgwdH3nynd3E+yB86yFHRmBlNG41ltt
yWns4RUCrsbtEAQ74r+h82DbXXT2GwjuT/20DS4K/B5WB4Ekf82gze9ApF/12FmBStzNLek3JLbV
BEH/xUFYyQcMdnZcIJpe09rmfjqXmgTw1Y22bV/TXEFGmovhxln9tURH0gSDiqbO575/TDx629oo
zYfUuSbpqvJGBohuOfxOmE2uZGqufCeWeb069/g3rggk7jSk7tw5fo2m6Vq3nELTsXlDscS9UJy7
fCB9NXUZdNxHNudx2DyATwQJn+werYBJDg75sxeyKk3SnZ09TGjoDDsC4h1JON7VXnDutHflT4BS
zDpB8BQsKCSVAv+jKtEkWBMZheB4d4MJZ6sxhsBjbde2clh6pOieTfVlb+lHP2/QHTw25rym4T6J
tbcjyilHAf7PVEdjkYzHnqCElPpz0aBzL+bZVoKNa/Lw0l+zXjptukvPzYDmm0lFeYT2DbdrH8K0
uQ0bjjXzsVFZsu99Vu+jcNmkoKhjC+yHbq4yEqm7ZUg+xM76GPt23a4dfYZoydbVhlWmkWIrotoC
f3D3kqGTfojkp2wZnoRkKZYbmGQsTetjANZCs5onkANKN6NXwqXbOYs+JxfyohtwW0JRnxYoWV1R
1b+QaX02K/RCL4V7N+3gbhyYG0TxhyTsaTGhXj+vsLHJJmgkyEshOkv1fajl85Bk0MOhTeH1okcb
Tg2FhIigGgxS9yZ14TsnwxgRnULZGnzuyBt3RkR3cHNQpe8EZ+Tq53ZcAYEBqe+B2MOiIizqECD+
BDR/AbjeT+FnaTVkAiAD0TLEpRc8UFlfHadQ3jESlB2sd/mwTBs/FFs3hpFnuLxb+FZUfRdAoKvH
5n3Bg3yjdnETvUP6Y5+NAcxrsytCnJ3Pze0MfIUzASwOeZing5wOwCBg0pAd037ekWQOdgMKqKUH
SItTL08zu0lRiCmHAH4xkzMW0BhHlrn0JKdeV/mkD/Am1ymkvfxH83t/NnVhfA4F2I6H2Ftxzo+o
5uB4cunVPGGTju7UjBhhCkqDY9lk2Q1ofli2kJgtswFJht8OD04wPricvru6D66msL9J3BlxhJuc
Rr52eYhugTaiQPvg4ouZKJuNiRn28sZnZSadqJpl8knHOJndyD1Z63TFFA2b0BEH6t1RK+8vFFIA
PcHZFw1SU8ry1HHus7g7eYmPTjPQAXIy+VkecXfJl745d04NFz4nxa6vkg5AZ4g+jzHCUdEMadUF
sK/X8F4s8F269MeeXcOdFqY+rruPIj0U8YJdfmnVXncpAKCsVycythDaJyQtJy98zLjwq5iyGVaj
FmvFX7qtCplXAUru9q4m+hUSvH4++eMTgo83xrWTt90clxkO08v7vdJoS/EU20dAn7QCtzEoeELv
IkeD9cjieUMGu2wX4n/SFwVf+J2vZaP4CeYj9e0cWH/PI6bAl/YEIht2qCUeaAjB2L1dIgHFbZTl
ybI+dnEEfi662h0OZ0eazQESibbbpOk6l4F2khKwzVI01nMf8BVdyeZObBtC+73jxa8uXJV3q5Z0
A12mlzigz40Y0Au98Acq3C/RIKBdkmTXwELcnZdwJ0/jwc17YY8g4TwkLU0OVjY32RiJigaNLBFg
2CuRtGFhqB3yHpcCKcjuUuZ96omJblKRHOW4Pk0xO0PjhVXeCqNVeM0huVtWtjODSg8g9nb34bD2
2MZ8WdUMYC71Wn5RIEjzvp8/msZCqXF+68GRyROTyDw0kdxwtJsVMH/Yd7T7PEGW3qrxDTJkY255
fxeuoSnoED0M6YfGrtfNMsgtmZ1Xboe26BO+dSDwgUMcCQkcbr+Ett1SP9t7Sg4Fd0zl0fY8iqZC
wHWCnkxfQbDvs5M0yJbScbkCjytAIWOoCzvBEye1OihhPFBvoFDX5DNtVRE0QuYd6ZODK9N9NLP3
JVp0vlI2FYg/TzxYEVNoB6ZdAIErPJKpCgy41rW3nPoFLcqgN3wg69AXHMqfMOkONTjh7Nl1lV+i
UIqH3fBl77uJyVmQya1AyeEQNjI7tkoH25SY69nyWxItdbWOnKE3ARFqQ/q+aAMN9XN/uYk9if1V
sH2wZq8QsNmmlwZIV3av05I2h5ok14LCP0qz13XuOhBUIM6juH6ksIG51Tb0N6qhcPpZVYUngjZS
OZ07uLZWobuIwhOtyN2J5CZe7od2vdCHZeF7LB+gXYrkUOatJz7xQd41vo+gddnCPnspBFY4jKA5
LeHH8oyOtltHUQvzieaoLURs0lRWF4X1HIK3YzkTb8/ge4W1MTYFsW1fshTxadSOsmBLJo/TxNMS
+ZvdUBZNm2ACV4OG0K3NzFWWNjFEf1D2HYbu1q8ziOdxJyqUziTEBZ34uLqovQ5eoErPpXkdkkt4
QVH/qKEgNLo9rBp7OA16XXTFbZKgPF/Twg27vuRQetm1MXnOmuRtgbcZDgb+Dl5Ci6hem6t59c99
5oy5MyzvDuvafEXfa/E1SfuP1/n/1e/y/EfmOPzjP/HnV9kvmtXUfPfHf9ywVy0H+cX85+Vj//W2
v37oHw+ywz/fv+Uvn8AX//PC5Yt5+csfKgFm73I7vuvl7n0Yufn67fiJl3f+d1/82/vXb3lY+ve/
//by1uF8ZIPB9DK//fOl/dvffwPYmKF3AbjWf3x7kX++4/jS4cM59A7/dqajfP3xJ99fBnP5puT3
0I8zQFTw3YzBv/7tb9P7H6/EvwPBAD0XdTZohga4mpDaUHzI/92HbA54EWAH+lGYAjgc5Pj1Je93
yKmAZgk5hjC+mOb99q9f+Jcn9eeT+5sYu7Nkwgx//w1d339JexNIAANGgZw4KvUgdf6bc5no2lim
NZKetCGVztor1zpPTSqqtV5Pqu3PTIal8qITE/22DwUacNSuhf6k9cZyIfGjuyzFECS0wJtKkcJm
0s2u51nc8YUd3MhcrQEyPGzft1MT3/QW3APs1bRHBBmk8V5ZORYkMc+s9u4H7R1Y731SLju2ZvjY
eeOdJOSl1XHF5TrnYTLcGHhF4JGCGkY+yGh+4ouPECjbKDXslUqPk8JKY7QG+TwQcL0R11DK3dXu
cAO7owrVzaOPyHPi9t7P1nejILSDALHQ42WZKD+nDd31aGP2nOV8iRfWKWhhldMe3SS+E67/vrre
e59AizNIxCfN7WczpXvmzCdfIszMWLSpW79EL12V9AlOG38sIHu2zaDsg7LY0Vt9CkOD4YwGQ9Tf
46JT3OR8Tm6aEGgZqkoVSGifuUNhuNC9OtgqxoBfRfGEHrypygys2FreHHoaPfZhdD2NKVwamxEC
4IP6nA0IW0JplgqAhSp5GIBUJ9c3YwhsHMNZNfvYXfz4igVItZWdxj2j65F40r8Kp+A4EjAzKfDU
sZ3cbTshZRRiqq+c5c1DgtpOOCUD8NGq0Qr2EC7JtG2tZwo2SmzHHpVVv/L7JVni2xpCraVFZlX4
WqBza+2Ss0DQkcfz5bAY1VQmASNlMmRogaXmoWciuuEr3tHE3dnAgj6vXX5WKAxUrsqyErMIImpL
VqjZXUrqrjtqklIQeKxE47yZEIflkU72YJd+sizdw1mhZF4Cc/lo15nu7IIIqiM852CJHkwNvKIf
N3BCuJ5W96W2/KEBDUk1WZczzKK858FnRLz4rcEsSjGLx3EEWgAgI0K72+OKflo0o+bOkwQn2vWE
LBCj6VyGmSmTyflQL9Ip08AUHrBnsGyAYmA9aqBBooYu77xxPQrQhfKPMK0LcjfBcaXSdMdJdoV5
ynOmpk0m1RnZ8rZxMNKwMUxcsO6VOtCGPEpCK4Kqbh+ORc1BSrDJ3VyvZ53AFCSW7E3OEqgUTXnp
RiWlassNosh5cp/DaC4BYiOqg8EGfHCMTI+aD3tYV675xT06jxhB1AQXbpyMt4m73HhehsyEDUEO
bbonCPTnenbvpxiNPSih313oRSnpeb7acTtgM2jGBjScyLB89sMaWZaei05CbKK7aMcGGd8BKsbB
ClidN3oHkA0mpErvybA4+dCj5bBjmiALk8uZJupjw2lX9BOoxHJ2URjTHqQxXeS5hGR3sB8+8NmR
RZssV+3auncKdWlAIbPo+t3MFPwwsxQn83LQuittzK56TAD0pgb50JoP/gA1uQQ9vCtB2BeDklon
V0OG36YWf9+GKZrVyMn35Cl05yO0NTaeO47ohRzrvGnnCjojN5J6iEQCBbk9fWBQ6cum9H6yunJG
UclJnGWalVDUOfl02DcQ9yJgyuRdO+5pHUGcWoq3xhAkIdDQy/r6qXXZ3qrmDW4IV4R6m5hQGERb
lLcXBjtWBoIGuubEaxPCULy5vjiV5XBq2s2DvJ1i1+brqOA+RL2PVKgu97M6g5MrUIphDvecr5+1
kB/apTv3tP/SjObjSvSxlcOj08QY9zQ7eya6RWdcpVzvwLXada48ADUoVbveWd+86oDfaDJc1YE4
Ncrd+x0QjGy4sQrc/WmFCm2T7iRvboGBILJRPYOmggO9YDU9tY5XUDEueR3HNTCk+a6BFXo+zeaB
GMCS4SxuVVp/qYPllSbJcWzgn7p66VPUYGR92uQZSvtzCt1EpdaPftK9Y4bT3PeyckH190UbbElW
CrtxfQxGa4EfAKLmhykddTEIWm+4An2ToTeyrOcZ2YKgn9xgcbbuiAylB5UA4Wy9lgGx91pQJ9c6
/Eh7AJF8UhZBZ7dxjQiAATlXMurIvVDxtd/4IaYpHmGa3XCzHl3K3Aoqxke4dxmgZsi7Vd/gsrgf
qgK0NOK7oHFxsolvKyeOP0E9Hk3kgHxoJJ5XT942DLaAZInPbKJw/RTgAjQvwezlY1smjocKVL3c
LXQCHLvijmqFNAZiKgeAgEgvpbytVQZ3EBWU9ST288y/hFN6jVJ2mo8DPiA0fai5u4fkAhDf9o5p
f0+lv2tMdFXHrMs1i4rMN7uEZW0+xsnzJORDKszGttAnQ6yeS5dBQpkhQu/SF9urg5kdgF1ofNya
CC16LJCPhjuvJpZHYxcvN9YHg8kP7wEUAVxtTF0JgH9nKEgjm+YCtQfNPsexdEAeFHvZ+PsaX1K0
+OWNUc9zrGAF3fgHb0AkrEDmRBPByvuraGghmOn5ZyzjLQV7WyIWaNF2F+yHZMcaAeW2h7X3CuOY
rcP7N38MTmuM/hk9apC8VZ0zijZnEbwDsQo36QrJdKT3AsHzWhJADMYfdqJp3rQzHH0XHno2l9Am
z6MvjVK7bJySUsZio9f5gi0gUAiAIES+PTZWFKnopxxBy3W8dG8It6ssCA/zCCQxgsuyRr2BDckm
xTXgly6xW9ppl5gBTVzqLlT+65KobbiMF0nRCKeHbiq/XQ2oWc2wrSNzjyaMG1sPe9g539hk2bVk
fE2b9RP00GgB5vq9E8EBXk6uhs1fe+O6SEgGUuNzgCKWhGDrEUDKg2a/RsMHuOZCVRFAuu/yCvQo
BydDE3YnRupoQ1wwe7yUvS6g4uQKe08Re2s5WruZ5+ShsXI/h2Olh6hyPIwH2L459XFa10IfIOKA
A4vAQZRet0D92gUEg9CePejpLV6ji0AGdUkaYIZUgIGA+8P6d+Ntz+q1GJYuLuLInYo54ig2BlRX
g0MGIL3OtFlWAMAo7G4Cm7zUk+VFOOtN5JC2ytADc1pnD+6aQn42NmVA3n3sTuvq9Pd8tHsb9g6G
BvBS43TXULuaNiyN2u1QD+icaWIgY4OyWwGd8EIDV9mYDtg8DcRNTzRyNdnIiqarOE0ay5Mv83ST
zI3CjhOpjYK350kp8h4iYOximuxatztAQeKEcvErC+HrJ1zlFtxA8DUbSzkil1WsmGoOntGUvMGW
60ry/gHul2SLrmOVO90CGlljUbFz62YTcWAcsk7JRkJSDcB6C3S8J1GFFHQuIE2EdcY9qD72SFtx
334N6Xm7IriDaNMHg4y0QpiI7n7r6U3DfVtQm4wPVAPVgJEA2EdGNYcpVu8BApyKmp7vEDQm6GNE
NCWyet2li32rjf6CzeE0deQ2NTHf+CM7K7e/7y1QQ2bTXWbVwentTTw7APf756bTqGTQ9BmmGi9D
r96AhH2YfL7RSJcRsnmIaSPMe6Pn23pklXTbtuyvu4uUObRSKYk3LRKu0idk2UuOzkTaG7NZ3E6U
kZpuFVk+ZAQh1BhJvYXckFMi8/eqjJOXkMq9naErMMAvvdfhdoztfiL1jilb8YTts9X7MKMpJB+b
AMicX3GT7ZZQ6z/K+P+XTGfIYX+STL+8/u2IhPoHqTQ+969UOkbum6EFEPJlgQ/F1D9T6ej3i7MX
fFjCIIby55+ptO/97seodGdugMMDugZ/ptK++zt4Wh7+NkUSjH7G7H+SSodfKUJ/ltWh2YuS2dfc
HGogUeJ/Lbt/w4zgc52qeKy7g2tIafyzRwC+wNwX0PFGw2k3q1FXBkQJEzZUf95rHlynZN6PbvCY
4igqafTFH5bdGIZnwvjO402ZBcGV8jt0v4d3pJYFsvXN0uqCTethdRADe+O1RFcSKAo5akGQTAOe
ymA+2H4ODc4zWBrQQCN31nth3S7nyh75HB8ElYXrjY/GeQ0zXcg2KH2hS8e2aIVkN7Vve2SNKLek
WJJgVcJUGj1YEQFw3jgu0Gc0smvv5Cn9MHbTdUsA87r6sxsDl48Qhpd1U1/b1QKjlv1QzTEBHple
jrhpFwxS7YAkvFiSdEXW4U0sgyYCpMM+qABp7NyF90EKW4JGffIT8HiI6r+gtCuh4w4JXnhqD5SB
ogjaCYpVFAXCNEJxbCgSJ7xK7ILonmBM/AG7RzSjPKnbx1o1GKVueJMrQDfSlbyOOXo7+zoHidrk
JEDG7mZV7fh7k2RvsVTbLIpBGown2H+sBoms/wDZgU0DRHqw2dGdeDVEwa0bDdDCwrNo0s5UBidM
1Gj8un5wUJJHRBaK5kVo22+1yfYAL84oJjPEJ16GNkOkuqlzFQP2G5Dbe2rdukucILhfU5STNABc
OEDzJrdh9hhmQRFOwyN61HbUZkW9pAi9UGKSPWvyVNTPitVDYUf+IkxaEoHOS7kMp3kgb+nob2Ar
tFmEcyMdDo+LZ2RhT77blBY3UMIe6QSP9O0Af/TKp8GHVDd9PnY+FCb7XDAiEKHhd1CC1DOTMSpr
yXzJS894yIcBA8W6C2aK2LsFyisyacr0MrN4vQWFdUucGLhBHdykRO9mn9+0XVfA0XFH57WgI7bw
eEqq2E82A0pw3hLvHQemOR4rWo0ov02cfRpefFBGdKnNOkZlwVwzv95nsX81kyyCELpA4qTvdKSq
hsG3MPHR/yjkBvInVYyTrwFRTKNsbSA2Yds9F14xpRfmF8qb8Hj0ZDlBjgK4UC5mOD+qYtF2E8bQ
/hZxEdrsJBO3CEaz0cYtR8Ue0oU9TNQ51Yg/mnGtGuABKHxgZ7hGyalyEnsjOm+nl/TBnVQRN04p
naQIKCAPJd/Rtg032vZ5wFrzrN0Gsy7aEFiEgWvPALQmBsATm/QixJ+ng1f2g9mOo8KNgAiRgdNq
w7zTt2SlHKWg4co6GarG8z4J2ydf08c5a5FhZls/dSCDleQuZDUgFZs7DX5Exk40kYjgVCmH58l7
tealTgj8KL0671aySwYfk7NHCRIBD4/buz7ZX1orYOrz3EK1YIHZC7qlv8ggK1YxpzlsaXOJPB4B
AFxgbjSdQbnDZALjQ2N+Tv2JIq6K5xZzX7+BEFvBpAGb4n03AgF899eVQYdco+LE7kyYfmqRWctw
dbekt6dB+rTUqFXI2Zlzir40ErGgdHT6aSIz9PRrex2L9GOLrFgopcsLXXWZUWn7mKDnFUWtsxvU
OzfhKCzNRSveEv2WwtQy44hZSFaqbICvxoiSFIuegdiWCx4PQZODA70a+FR0SC85Q1bL2OM8mi3K
+PvVc7+YzBaC9NeJCJ4i6d2196h5Ich8hMB/FXvOA1jwhdfB6ADVchUBF3C2MDz9LBKVg/ULhAvx
WBySoid8v4aW5Y6LBg87b3SHKBSYZ6LQIwZYJfTDrbRONQZI7ojkD0TINR/HBliFm+2QkJW16a51
Gp/n0LkQPaDq7WA32gMgvBIjCC+oyCG8A9mHTlcKZf7Rtm8oknxmSX2wS1zVRhZY13gqqypQVyvU
gJUxmDy1CKHTOfwYEh6DoHIawHSH2sdxcOJt0IVvHUdZjwwlWt3OQbblBNvsnGDbedMgiCiurh1k
CKNTHybTXVKZexdev1yLIsD2kHtutJ3nKcsHzz0EJKhRlEY1HpZmqJqfYD9YEeR0HLVK215Pi/Mi
JgfXSjcm5dcrqoK2X5JKZgfVrXdwMK8cvPX/qhyXKgfK1b8KzLbsRdT/Fpl9/eC/IrPkdwBlcQxr
qNSN44sM2r+KHNHv8KnzsghCJMEf4dc/ixyIzOBUkSUZKiDp19jsv4oceMnzL91pMV51M8gc/w9q
HFH8VxbhJTBDmcW7aN+gGRgeSQgBv2W1N51yl3pV4uDB6+AQ9igY9yujpbvQeBdArhR2IK6b1469
Xx0gfvOCfAOiWOnVNJO+cLJUbUUcgDriP/TGVpeqnoOdvHHUqwDFIZee4Rs1JU+z472G2nkDQ+gT
6WLs0cm6bJ0+fdd9NBdLLZ5j6nzWaTtUfuLdjjP8fgOKxKUdm9IbkqbyfBSmZ305U1CVtm2AsmkQ
FCYF7QrE22ukqRNA7sieKchVdeCi8hL3t1rGptQ6bgvRZfupWeKtMxFdNoZ9lAkipX7VIGfRuEFF
cXoZs/kudkZ+6CjEtUYUBWwLtKM72Fme5hAQiB0vsYRETw8EHXbc8ovXiHkxwQLtpxlHkvIswN+5
2YBHAboSmT8AjmZF06EA6iNlO4i5PUPvjN9atwZAyhMoLa1OAvbV2m1Tr5/3gzNG5dSmcQ6zlHTj
tCGO6cSInPDaLbplYeXY8CcJ5onOugF8GvdZxSkrxmXyq4n3thwB/J7gZfBlCs2T0Omdnw6IMVXi
QYIbrtGz+WBb8d4Zb8wR8YYHkLC7QkTDvbc2D6pfX+ZFQirJsyf2/6m7su20kSb8KryAfKTWfjPn
jCQwYEy8YOdPbnQUTLQvaEV6+v9rQLYBOZOJdOHhIheGVLdK1bV+XdXkiq5IjjMu0TxVdMp1piY7
vVHJF2Sk3Snrkmga29Dwqv8Vj3qH7GoJdLOgRwqHmVqifY/iBYHrVwDBj352E7dgFwLjAGOebheN
xN3XWS1r6JebIANif1cSdOP0shrjTO37mlWASeL5OWF9+Bky/5TVsaqrhYzbBxHSfGr23dl61SwT
hWYcygzsJq3nOkjfUBD8HIPUvRlH/J94zEfIeAFMNJKkGHWezjFw0zYKUYAK5ogwd1TAxSS1vt5J
4jwFKA9oDODf0F6r1ImspugdA8cQrcxdI2VCydjy1Xc7Z5RpxcsNwGHInKKoeOPHYaO7PiCqAnkR
CnRKre3kJXdTVF0iQJHsWn42WW6GxmTP6DNnamKJCpAZegAglY6+q+VsLPkC2kR5O+UWoMFijEaN
W1zU8QVN9dy71GMZLSJQNaIN78Njf7rEYcdpmhAj8vFESCOhajrzXG4CJMR1VSHXLpjzHNlwnvAL
Nt5dC4QdI5nwTRXR4Y5zohsbXreB7JeEe/vwGXeAT+koZO50XCDXzcJTNQIkBTJKkTIlkbsQ3ULW
lJRNjQK3iuAzFrdqGq/ZDAMrZUZCq5haZHRTifAcIVKlAYduYlyCHKa5REWtRlmqAabJA66hRFOb
rR+OcdXqht9JKgyjbAHL4o1FX0V6sWQA3qlklCsA9623JDZM1K7RHi0F7KD2Fz48FJ11eCs0OXEe
16qpK0IsYRyvE19jdlesOwizdLOCjAqwu4JdNbqZoirhSNVCCsI1CRhBb+Ad6rLCPJEtUkXIleW6
6vvPihs9NwxEIBGIqG3FPNVMByGaLJY3RexnBgad3gE/bOt8kmZGU243cBY3gltj3mkTFFPBk1YA
LiioWyHfviPAeLpi8wXDKL9wZnCP22S1xgjBNAZ+Dt8wC9zNeLJl8WdKqkrbCgmYFze57rO+5dnN
DD7fGnjMpVpEC1OFRtjh4m1sI+GPQjuh6JoJ3Mm5GuWG7YeFltUs0uvSmAvMW79RvjRoUYUWmUDo
ukHo6mng3QLpCyyMzax2PlzunVM9JV5wV2MGi8FLrgrFE39VSPWjYKA73FSQ0awtHPtA3EVJMJdS
RF9AUqIloVCOOSaZoeFyrod2/RKR+isjAGdYCgJ6BTeMhVArX5RuaIUVBkOIVYEIP0EZjqv4n1HE
VXoc+T9Iai7tEhcm4vgFHYD0xo1Ri0vNYBIl5D5n/XoZkjjQfAz1NnIxlNEuQHT0LJMSHbN32HGj
5itJlh+B4+Ju0VGIAeI5tGKU+7UaTTf0dBfO4ESyUS6gQu/d1KqaoWluIc8jL8XEdyVesibqZDLv
66KACMKMMHoB8dvXLZzYsAAmz00Rz0qOCcQQJtMxGAw/4TN+pqK0CEjmtBRFrLBLJoBri0ZuotSN
AasBuqeZD6ocNQbrqddy6WMYVlY98MD3cDHr6RWXfeG4YmYzyvctQSc0FoPwigIcRwMrlNBz/s4G
sA6FXfLkhICrugpFxBSWKTczs4gXwLwJqECqc0dAe8DtduM0CJwa5BoNtjGXmGX/jeRVpmUpd6sQ
k9bcWRUY33KR1WJx49buzHdFpD4Ff1XvSndCuKIcC7x7D6DlHeB/hiD75dgMvjm7jcCXwPI+iHGy
2pb+OrMjzBDbSrZho6g28TweyXQRyUBAGtRH4iHyLmr5Ia7gtYpNRFE/DLLVQA+h8QJ61/BqPZaC
Whgrib/2y/gHj7SRWfLkuizCVOdyOOcuV8YGgilTC9J6LhPEIkopLJJUjozY5PJr5GLJd7eJlqYN
QLKN6qiRBQhyPQTLHo2agcDjtIAlX0XE1jnDpBjRCTQrbtPBRinxhHPr25hG6miH+Ig2ud7ECX3A
Mhg0irdpoL9l3Ab5U+QaStzGnSYM583R8GeTAECA+wTqo4tO3vNYzZhJs1NqwBadGrgmRFGljLDE
J8FzWTfp/1jkNQBuhUfgLCqElRFNfvgM72osxtNqpGDZBZptubpEsyZmXiG1QNMqSaRcA1SGbBLK
7GyDRJgdKtnMaeyNavIWg1N93/jCtSwT5L2b8ClBG9MbZseHqCZsV7UAzDPDYpJiShNGjZqgoWRA
kNcPah/FDIc1FJp++s8ECu+QUxd4qANi64iW2uOBVvGf/aj1xSns6pLQCcBqHRdRTuFathtH7yMI
IiJEOEkH7yntwV2/ohBYtLvjC+BXHA9cFc9jDAZ7+IBgEEd2+zWrXGHGpIS7Q4eV3vHmctOXeLI/
+83J1v8BXSYhDPkdDpyReeMAIVdIdqOHHNBN+w8InnBAuOJwC1qWaHM5rPTpOKCcR54fyMCHHODw
jjFfTgEWrpsD4pXMY1Q6uPA5OSCcIwz/LQcQKaP1AuY58kcO4FWfyQAuTANcyPH7U/JZzwJQkb3O
AqdeEeQfCO4IdmsD4QpDrCRYqU8qCfRSaS8OoJqFkqWMflrs4SycS4J4hSZYGB5AK2CfURvQtE1f
DqDdG+bDIM90+JydBekKYHWBxXCe9uvPyAcRZc2+fBBxZwBDCZCio59zy4gyKhrPSCxN0/0uB37D
eLx6GLrjBi9738LdZO/w2v/4g9azuCRwNKwUm01dh5MfUiz3gfTmFdv914nN2Ju+d1+2pnC/zvG/
Hx/wcumTtdqnav84dTepla6dev9FfdzmASBO69mjlYNr2u89Hwb3ywScQ4hi++dOMPqrCPxqCcPd
RCMN/7SkKIPeVoBWfXvqC7j7b60wtYrRRf63XQEI9f4rPB9x9Ccw+tcVFHR+6P0M8QivdXRLF9Jx
haCl+J5ZGIjb/vnPX8fCcrGSVbSUThcY4H3rVgSJirvpw5fozSlrBNlt6ZxuH2qpL3nD8kdL+Ogt
pdMFYAH7LrC/k4HkotOSOlkBAI/eK9zjONsXUJVXcZUGEFfNGj24FvNcYKHVB8IkDiCt9G0sLL/l
yQmrxEGECXd4u6kPwqX16KZbtXLUhPYVpRVVrReaT0YSGPWq/uS/UcVtnbAHRU5cOqIhQd+971Uq
gD8nB+1IHl5WX/Krosbu9yehJUaF57jAAMxZpdaIPkMH9QHknppkaFH6fqfFpmONAdTEyrFgbKax
dUmeevq934ADS7O06Xtoib29AZpaGWQBqk1bUu/ID3G4rPpChx7ERxxANTzGERRbx84HOFqP8XoE
8ew6WuIA7tbBvKzSDsUgDnByj9bL7lI8Q5iUI/1TF+L4Ygc4VQfy3WIpDXCscJtzBMV8KTm08VDf
I0WJn/luB85IAxyofazxAWMGkPql7WxGf3cxZgCZh8c5OvfZjpwZQOSpGeze+gCGamEhtOg6TDS5
21dgFtTThC5rKb2p4CEc2QXleqeLQIHNffd+AxUM6G9L6G3r8gDCfkNN94VrdhAZ2uO29+Y/Nt7y
AIdpSh37TjVDL4f33Tx8DmQEugy3PMBpmsLvuHPokToPpI/sH0Du6RoGrgt3eK/yAEZkCuevkz+0
HNGb+9ZHgqkMIDmQeTg2Hb4BneHed+tUGcBAWUlL6u3QKgNIzp78snPzAyhigyYuPpRKWgDryx4d
ql7r9PvoOKX+1Ee3p6H+4TypA6hLqg3wYs/ykEf6A6jLPf1fNcJ4zcr+WQpyT/8DhaAOIPgarMkq
3bQv8U3s6ciYvi9W+/XFpr6sAfWFuynafb7b+wAiT/febWYP2N+em//7IyOOCYztA32Ui+3K1r9W
uC9z+G19v+u/nRYo6C/WwcZK//o/AAAA//8=</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_xlchart.v1.12</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_xlchart.v1.11</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_xlchart.v1.18</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_xlchart.v1.17</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_xlchart.v1.15</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_xlchart.v1.14</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_xlchart.v1.23</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_xlchart.v1.21</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_xlchart.v1.20</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3" fmlaRange="$A$4:$A$8"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CU$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U$3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BO$13"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fmlaLink="$BN$13"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fmlaLink="HDSD!$A$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Radio" checked="Checked" firstButton="1" fmlaLink="HDSD!$A$2"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Radio" checked="Checked" firstButton="1" fmlaLink="HDSD!$A$2"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Radio" checked="Checked" firstButton="1" fmlaLink="HDSD!$A$2"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Radio" checked="Checked" firstButton="1" fmlaLink="HDSD!$A$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HDSD!$A$2"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Radio" checked="Checked" firstButton="1" fmlaLink="HDSD!$A$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checked="Checked" firstButton="1" fmlaLink="HDSD!$A$2"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Radio" checked="Checked" firstButton="1" fmlaLink="HDSD!$A$2"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Radio" checked="Checked" firstButton="1" fmlaLink="HDSD!$A$2"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Radio" checked="Checked" firstButton="1" fmlaLink="HDSD!$A$2"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Radio" checked="Checked" firstButton="1" fmlaLink="HDSD!$A$2"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Radio" checked="Checked" firstButton="1" fmlaLink="HDSD!$A$2"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checked="Checked" firstButton="1" fmlaLink="HDSD!$A$2"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Radio" checked="Checked" firstButton="1" fmlaLink="HDSD!$A$2"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Radio" checked="Checked" firstButton="1" fmlaLink="HDSD!$A$2"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Radio" checked="Checked" firstButton="1" fmlaLink="HDSD!$A$2"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Radio" checked="Checked" firstButton="1" fmlaLink="HDSD!$A$2"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Radio" checked="Checked" firstButton="1" fmlaLink="HDSD!$A$2"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Radio" checked="Checked" firstButton="1" fmlaLink="HDSD!$A$2"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Radio" checked="Checked" firstButton="1" fmlaLink="HDSD!$A$2"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Radio" checked="Checked" firstButton="1" fmlaLink="HDSD!$A$2"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checked="Checked" firstButton="1" fmlaLink="HDSD!$A$2"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GBox"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Radio" checked="Checked" firstButton="1" fmlaLink="HDSD!$A$2"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Radio" checked="Checked" firstButton="1" fmlaLink="HDSD!$A$2"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Radio" checked="Checked" firstButton="1" fmlaLink="HDSD!$A$2"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Radio" checked="Checked" firstButton="1" fmlaLink="HDSD!$A$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Radio" checked="Checked" firstButton="1" fmlaLink="HDSD!$A$2"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GBox"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Radio" checked="Checked" firstButton="1" fmlaLink="HDSD!$A$2" lockText="1" noThreeD="1"/>
</file>

<file path=xl/ctrlProps/ctrlProp473.xml><?xml version="1.0" encoding="utf-8"?>
<formControlPr xmlns="http://schemas.microsoft.com/office/spreadsheetml/2009/9/main" objectType="Radio" lockText="1" noThreeD="1"/>
</file>

<file path=xl/ctrlProps/ctrlProp474.xml><?xml version="1.0" encoding="utf-8"?>
<formControlPr xmlns="http://schemas.microsoft.com/office/spreadsheetml/2009/9/main" objectType="Radio" lockText="1" noThreeD="1"/>
</file>

<file path=xl/ctrlProps/ctrlProp475.xml><?xml version="1.0" encoding="utf-8"?>
<formControlPr xmlns="http://schemas.microsoft.com/office/spreadsheetml/2009/9/main" objectType="Radio" lockText="1" noThreeD="1"/>
</file>

<file path=xl/ctrlProps/ctrlProp476.xml><?xml version="1.0" encoding="utf-8"?>
<formControlPr xmlns="http://schemas.microsoft.com/office/spreadsheetml/2009/9/main" objectType="GBox" noThreeD="1"/>
</file>

<file path=xl/ctrlProps/ctrlProp477.xml><?xml version="1.0" encoding="utf-8"?>
<formControlPr xmlns="http://schemas.microsoft.com/office/spreadsheetml/2009/9/main" objectType="GBox" noThreeD="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Radio" checked="Checked" firstButton="1" fmlaLink="HDSD!$A$2" lockText="1" noThreeD="1"/>
</file>

<file path=xl/ctrlProps/ctrlProp487.xml><?xml version="1.0" encoding="utf-8"?>
<formControlPr xmlns="http://schemas.microsoft.com/office/spreadsheetml/2009/9/main" objectType="Radio" lockText="1" noThreeD="1"/>
</file>

<file path=xl/ctrlProps/ctrlProp488.xml><?xml version="1.0" encoding="utf-8"?>
<formControlPr xmlns="http://schemas.microsoft.com/office/spreadsheetml/2009/9/main" objectType="Radio" lockText="1" noThreeD="1"/>
</file>

<file path=xl/ctrlProps/ctrlProp489.xml><?xml version="1.0" encoding="utf-8"?>
<formControlPr xmlns="http://schemas.microsoft.com/office/spreadsheetml/2009/9/main" objectType="Radio" lockText="1" noThreeD="1"/>
</file>

<file path=xl/ctrlProps/ctrlProp490.xml><?xml version="1.0" encoding="utf-8"?>
<formControlPr xmlns="http://schemas.microsoft.com/office/spreadsheetml/2009/9/main" objectType="GBox" noThreeD="1"/>
</file>

<file path=xl/ctrlProps/ctrlProp491.xml><?xml version="1.0" encoding="utf-8"?>
<formControlPr xmlns="http://schemas.microsoft.com/office/spreadsheetml/2009/9/main" objectType="GBox" noThreeD="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Radio" checked="Checked" firstButton="1" fmlaLink="HDSD!$A$2" lockText="1" noThreeD="1"/>
</file>

<file path=xl/ctrlProps/ctrlProp512.xml><?xml version="1.0" encoding="utf-8"?>
<formControlPr xmlns="http://schemas.microsoft.com/office/spreadsheetml/2009/9/main" objectType="Radio" lockText="1" noThreeD="1"/>
</file>

<file path=xl/ctrlProps/ctrlProp513.xml><?xml version="1.0" encoding="utf-8"?>
<formControlPr xmlns="http://schemas.microsoft.com/office/spreadsheetml/2009/9/main" objectType="Radio" lockText="1" noThreeD="1"/>
</file>

<file path=xl/ctrlProps/ctrlProp514.xml><?xml version="1.0" encoding="utf-8"?>
<formControlPr xmlns="http://schemas.microsoft.com/office/spreadsheetml/2009/9/main" objectType="Radio" lockText="1" noThreeD="1"/>
</file>

<file path=xl/ctrlProps/ctrlProp515.xml><?xml version="1.0" encoding="utf-8"?>
<formControlPr xmlns="http://schemas.microsoft.com/office/spreadsheetml/2009/9/main" objectType="GBox" noThreeD="1"/>
</file>

<file path=xl/ctrlProps/ctrlProp516.xml><?xml version="1.0" encoding="utf-8"?>
<formControlPr xmlns="http://schemas.microsoft.com/office/spreadsheetml/2009/9/main" objectType="GBox" noThreeD="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Radio" checked="Checked" firstButton="1" fmlaLink="HDSD!$A$2" lockText="1" noThreeD="1"/>
</file>

<file path=xl/ctrlProps/ctrlProp525.xml><?xml version="1.0" encoding="utf-8"?>
<formControlPr xmlns="http://schemas.microsoft.com/office/spreadsheetml/2009/9/main" objectType="Radio" lockText="1" noThreeD="1"/>
</file>

<file path=xl/ctrlProps/ctrlProp526.xml><?xml version="1.0" encoding="utf-8"?>
<formControlPr xmlns="http://schemas.microsoft.com/office/spreadsheetml/2009/9/main" objectType="Radio" lockText="1" noThreeD="1"/>
</file>

<file path=xl/ctrlProps/ctrlProp527.xml><?xml version="1.0" encoding="utf-8"?>
<formControlPr xmlns="http://schemas.microsoft.com/office/spreadsheetml/2009/9/main" objectType="Radio" lockText="1" noThreeD="1"/>
</file>

<file path=xl/ctrlProps/ctrlProp528.xml><?xml version="1.0" encoding="utf-8"?>
<formControlPr xmlns="http://schemas.microsoft.com/office/spreadsheetml/2009/9/main" objectType="GBox" noThreeD="1"/>
</file>

<file path=xl/ctrlProps/ctrlProp529.xml><?xml version="1.0" encoding="utf-8"?>
<formControlPr xmlns="http://schemas.microsoft.com/office/spreadsheetml/2009/9/main" objectType="GBox" noThreeD="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Radio" checked="Checked" firstButton="1" fmlaLink="HDSD!$A$2" lockText="1" noThreeD="1"/>
</file>

<file path=xl/ctrlProps/ctrlProp539.xml><?xml version="1.0" encoding="utf-8"?>
<formControlPr xmlns="http://schemas.microsoft.com/office/spreadsheetml/2009/9/main" objectType="Radio" lockText="1" noThreeD="1"/>
</file>

<file path=xl/ctrlProps/ctrlProp540.xml><?xml version="1.0" encoding="utf-8"?>
<formControlPr xmlns="http://schemas.microsoft.com/office/spreadsheetml/2009/9/main" objectType="Radio" lockText="1" noThreeD="1"/>
</file>

<file path=xl/ctrlProps/ctrlProp541.xml><?xml version="1.0" encoding="utf-8"?>
<formControlPr xmlns="http://schemas.microsoft.com/office/spreadsheetml/2009/9/main" objectType="Radio" lockText="1" noThreeD="1"/>
</file>

<file path=xl/ctrlProps/ctrlProp542.xml><?xml version="1.0" encoding="utf-8"?>
<formControlPr xmlns="http://schemas.microsoft.com/office/spreadsheetml/2009/9/main" objectType="GBox" noThreeD="1"/>
</file>

<file path=xl/ctrlProps/ctrlProp543.xml><?xml version="1.0" encoding="utf-8"?>
<formControlPr xmlns="http://schemas.microsoft.com/office/spreadsheetml/2009/9/main" objectType="GBox" noThreeD="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Radio" checked="Checked" firstButton="1" fmlaLink="HDSD!$A$2" lockText="1" noThreeD="1"/>
</file>

<file path=xl/ctrlProps/ctrlProp552.xml><?xml version="1.0" encoding="utf-8"?>
<formControlPr xmlns="http://schemas.microsoft.com/office/spreadsheetml/2009/9/main" objectType="Radio" lockText="1" noThreeD="1"/>
</file>

<file path=xl/ctrlProps/ctrlProp553.xml><?xml version="1.0" encoding="utf-8"?>
<formControlPr xmlns="http://schemas.microsoft.com/office/spreadsheetml/2009/9/main" objectType="Radio" lockText="1" noThreeD="1"/>
</file>

<file path=xl/ctrlProps/ctrlProp554.xml><?xml version="1.0" encoding="utf-8"?>
<formControlPr xmlns="http://schemas.microsoft.com/office/spreadsheetml/2009/9/main" objectType="Radio" lockText="1" noThreeD="1"/>
</file>

<file path=xl/ctrlProps/ctrlProp555.xml><?xml version="1.0" encoding="utf-8"?>
<formControlPr xmlns="http://schemas.microsoft.com/office/spreadsheetml/2009/9/main" objectType="GBox" noThreeD="1"/>
</file>

<file path=xl/ctrlProps/ctrlProp556.xml><?xml version="1.0" encoding="utf-8"?>
<formControlPr xmlns="http://schemas.microsoft.com/office/spreadsheetml/2009/9/main" objectType="GBox" noThreeD="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Radio" checked="Checked" firstButton="1" fmlaLink="HDSD!$A$2" lockText="1" noThreeD="1"/>
</file>

<file path=xl/ctrlProps/ctrlProp565.xml><?xml version="1.0" encoding="utf-8"?>
<formControlPr xmlns="http://schemas.microsoft.com/office/spreadsheetml/2009/9/main" objectType="Radio" lockText="1" noThreeD="1"/>
</file>

<file path=xl/ctrlProps/ctrlProp566.xml><?xml version="1.0" encoding="utf-8"?>
<formControlPr xmlns="http://schemas.microsoft.com/office/spreadsheetml/2009/9/main" objectType="Radio" lockText="1" noThreeD="1"/>
</file>

<file path=xl/ctrlProps/ctrlProp567.xml><?xml version="1.0" encoding="utf-8"?>
<formControlPr xmlns="http://schemas.microsoft.com/office/spreadsheetml/2009/9/main" objectType="Radio" lockText="1" noThreeD="1"/>
</file>

<file path=xl/ctrlProps/ctrlProp568.xml><?xml version="1.0" encoding="utf-8"?>
<formControlPr xmlns="http://schemas.microsoft.com/office/spreadsheetml/2009/9/main" objectType="GBox" noThreeD="1"/>
</file>

<file path=xl/ctrlProps/ctrlProp569.xml><?xml version="1.0" encoding="utf-8"?>
<formControlPr xmlns="http://schemas.microsoft.com/office/spreadsheetml/2009/9/main" objectType="GBox" noThreeD="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Radio" checked="Checked" firstButton="1" fmlaLink="HDSD!$A$2" lockText="1" noThreeD="1"/>
</file>

<file path=xl/ctrlProps/ctrlProp578.xml><?xml version="1.0" encoding="utf-8"?>
<formControlPr xmlns="http://schemas.microsoft.com/office/spreadsheetml/2009/9/main" objectType="Radio" lockText="1" noThreeD="1"/>
</file>

<file path=xl/ctrlProps/ctrlProp579.xml><?xml version="1.0" encoding="utf-8"?>
<formControlPr xmlns="http://schemas.microsoft.com/office/spreadsheetml/2009/9/main" objectType="Radio" lockText="1" noThreeD="1"/>
</file>

<file path=xl/ctrlProps/ctrlProp580.xml><?xml version="1.0" encoding="utf-8"?>
<formControlPr xmlns="http://schemas.microsoft.com/office/spreadsheetml/2009/9/main" objectType="Radio" lockText="1" noThreeD="1"/>
</file>

<file path=xl/ctrlProps/ctrlProp581.xml><?xml version="1.0" encoding="utf-8"?>
<formControlPr xmlns="http://schemas.microsoft.com/office/spreadsheetml/2009/9/main" objectType="GBox" noThreeD="1"/>
</file>

<file path=xl/ctrlProps/ctrlProp582.xml><?xml version="1.0" encoding="utf-8"?>
<formControlPr xmlns="http://schemas.microsoft.com/office/spreadsheetml/2009/9/main" objectType="GBox" noThreeD="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Radio" checked="Checked" firstButton="1" fmlaLink="HDSD!$A$2" lockText="1" noThreeD="1"/>
</file>

<file path=xl/ctrlProps/ctrlProp593.xml><?xml version="1.0" encoding="utf-8"?>
<formControlPr xmlns="http://schemas.microsoft.com/office/spreadsheetml/2009/9/main" objectType="Radio" lockText="1" noThreeD="1"/>
</file>

<file path=xl/ctrlProps/ctrlProp594.xml><?xml version="1.0" encoding="utf-8"?>
<formControlPr xmlns="http://schemas.microsoft.com/office/spreadsheetml/2009/9/main" objectType="Radio" lockText="1" noThreeD="1"/>
</file>

<file path=xl/ctrlProps/ctrlProp595.xml><?xml version="1.0" encoding="utf-8"?>
<formControlPr xmlns="http://schemas.microsoft.com/office/spreadsheetml/2009/9/main" objectType="Radio" lockText="1" noThreeD="1"/>
</file>

<file path=xl/ctrlProps/ctrlProp596.xml><?xml version="1.0" encoding="utf-8"?>
<formControlPr xmlns="http://schemas.microsoft.com/office/spreadsheetml/2009/9/main" objectType="GBox" noThreeD="1"/>
</file>

<file path=xl/ctrlProps/ctrlProp597.xml><?xml version="1.0" encoding="utf-8"?>
<formControlPr xmlns="http://schemas.microsoft.com/office/spreadsheetml/2009/9/main" objectType="GBox" noThreeD="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Radio" checked="Checked" firstButton="1" fmlaLink="HDSD!$A$2" lockText="1" noThreeD="1"/>
</file>

<file path=xl/ctrlProps/ctrlProp604.xml><?xml version="1.0" encoding="utf-8"?>
<formControlPr xmlns="http://schemas.microsoft.com/office/spreadsheetml/2009/9/main" objectType="Radio" lockText="1" noThreeD="1"/>
</file>

<file path=xl/ctrlProps/ctrlProp605.xml><?xml version="1.0" encoding="utf-8"?>
<formControlPr xmlns="http://schemas.microsoft.com/office/spreadsheetml/2009/9/main" objectType="Radio" lockText="1" noThreeD="1"/>
</file>

<file path=xl/ctrlProps/ctrlProp606.xml><?xml version="1.0" encoding="utf-8"?>
<formControlPr xmlns="http://schemas.microsoft.com/office/spreadsheetml/2009/9/main" objectType="Radio" lockText="1" noThreeD="1"/>
</file>

<file path=xl/ctrlProps/ctrlProp607.xml><?xml version="1.0" encoding="utf-8"?>
<formControlPr xmlns="http://schemas.microsoft.com/office/spreadsheetml/2009/9/main" objectType="GBox" noThreeD="1"/>
</file>

<file path=xl/ctrlProps/ctrlProp608.xml><?xml version="1.0" encoding="utf-8"?>
<formControlPr xmlns="http://schemas.microsoft.com/office/spreadsheetml/2009/9/main" objectType="GBox" noThreeD="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Radio" checked="Checked" firstButton="1" fmlaLink="HDSD!$A$2" lockText="1" noThreeD="1"/>
</file>

<file path=xl/ctrlProps/ctrlProp617.xml><?xml version="1.0" encoding="utf-8"?>
<formControlPr xmlns="http://schemas.microsoft.com/office/spreadsheetml/2009/9/main" objectType="Radio" lockText="1" noThreeD="1"/>
</file>

<file path=xl/ctrlProps/ctrlProp618.xml><?xml version="1.0" encoding="utf-8"?>
<formControlPr xmlns="http://schemas.microsoft.com/office/spreadsheetml/2009/9/main" objectType="Radio" lockText="1" noThreeD="1"/>
</file>

<file path=xl/ctrlProps/ctrlProp619.xml><?xml version="1.0" encoding="utf-8"?>
<formControlPr xmlns="http://schemas.microsoft.com/office/spreadsheetml/2009/9/main" objectType="Radio" lockText="1" noThreeD="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GBox" noThreeD="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Radio" checked="Checked" firstButton="1" fmlaLink="HDSD!$A$2" lockText="1" noThreeD="1"/>
</file>

<file path=xl/ctrlProps/ctrlProp630.xml><?xml version="1.0" encoding="utf-8"?>
<formControlPr xmlns="http://schemas.microsoft.com/office/spreadsheetml/2009/9/main" objectType="Radio" lockText="1" noThreeD="1"/>
</file>

<file path=xl/ctrlProps/ctrlProp631.xml><?xml version="1.0" encoding="utf-8"?>
<formControlPr xmlns="http://schemas.microsoft.com/office/spreadsheetml/2009/9/main" objectType="Radio" lockText="1" noThreeD="1"/>
</file>

<file path=xl/ctrlProps/ctrlProp632.xml><?xml version="1.0" encoding="utf-8"?>
<formControlPr xmlns="http://schemas.microsoft.com/office/spreadsheetml/2009/9/main" objectType="Radio" lockText="1" noThreeD="1"/>
</file>

<file path=xl/ctrlProps/ctrlProp633.xml><?xml version="1.0" encoding="utf-8"?>
<formControlPr xmlns="http://schemas.microsoft.com/office/spreadsheetml/2009/9/main" objectType="GBox" noThreeD="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Light"/>
                  <a:cs typeface="Segoe UI Light"/>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57</xdr:col>
      <xdr:colOff>168089</xdr:colOff>
      <xdr:row>3</xdr:row>
      <xdr:rowOff>190499</xdr:rowOff>
    </xdr:from>
    <xdr:to>
      <xdr:col>62</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63</xdr:col>
      <xdr:colOff>9525</xdr:colOff>
      <xdr:row>3</xdr:row>
      <xdr:rowOff>180974</xdr:rowOff>
    </xdr:from>
    <xdr:to>
      <xdr:col>81</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62</xdr:col>
      <xdr:colOff>438150</xdr:colOff>
      <xdr:row>4</xdr:row>
      <xdr:rowOff>212911</xdr:rowOff>
    </xdr:from>
    <xdr:to>
      <xdr:col>65</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79</xdr:col>
      <xdr:colOff>83820</xdr:colOff>
      <xdr:row>4</xdr:row>
      <xdr:rowOff>190500</xdr:rowOff>
    </xdr:from>
    <xdr:to>
      <xdr:col>81</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62</xdr:col>
      <xdr:colOff>566040</xdr:colOff>
      <xdr:row>5</xdr:row>
      <xdr:rowOff>80123</xdr:rowOff>
    </xdr:from>
    <xdr:ext cx="1000541" cy="399405"/>
    <xdr:sp macro="" textlink="$CV$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63</xdr:col>
      <xdr:colOff>435349</xdr:colOff>
      <xdr:row>7</xdr:row>
      <xdr:rowOff>116369</xdr:rowOff>
    </xdr:from>
    <xdr:ext cx="883753" cy="399405"/>
    <xdr:sp macro="" textlink="$CV$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79</xdr:col>
      <xdr:colOff>493163</xdr:colOff>
      <xdr:row>5</xdr:row>
      <xdr:rowOff>183948</xdr:rowOff>
    </xdr:from>
    <xdr:ext cx="1080000" cy="501740"/>
    <xdr:sp macro="" textlink="$CW$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82</xdr:col>
      <xdr:colOff>66675</xdr:colOff>
      <xdr:row>3</xdr:row>
      <xdr:rowOff>190499</xdr:rowOff>
    </xdr:from>
    <xdr:to>
      <xdr:col>87</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82</xdr:col>
          <xdr:colOff>263662</xdr:colOff>
          <xdr:row>1</xdr:row>
          <xdr:rowOff>171450</xdr:rowOff>
        </xdr:from>
        <xdr:to>
          <xdr:col>87</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21" y="1047750"/>
              <a:chExt cx="3206008"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13096921" y="1047750"/>
                <a:ext cx="719992"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14754224"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15582929"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64</xdr:col>
      <xdr:colOff>549088</xdr:colOff>
      <xdr:row>13</xdr:row>
      <xdr:rowOff>209085</xdr:rowOff>
    </xdr:from>
    <xdr:to>
      <xdr:col>81</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466725</xdr:colOff>
      <xdr:row>7</xdr:row>
      <xdr:rowOff>70597</xdr:rowOff>
    </xdr:from>
    <xdr:to>
      <xdr:col>65</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62</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63</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63</xdr:col>
      <xdr:colOff>200025</xdr:colOff>
      <xdr:row>9</xdr:row>
      <xdr:rowOff>28576</xdr:rowOff>
    </xdr:from>
    <xdr:ext cx="876300" cy="706475"/>
    <xdr:sp macro="" textlink="$CX$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79</xdr:col>
      <xdr:colOff>228600</xdr:colOff>
      <xdr:row>10</xdr:row>
      <xdr:rowOff>28575</xdr:rowOff>
    </xdr:from>
    <xdr:to>
      <xdr:col>81</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79</xdr:col>
      <xdr:colOff>676275</xdr:colOff>
      <xdr:row>8</xdr:row>
      <xdr:rowOff>202019</xdr:rowOff>
    </xdr:from>
    <xdr:to>
      <xdr:col>81</xdr:col>
      <xdr:colOff>384675</xdr:colOff>
      <xdr:row>10</xdr:row>
      <xdr:rowOff>79923</xdr:rowOff>
    </xdr:to>
    <xdr:sp macro="" textlink="$DB$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79</xdr:col>
      <xdr:colOff>85725</xdr:colOff>
      <xdr:row>9</xdr:row>
      <xdr:rowOff>9525</xdr:rowOff>
    </xdr:from>
    <xdr:to>
      <xdr:col>80</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66</xdr:col>
      <xdr:colOff>186568</xdr:colOff>
      <xdr:row>4</xdr:row>
      <xdr:rowOff>181283</xdr:rowOff>
    </xdr:from>
    <xdr:to>
      <xdr:col>68</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W$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A$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CZ$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64</xdr:col>
      <xdr:colOff>209551</xdr:colOff>
      <xdr:row>13</xdr:row>
      <xdr:rowOff>176664</xdr:rowOff>
    </xdr:from>
    <xdr:to>
      <xdr:col>66</xdr:col>
      <xdr:colOff>375575</xdr:colOff>
      <xdr:row>16</xdr:row>
      <xdr:rowOff>38100</xdr:rowOff>
    </xdr:to>
    <xdr:sp macro="" textlink="$CW$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66</xdr:col>
      <xdr:colOff>248073</xdr:colOff>
      <xdr:row>14</xdr:row>
      <xdr:rowOff>72183</xdr:rowOff>
    </xdr:from>
    <xdr:to>
      <xdr:col>68</xdr:col>
      <xdr:colOff>495300</xdr:colOff>
      <xdr:row>15</xdr:row>
      <xdr:rowOff>142581</xdr:rowOff>
    </xdr:to>
    <xdr:sp macro="" textlink="$CU$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65</xdr:col>
      <xdr:colOff>238126</xdr:colOff>
      <xdr:row>15</xdr:row>
      <xdr:rowOff>147637</xdr:rowOff>
    </xdr:from>
    <xdr:to>
      <xdr:col>66</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66</xdr:col>
      <xdr:colOff>457200</xdr:colOff>
      <xdr:row>15</xdr:row>
      <xdr:rowOff>147637</xdr:rowOff>
    </xdr:from>
    <xdr:to>
      <xdr:col>69</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66</xdr:col>
      <xdr:colOff>114723</xdr:colOff>
      <xdr:row>15</xdr:row>
      <xdr:rowOff>115590</xdr:rowOff>
    </xdr:from>
    <xdr:to>
      <xdr:col>66</xdr:col>
      <xdr:colOff>542924</xdr:colOff>
      <xdr:row>17</xdr:row>
      <xdr:rowOff>196101</xdr:rowOff>
    </xdr:to>
    <xdr:sp macro="" textlink="$CW$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63</xdr:col>
      <xdr:colOff>414618</xdr:colOff>
      <xdr:row>0</xdr:row>
      <xdr:rowOff>0</xdr:rowOff>
    </xdr:from>
    <xdr:to>
      <xdr:col>80</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63</xdr:col>
      <xdr:colOff>11107</xdr:colOff>
      <xdr:row>28</xdr:row>
      <xdr:rowOff>119982</xdr:rowOff>
    </xdr:from>
    <xdr:to>
      <xdr:col>81</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207301</xdr:colOff>
      <xdr:row>28</xdr:row>
      <xdr:rowOff>145677</xdr:rowOff>
    </xdr:from>
    <xdr:to>
      <xdr:col>68</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82</xdr:col>
      <xdr:colOff>215463</xdr:colOff>
      <xdr:row>4</xdr:row>
      <xdr:rowOff>85724</xdr:rowOff>
    </xdr:from>
    <xdr:to>
      <xdr:col>87</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82</xdr:col>
      <xdr:colOff>66675</xdr:colOff>
      <xdr:row>13</xdr:row>
      <xdr:rowOff>209085</xdr:rowOff>
    </xdr:from>
    <xdr:to>
      <xdr:col>87</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82</xdr:col>
      <xdr:colOff>423582</xdr:colOff>
      <xdr:row>14</xdr:row>
      <xdr:rowOff>102873</xdr:rowOff>
    </xdr:from>
    <xdr:to>
      <xdr:col>87</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82</xdr:col>
      <xdr:colOff>401171</xdr:colOff>
      <xdr:row>17</xdr:row>
      <xdr:rowOff>43643</xdr:rowOff>
    </xdr:from>
    <xdr:to>
      <xdr:col>84</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353545</xdr:colOff>
      <xdr:row>24</xdr:row>
      <xdr:rowOff>183468</xdr:rowOff>
    </xdr:from>
    <xdr:to>
      <xdr:col>85</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82</xdr:col>
      <xdr:colOff>66675</xdr:colOff>
      <xdr:row>28</xdr:row>
      <xdr:rowOff>119982</xdr:rowOff>
    </xdr:from>
    <xdr:to>
      <xdr:col>87</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67</xdr:col>
      <xdr:colOff>425823</xdr:colOff>
      <xdr:row>29</xdr:row>
      <xdr:rowOff>73957</xdr:rowOff>
    </xdr:from>
    <xdr:to>
      <xdr:col>80</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73</xdr:col>
      <xdr:colOff>96372</xdr:colOff>
      <xdr:row>29</xdr:row>
      <xdr:rowOff>94971</xdr:rowOff>
    </xdr:from>
    <xdr:to>
      <xdr:col>76</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76</xdr:col>
      <xdr:colOff>404531</xdr:colOff>
      <xdr:row>29</xdr:row>
      <xdr:rowOff>107014</xdr:rowOff>
    </xdr:from>
    <xdr:to>
      <xdr:col>78</xdr:col>
      <xdr:colOff>309280</xdr:colOff>
      <xdr:row>31</xdr:row>
      <xdr:rowOff>150996</xdr:rowOff>
    </xdr:to>
    <xdr:sp macro="" textlink="$CW$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77</xdr:col>
      <xdr:colOff>91889</xdr:colOff>
      <xdr:row>30</xdr:row>
      <xdr:rowOff>180137</xdr:rowOff>
    </xdr:from>
    <xdr:to>
      <xdr:col>80</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82</xdr:col>
          <xdr:colOff>295275</xdr:colOff>
          <xdr:row>29</xdr:row>
          <xdr:rowOff>38100</xdr:rowOff>
        </xdr:from>
        <xdr:to>
          <xdr:col>83</xdr:col>
          <xdr:colOff>428625</xdr:colOff>
          <xdr:row>30</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82</xdr:col>
      <xdr:colOff>201483</xdr:colOff>
      <xdr:row>35</xdr:row>
      <xdr:rowOff>121254</xdr:rowOff>
    </xdr:from>
    <xdr:to>
      <xdr:col>87</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83</xdr:col>
      <xdr:colOff>116068</xdr:colOff>
      <xdr:row>37</xdr:row>
      <xdr:rowOff>41955</xdr:rowOff>
    </xdr:from>
    <xdr:to>
      <xdr:col>87</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82</xdr:col>
      <xdr:colOff>505538</xdr:colOff>
      <xdr:row>22</xdr:row>
      <xdr:rowOff>183294</xdr:rowOff>
    </xdr:from>
    <xdr:to>
      <xdr:col>87</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82</xdr:col>
      <xdr:colOff>252371</xdr:colOff>
      <xdr:row>18</xdr:row>
      <xdr:rowOff>123382</xdr:rowOff>
    </xdr:from>
    <xdr:to>
      <xdr:col>87</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82</xdr:col>
      <xdr:colOff>33056</xdr:colOff>
      <xdr:row>16</xdr:row>
      <xdr:rowOff>93427</xdr:rowOff>
    </xdr:from>
    <xdr:to>
      <xdr:col>87</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82</xdr:col>
      <xdr:colOff>254493</xdr:colOff>
      <xdr:row>24</xdr:row>
      <xdr:rowOff>213250</xdr:rowOff>
    </xdr:from>
    <xdr:to>
      <xdr:col>87</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83</xdr:col>
      <xdr:colOff>114552</xdr:colOff>
      <xdr:row>20</xdr:row>
      <xdr:rowOff>153338</xdr:rowOff>
    </xdr:from>
    <xdr:to>
      <xdr:col>86</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62</xdr:col>
      <xdr:colOff>627530</xdr:colOff>
      <xdr:row>0</xdr:row>
      <xdr:rowOff>190500</xdr:rowOff>
    </xdr:from>
    <xdr:to>
      <xdr:col>63</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69</xdr:col>
      <xdr:colOff>109666</xdr:colOff>
      <xdr:row>4</xdr:row>
      <xdr:rowOff>162933</xdr:rowOff>
    </xdr:from>
    <xdr:to>
      <xdr:col>71</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B$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C$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72</xdr:col>
      <xdr:colOff>395409</xdr:colOff>
      <xdr:row>4</xdr:row>
      <xdr:rowOff>163355</xdr:rowOff>
    </xdr:from>
    <xdr:to>
      <xdr:col>75</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W$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A$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CZ$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75</xdr:col>
      <xdr:colOff>318400</xdr:colOff>
      <xdr:row>4</xdr:row>
      <xdr:rowOff>162933</xdr:rowOff>
    </xdr:from>
    <xdr:to>
      <xdr:col>78</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B$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C$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64</xdr:col>
      <xdr:colOff>291353</xdr:colOff>
      <xdr:row>4</xdr:row>
      <xdr:rowOff>48859</xdr:rowOff>
    </xdr:from>
    <xdr:to>
      <xdr:col>65</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78</xdr:col>
      <xdr:colOff>387724</xdr:colOff>
      <xdr:row>4</xdr:row>
      <xdr:rowOff>48859</xdr:rowOff>
    </xdr:from>
    <xdr:to>
      <xdr:col>79</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57</xdr:col>
      <xdr:colOff>168089</xdr:colOff>
      <xdr:row>13</xdr:row>
      <xdr:rowOff>209085</xdr:rowOff>
    </xdr:from>
    <xdr:to>
      <xdr:col>62</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57</xdr:col>
      <xdr:colOff>168089</xdr:colOff>
      <xdr:row>28</xdr:row>
      <xdr:rowOff>119982</xdr:rowOff>
    </xdr:from>
    <xdr:to>
      <xdr:col>62</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82</xdr:col>
      <xdr:colOff>107016</xdr:colOff>
      <xdr:row>29</xdr:row>
      <xdr:rowOff>205912</xdr:rowOff>
    </xdr:from>
    <xdr:to>
      <xdr:col>87</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57</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4541089" y="3461777"/>
                <a:ext cx="1080001"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khách</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574879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6956517" y="3461777"/>
                <a:ext cx="1080002"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đơn hàng</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36" y="3461777"/>
              <a:chExt cx="2287712" cy="214593"/>
            </a:xfrm>
          </xdr:grpSpPr>
          <xdr:sp macro="" textlink="">
            <xdr:nvSpPr>
              <xdr:cNvPr id="47105" name="Option 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454143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lượng</a:t>
                </a:r>
              </a:p>
            </xdr:txBody>
          </xdr:sp>
          <xdr:sp macro="" textlink="">
            <xdr:nvSpPr>
              <xdr:cNvPr id="47106" name="Option 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5749148"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A00-00000E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1" name="Button 15" hidden="1">
                <a:extLst>
                  <a:ext uri="{63B3BB69-23CF-44E3-9099-C40C66FF867C}">
                    <a14:compatExt spid="_x0000_s50191"/>
                  </a:ext>
                  <a:ext uri="{FF2B5EF4-FFF2-40B4-BE49-F238E27FC236}">
                    <a16:creationId xmlns:a16="http://schemas.microsoft.com/office/drawing/2014/main" id="{00000000-0008-0000-0A00-00000F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A00-000010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A00-00001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A00-00001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A00-00001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A00-00001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A00-00001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A00-00001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A00-00001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A00-00001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A00-00001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A00-00001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A00-00001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A00-00001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A00-00002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A00-00002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A00-00002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A00-00002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A00-00002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A00-00002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A00-00002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A00-00002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A00-00002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A00-00002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A00-00002A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A00-00002B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A00-00002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A00-00002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A00-00002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A00-00002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A00-00003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A00-00003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A00-00003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A00-00003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A00-00003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A00-00003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A00-00003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A00-00003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A00-00003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A00-00003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sp macro="" textlink="">
            <xdr:nvSpPr>
              <xdr:cNvPr id="15" name="Button 64" hidden="1">
                <a:extLst>
                  <a:ext uri="{63B3BB69-23CF-44E3-9099-C40C66FF867C}">
                    <a14:compatExt spid="_x0000_s50240"/>
                  </a:ext>
                  <a:ext uri="{FF2B5EF4-FFF2-40B4-BE49-F238E27FC236}">
                    <a16:creationId xmlns:a16="http://schemas.microsoft.com/office/drawing/2014/main" id="{00000000-0008-0000-0A00-00000F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2" name="Button 65" hidden="1">
                <a:extLst>
                  <a:ext uri="{63B3BB69-23CF-44E3-9099-C40C66FF867C}">
                    <a14:compatExt spid="_x0000_s50241"/>
                  </a:ext>
                  <a:ext uri="{FF2B5EF4-FFF2-40B4-BE49-F238E27FC236}">
                    <a16:creationId xmlns:a16="http://schemas.microsoft.com/office/drawing/2014/main" id="{00000000-0008-0000-0A00-000020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sp macro="" textlink="">
            <xdr:nvSpPr>
              <xdr:cNvPr id="33" name="Button 68" hidden="1">
                <a:extLst>
                  <a:ext uri="{63B3BB69-23CF-44E3-9099-C40C66FF867C}">
                    <a14:compatExt spid="_x0000_s50244"/>
                  </a:ext>
                  <a:ext uri="{FF2B5EF4-FFF2-40B4-BE49-F238E27FC236}">
                    <a16:creationId xmlns:a16="http://schemas.microsoft.com/office/drawing/2014/main" id="{00000000-0008-0000-0A00-000021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4" name="Button 69" hidden="1">
                <a:extLst>
                  <a:ext uri="{63B3BB69-23CF-44E3-9099-C40C66FF867C}">
                    <a14:compatExt spid="_x0000_s50245"/>
                  </a:ext>
                  <a:ext uri="{FF2B5EF4-FFF2-40B4-BE49-F238E27FC236}">
                    <a16:creationId xmlns:a16="http://schemas.microsoft.com/office/drawing/2014/main" id="{00000000-0008-0000-0A00-000022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sp macro="" textlink="">
            <xdr:nvSpPr>
              <xdr:cNvPr id="35" name="Button 73" hidden="1">
                <a:extLst>
                  <a:ext uri="{63B3BB69-23CF-44E3-9099-C40C66FF867C}">
                    <a14:compatExt spid="_x0000_s50249"/>
                  </a:ext>
                  <a:ext uri="{FF2B5EF4-FFF2-40B4-BE49-F238E27FC236}">
                    <a16:creationId xmlns:a16="http://schemas.microsoft.com/office/drawing/2014/main" id="{00000000-0008-0000-0A00-000023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6" name="Button 74" hidden="1">
                <a:extLst>
                  <a:ext uri="{63B3BB69-23CF-44E3-9099-C40C66FF867C}">
                    <a14:compatExt spid="_x0000_s50250"/>
                  </a:ext>
                  <a:ext uri="{FF2B5EF4-FFF2-40B4-BE49-F238E27FC236}">
                    <a16:creationId xmlns:a16="http://schemas.microsoft.com/office/drawing/2014/main" id="{00000000-0008-0000-0A00-000024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sp macro="" textlink="">
            <xdr:nvSpPr>
              <xdr:cNvPr id="37" name="Button 89" hidden="1">
                <a:extLst>
                  <a:ext uri="{63B3BB69-23CF-44E3-9099-C40C66FF867C}">
                    <a14:compatExt spid="_x0000_s50265"/>
                  </a:ext>
                  <a:ext uri="{FF2B5EF4-FFF2-40B4-BE49-F238E27FC236}">
                    <a16:creationId xmlns:a16="http://schemas.microsoft.com/office/drawing/2014/main" id="{00000000-0008-0000-0A00-000025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8" name="Button 90" hidden="1">
                <a:extLst>
                  <a:ext uri="{63B3BB69-23CF-44E3-9099-C40C66FF867C}">
                    <a14:compatExt spid="_x0000_s50266"/>
                  </a:ext>
                  <a:ext uri="{FF2B5EF4-FFF2-40B4-BE49-F238E27FC236}">
                    <a16:creationId xmlns:a16="http://schemas.microsoft.com/office/drawing/2014/main" id="{00000000-0008-0000-0A00-000026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sp macro="" textlink="">
            <xdr:nvSpPr>
              <xdr:cNvPr id="50271" name="Button 95" hidden="1">
                <a:extLst>
                  <a:ext uri="{63B3BB69-23CF-44E3-9099-C40C66FF867C}">
                    <a14:compatExt spid="_x0000_s50271"/>
                  </a:ext>
                  <a:ext uri="{FF2B5EF4-FFF2-40B4-BE49-F238E27FC236}">
                    <a16:creationId xmlns:a16="http://schemas.microsoft.com/office/drawing/2014/main" id="{00000000-0008-0000-0A00-00005FC40000}"/>
                  </a:ext>
                </a:extLst>
              </xdr:cNvPr>
              <xdr:cNvSpPr/>
            </xdr:nvSpPr>
            <xdr:spPr bwMode="auto">
              <a:xfrm>
                <a:off x="335437"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2" name="Button 96" hidden="1">
                <a:extLst>
                  <a:ext uri="{63B3BB69-23CF-44E3-9099-C40C66FF867C}">
                    <a14:compatExt spid="_x0000_s50272"/>
                  </a:ext>
                  <a:ext uri="{FF2B5EF4-FFF2-40B4-BE49-F238E27FC236}">
                    <a16:creationId xmlns:a16="http://schemas.microsoft.com/office/drawing/2014/main" id="{00000000-0008-0000-0A00-000060C40000}"/>
                  </a:ext>
                </a:extLst>
              </xdr:cNvPr>
              <xdr:cNvSpPr/>
            </xdr:nvSpPr>
            <xdr:spPr bwMode="auto">
              <a:xfrm>
                <a:off x="158781"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sp macro="" textlink="">
            <xdr:nvSpPr>
              <xdr:cNvPr id="39" name="Button 101" hidden="1">
                <a:extLst>
                  <a:ext uri="{63B3BB69-23CF-44E3-9099-C40C66FF867C}">
                    <a14:compatExt spid="_x0000_s50277"/>
                  </a:ext>
                  <a:ext uri="{FF2B5EF4-FFF2-40B4-BE49-F238E27FC236}">
                    <a16:creationId xmlns:a16="http://schemas.microsoft.com/office/drawing/2014/main" id="{00000000-0008-0000-0A00-000027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0" name="Button 102" hidden="1">
                <a:extLst>
                  <a:ext uri="{63B3BB69-23CF-44E3-9099-C40C66FF867C}">
                    <a14:compatExt spid="_x0000_s50278"/>
                  </a:ext>
                  <a:ext uri="{FF2B5EF4-FFF2-40B4-BE49-F238E27FC236}">
                    <a16:creationId xmlns:a16="http://schemas.microsoft.com/office/drawing/2014/main" id="{00000000-0008-0000-0A00-000028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sp macro="" textlink="">
            <xdr:nvSpPr>
              <xdr:cNvPr id="41" name="Button 107" hidden="1">
                <a:extLst>
                  <a:ext uri="{63B3BB69-23CF-44E3-9099-C40C66FF867C}">
                    <a14:compatExt spid="_x0000_s50283"/>
                  </a:ext>
                  <a:ext uri="{FF2B5EF4-FFF2-40B4-BE49-F238E27FC236}">
                    <a16:creationId xmlns:a16="http://schemas.microsoft.com/office/drawing/2014/main" id="{00000000-0008-0000-0A00-000029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2" name="Button 108" hidden="1">
                <a:extLst>
                  <a:ext uri="{63B3BB69-23CF-44E3-9099-C40C66FF867C}">
                    <a14:compatExt spid="_x0000_s50284"/>
                  </a:ext>
                  <a:ext uri="{FF2B5EF4-FFF2-40B4-BE49-F238E27FC236}">
                    <a16:creationId xmlns:a16="http://schemas.microsoft.com/office/drawing/2014/main" id="{00000000-0008-0000-0A00-00002A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3" name="Option Button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05" name="Group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133350</xdr:colOff>
          <xdr:row>0</xdr:row>
          <xdr:rowOff>66675</xdr:rowOff>
        </xdr:from>
        <xdr:to>
          <xdr:col>22</xdr:col>
          <xdr:colOff>133350</xdr:colOff>
          <xdr:row>1</xdr:row>
          <xdr:rowOff>95250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602575" y="66675"/>
              <a:ext cx="771525" cy="257175"/>
              <a:chOff x="187261" y="17811"/>
              <a:chExt cx="7696" cy="2572"/>
            </a:xfrm>
          </xdr:grpSpPr>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9" name="Button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C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C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C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C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C00-000005CC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C00-000006CC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C00-000007CC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C00-000008CC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C00-000009CC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87" y="1781175"/>
          <a:chExt cx="769599" cy="257175"/>
        </a:xfrm>
      </xdr:grpSpPr>
      <xdr:sp macro="" textlink="">
        <xdr:nvSpPr>
          <xdr:cNvPr id="52238" name="Button 14" hidden="1">
            <a:extLst>
              <a:ext uri="{63B3BB69-23CF-44E3-9099-C40C66FF867C}">
                <a14:compatExt xmlns:a14="http://schemas.microsoft.com/office/drawing/2010/main" spid="_x0000_s52238"/>
              </a:ext>
              <a:ext uri="{FF2B5EF4-FFF2-40B4-BE49-F238E27FC236}">
                <a16:creationId xmlns:a16="http://schemas.microsoft.com/office/drawing/2014/main" id="{00000000-0008-0000-0C00-00000ECC0000}"/>
              </a:ext>
            </a:extLst>
          </xdr:cNvPr>
          <xdr:cNvSpPr/>
        </xdr:nvSpPr>
        <xdr:spPr bwMode="auto">
          <a:xfrm>
            <a:off x="18725687"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xmlns:a14="http://schemas.microsoft.com/office/drawing/2010/main" spid="_x0000_s52239"/>
              </a:ext>
              <a:ext uri="{FF2B5EF4-FFF2-40B4-BE49-F238E27FC236}">
                <a16:creationId xmlns:a16="http://schemas.microsoft.com/office/drawing/2014/main" id="{00000000-0008-0000-0C00-00000FCC0000}"/>
              </a:ext>
            </a:extLst>
          </xdr:cNvPr>
          <xdr:cNvSpPr/>
        </xdr:nvSpPr>
        <xdr:spPr bwMode="auto">
          <a:xfrm>
            <a:off x="19135286"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sp macro="" textlink="">
            <xdr:nvSpPr>
              <xdr:cNvPr id="2" name="Button 10" hidden="1">
                <a:extLst>
                  <a:ext uri="{63B3BB69-23CF-44E3-9099-C40C66FF867C}">
                    <a14:compatExt spid="_x0000_s2"/>
                  </a:ext>
                  <a:ext uri="{FF2B5EF4-FFF2-40B4-BE49-F238E27FC236}">
                    <a16:creationId xmlns:a16="http://schemas.microsoft.com/office/drawing/2014/main" id="{00000000-0008-0000-0C00-000002000000}"/>
                  </a:ext>
                </a:extLst>
              </xdr:cNvPr>
              <xdr:cNvSpPr/>
            </xdr:nvSpPr>
            <xdr:spPr bwMode="auto">
              <a:xfrm>
                <a:off x="187261"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3"/>
                  </a:ext>
                  <a:ext uri="{FF2B5EF4-FFF2-40B4-BE49-F238E27FC236}">
                    <a16:creationId xmlns:a16="http://schemas.microsoft.com/office/drawing/2014/main" id="{00000000-0008-0000-0C00-000003000000}"/>
                  </a:ext>
                </a:extLst>
              </xdr:cNvPr>
              <xdr:cNvSpPr/>
            </xdr:nvSpPr>
            <xdr:spPr bwMode="auto">
              <a:xfrm>
                <a:off x="191357"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40" name="Group 10">
              <a:extLst>
                <a:ext uri="{FF2B5EF4-FFF2-40B4-BE49-F238E27FC236}">
                  <a16:creationId xmlns:a16="http://schemas.microsoft.com/office/drawing/2014/main" id="{CD0501D1-3524-7FC6-6B2E-089E3C64C169}"/>
                </a:ext>
              </a:extLst>
            </xdr:cNvPr>
            <xdr:cNvGrpSpPr>
              <a:grpSpLocks/>
            </xdr:cNvGrpSpPr>
          </xdr:nvGrpSpPr>
          <xdr:grpSpPr bwMode="auto">
            <a:xfrm>
              <a:off x="17830800" y="114300"/>
              <a:ext cx="771525" cy="257175"/>
              <a:chOff x="187256" y="17811"/>
              <a:chExt cx="7696" cy="2572"/>
            </a:xfrm>
          </xdr:grpSpPr>
          <xdr:sp macro="" textlink="">
            <xdr:nvSpPr>
              <xdr:cNvPr id="4" name="Button 14" hidden="1">
                <a:extLst>
                  <a:ext uri="{63B3BB69-23CF-44E3-9099-C40C66FF867C}">
                    <a14:compatExt spid="_x0000_s4"/>
                  </a:ext>
                  <a:ext uri="{FF2B5EF4-FFF2-40B4-BE49-F238E27FC236}">
                    <a16:creationId xmlns:a16="http://schemas.microsoft.com/office/drawing/2014/main" id="{00000000-0008-0000-0C00-000004000000}"/>
                  </a:ext>
                </a:extLst>
              </xdr:cNvPr>
              <xdr:cNvSpPr/>
            </xdr:nvSpPr>
            <xdr:spPr bwMode="auto">
              <a:xfrm>
                <a:off x="187256"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 name="Button 15" hidden="1">
                <a:extLst>
                  <a:ext uri="{63B3BB69-23CF-44E3-9099-C40C66FF867C}">
                    <a14:compatExt spid="_x0000_s10"/>
                  </a:ext>
                  <a:ext uri="{FF2B5EF4-FFF2-40B4-BE49-F238E27FC236}">
                    <a16:creationId xmlns:a16="http://schemas.microsoft.com/office/drawing/2014/main" id="{00000000-0008-0000-0C00-00000A000000}"/>
                  </a:ext>
                </a:extLst>
              </xdr:cNvPr>
              <xdr:cNvSpPr/>
            </xdr:nvSpPr>
            <xdr:spPr bwMode="auto">
              <a:xfrm>
                <a:off x="191352"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D00-000009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D00-00000A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D00-00000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D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D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D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D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D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D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D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D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D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D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D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sp macro="" textlink="">
            <xdr:nvSpPr>
              <xdr:cNvPr id="53279" name="Button 31" hidden="1">
                <a:extLst>
                  <a:ext uri="{63B3BB69-23CF-44E3-9099-C40C66FF867C}">
                    <a14:compatExt spid="_x0000_s53279"/>
                  </a:ext>
                  <a:ext uri="{FF2B5EF4-FFF2-40B4-BE49-F238E27FC236}">
                    <a16:creationId xmlns:a16="http://schemas.microsoft.com/office/drawing/2014/main" id="{00000000-0008-0000-0D00-00001F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0" name="Button 32" hidden="1">
                <a:extLst>
                  <a:ext uri="{63B3BB69-23CF-44E3-9099-C40C66FF867C}">
                    <a14:compatExt spid="_x0000_s53280"/>
                  </a:ext>
                  <a:ext uri="{FF2B5EF4-FFF2-40B4-BE49-F238E27FC236}">
                    <a16:creationId xmlns:a16="http://schemas.microsoft.com/office/drawing/2014/main" id="{00000000-0008-0000-0D00-000020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D00-000021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2" name="Button 34" hidden="1">
                <a:extLst>
                  <a:ext uri="{63B3BB69-23CF-44E3-9099-C40C66FF867C}">
                    <a14:compatExt spid="_x0000_s53282"/>
                  </a:ext>
                  <a:ext uri="{FF2B5EF4-FFF2-40B4-BE49-F238E27FC236}">
                    <a16:creationId xmlns:a16="http://schemas.microsoft.com/office/drawing/2014/main" id="{00000000-0008-0000-0D00-000022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0E00-000007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80" name="Option Button 8" hidden="1">
                    <a:extLst>
                      <a:ext uri="{63B3BB69-23CF-44E3-9099-C40C66FF867C}">
                        <a14:compatExt spid="_x0000_s54280"/>
                      </a:ext>
                      <a:ext uri="{FF2B5EF4-FFF2-40B4-BE49-F238E27FC236}">
                        <a16:creationId xmlns:a16="http://schemas.microsoft.com/office/drawing/2014/main" id="{00000000-0008-0000-0E00-000008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81" name="Option Button 9" hidden="1">
                    <a:extLst>
                      <a:ext uri="{63B3BB69-23CF-44E3-9099-C40C66FF867C}">
                        <a14:compatExt spid="_x0000_s54281"/>
                      </a:ext>
                      <a:ext uri="{FF2B5EF4-FFF2-40B4-BE49-F238E27FC236}">
                        <a16:creationId xmlns:a16="http://schemas.microsoft.com/office/drawing/2014/main" id="{00000000-0008-0000-0E00-000009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0E00-00000A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83" name="Group Box 11" hidden="1">
                  <a:extLst>
                    <a:ext uri="{63B3BB69-23CF-44E3-9099-C40C66FF867C}">
                      <a14:compatExt spid="_x0000_s54283"/>
                    </a:ext>
                    <a:ext uri="{FF2B5EF4-FFF2-40B4-BE49-F238E27FC236}">
                      <a16:creationId xmlns:a16="http://schemas.microsoft.com/office/drawing/2014/main" id="{00000000-0008-0000-0E00-00000B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E00-00000C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sp macro="" textlink="">
                <xdr:nvSpPr>
                  <xdr:cNvPr id="54285" name="Button 13" hidden="1">
                    <a:extLst>
                      <a:ext uri="{63B3BB69-23CF-44E3-9099-C40C66FF867C}">
                        <a14:compatExt spid="_x0000_s54285"/>
                      </a:ext>
                      <a:ext uri="{FF2B5EF4-FFF2-40B4-BE49-F238E27FC236}">
                        <a16:creationId xmlns:a16="http://schemas.microsoft.com/office/drawing/2014/main" id="{00000000-0008-0000-0E00-00000D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286" name="Button 14" hidden="1">
                    <a:extLst>
                      <a:ext uri="{63B3BB69-23CF-44E3-9099-C40C66FF867C}">
                        <a14:compatExt spid="_x0000_s54286"/>
                      </a:ext>
                      <a:ext uri="{FF2B5EF4-FFF2-40B4-BE49-F238E27FC236}">
                        <a16:creationId xmlns:a16="http://schemas.microsoft.com/office/drawing/2014/main" id="{00000000-0008-0000-0E00-00000E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287" name="Button 15" hidden="1">
                    <a:extLst>
                      <a:ext uri="{63B3BB69-23CF-44E3-9099-C40C66FF867C}">
                        <a14:compatExt spid="_x0000_s54287"/>
                      </a:ext>
                      <a:ext uri="{FF2B5EF4-FFF2-40B4-BE49-F238E27FC236}">
                        <a16:creationId xmlns:a16="http://schemas.microsoft.com/office/drawing/2014/main" id="{00000000-0008-0000-0E00-00000F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E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E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sp macro="" textlink="">
            <xdr:nvSpPr>
              <xdr:cNvPr id="54290" name="Button 18" hidden="1">
                <a:extLst>
                  <a:ext uri="{63B3BB69-23CF-44E3-9099-C40C66FF867C}">
                    <a14:compatExt spid="_x0000_s54290"/>
                  </a:ext>
                  <a:ext uri="{FF2B5EF4-FFF2-40B4-BE49-F238E27FC236}">
                    <a16:creationId xmlns:a16="http://schemas.microsoft.com/office/drawing/2014/main" id="{00000000-0008-0000-0E00-000012D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4291" name="Button 19" hidden="1">
                <a:extLst>
                  <a:ext uri="{63B3BB69-23CF-44E3-9099-C40C66FF867C}">
                    <a14:compatExt spid="_x0000_s54291"/>
                  </a:ext>
                  <a:ext uri="{FF2B5EF4-FFF2-40B4-BE49-F238E27FC236}">
                    <a16:creationId xmlns:a16="http://schemas.microsoft.com/office/drawing/2014/main" id="{00000000-0008-0000-0E00-000013D4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sp macro="" textlink="">
                <xdr:nvSpPr>
                  <xdr:cNvPr id="55302" name="Option Button 6" hidden="1">
                    <a:extLst>
                      <a:ext uri="{63B3BB69-23CF-44E3-9099-C40C66FF867C}">
                        <a14:compatExt spid="_x0000_s55302"/>
                      </a:ext>
                      <a:ext uri="{FF2B5EF4-FFF2-40B4-BE49-F238E27FC236}">
                        <a16:creationId xmlns:a16="http://schemas.microsoft.com/office/drawing/2014/main" id="{00000000-0008-0000-0F00-000006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03" name="Option Button 7" hidden="1">
                    <a:extLst>
                      <a:ext uri="{63B3BB69-23CF-44E3-9099-C40C66FF867C}">
                        <a14:compatExt spid="_x0000_s55303"/>
                      </a:ext>
                      <a:ext uri="{FF2B5EF4-FFF2-40B4-BE49-F238E27FC236}">
                        <a16:creationId xmlns:a16="http://schemas.microsoft.com/office/drawing/2014/main" id="{00000000-0008-0000-0F00-000007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F00-000008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05" name="Option Button 9" hidden="1">
                    <a:extLst>
                      <a:ext uri="{63B3BB69-23CF-44E3-9099-C40C66FF867C}">
                        <a14:compatExt spid="_x0000_s55305"/>
                      </a:ext>
                      <a:ext uri="{FF2B5EF4-FFF2-40B4-BE49-F238E27FC236}">
                        <a16:creationId xmlns:a16="http://schemas.microsoft.com/office/drawing/2014/main" id="{00000000-0008-0000-0F00-000009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06" name="Group Box 10" hidden="1">
                  <a:extLst>
                    <a:ext uri="{63B3BB69-23CF-44E3-9099-C40C66FF867C}">
                      <a14:compatExt spid="_x0000_s55306"/>
                    </a:ext>
                    <a:ext uri="{FF2B5EF4-FFF2-40B4-BE49-F238E27FC236}">
                      <a16:creationId xmlns:a16="http://schemas.microsoft.com/office/drawing/2014/main" id="{00000000-0008-0000-0F00-00000A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sp macro="" textlink="">
              <xdr:nvSpPr>
                <xdr:cNvPr id="55307" name="Group Box 11" hidden="1">
                  <a:extLst>
                    <a:ext uri="{63B3BB69-23CF-44E3-9099-C40C66FF867C}">
                      <a14:compatExt spid="_x0000_s55307"/>
                    </a:ext>
                    <a:ext uri="{FF2B5EF4-FFF2-40B4-BE49-F238E27FC236}">
                      <a16:creationId xmlns:a16="http://schemas.microsoft.com/office/drawing/2014/main" id="{00000000-0008-0000-0F00-00000B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0F00-00000C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09" name="Button 13" hidden="1">
                    <a:extLst>
                      <a:ext uri="{63B3BB69-23CF-44E3-9099-C40C66FF867C}">
                        <a14:compatExt spid="_x0000_s55309"/>
                      </a:ext>
                      <a:ext uri="{FF2B5EF4-FFF2-40B4-BE49-F238E27FC236}">
                        <a16:creationId xmlns:a16="http://schemas.microsoft.com/office/drawing/2014/main" id="{00000000-0008-0000-0F00-00000D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10" name="Button 14" hidden="1">
                    <a:extLst>
                      <a:ext uri="{63B3BB69-23CF-44E3-9099-C40C66FF867C}">
                        <a14:compatExt spid="_x0000_s55310"/>
                      </a:ext>
                      <a:ext uri="{FF2B5EF4-FFF2-40B4-BE49-F238E27FC236}">
                        <a16:creationId xmlns:a16="http://schemas.microsoft.com/office/drawing/2014/main" id="{00000000-0008-0000-0F00-00000E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F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F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0F00-000011D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5314" name="Button 18" hidden="1">
                <a:extLst>
                  <a:ext uri="{63B3BB69-23CF-44E3-9099-C40C66FF867C}">
                    <a14:compatExt spid="_x0000_s55314"/>
                  </a:ext>
                  <a:ext uri="{FF2B5EF4-FFF2-40B4-BE49-F238E27FC236}">
                    <a16:creationId xmlns:a16="http://schemas.microsoft.com/office/drawing/2014/main" id="{00000000-0008-0000-0F00-000012D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0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10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000-000003D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1000-000004DC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1000-000006D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10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10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1000-000009D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1000-00000AD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1000-00000BD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1000-00000CD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10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000-00000ED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0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sp macro="" textlink="">
            <xdr:nvSpPr>
              <xdr:cNvPr id="57381" name="Button 37" hidden="1">
                <a:extLst>
                  <a:ext uri="{63B3BB69-23CF-44E3-9099-C40C66FF867C}">
                    <a14:compatExt spid="_x0000_s57381"/>
                  </a:ext>
                  <a:ext uri="{FF2B5EF4-FFF2-40B4-BE49-F238E27FC236}">
                    <a16:creationId xmlns:a16="http://schemas.microsoft.com/office/drawing/2014/main" id="{00000000-0008-0000-1100-000025E0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2" name="Button 38" hidden="1">
                <a:extLst>
                  <a:ext uri="{63B3BB69-23CF-44E3-9099-C40C66FF867C}">
                    <a14:compatExt spid="_x0000_s57382"/>
                  </a:ext>
                  <a:ext uri="{FF2B5EF4-FFF2-40B4-BE49-F238E27FC236}">
                    <a16:creationId xmlns:a16="http://schemas.microsoft.com/office/drawing/2014/main" id="{00000000-0008-0000-1100-000026E0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sp macro="" textlink="">
                <xdr:nvSpPr>
                  <xdr:cNvPr id="57360" name="Option Button 16" hidden="1">
                    <a:extLst>
                      <a:ext uri="{63B3BB69-23CF-44E3-9099-C40C66FF867C}">
                        <a14:compatExt spid="_x0000_s57360"/>
                      </a:ext>
                      <a:ext uri="{FF2B5EF4-FFF2-40B4-BE49-F238E27FC236}">
                        <a16:creationId xmlns:a16="http://schemas.microsoft.com/office/drawing/2014/main" id="{00000000-0008-0000-1100-000010E00000}"/>
                      </a:ext>
                    </a:extLst>
                  </xdr:cNvPr>
                  <xdr:cNvSpPr/>
                </xdr:nvSpPr>
                <xdr:spPr bwMode="auto">
                  <a:xfrm>
                    <a:off x="83058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7361" name="Option Button 17" hidden="1">
                    <a:extLst>
                      <a:ext uri="{63B3BB69-23CF-44E3-9099-C40C66FF867C}">
                        <a14:compatExt spid="_x0000_s57361"/>
                      </a:ext>
                      <a:ext uri="{FF2B5EF4-FFF2-40B4-BE49-F238E27FC236}">
                        <a16:creationId xmlns:a16="http://schemas.microsoft.com/office/drawing/2014/main" id="{00000000-0008-0000-1100-000011E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7362" name="Option Button 18" hidden="1">
                    <a:extLst>
                      <a:ext uri="{63B3BB69-23CF-44E3-9099-C40C66FF867C}">
                        <a14:compatExt spid="_x0000_s57362"/>
                      </a:ext>
                      <a:ext uri="{FF2B5EF4-FFF2-40B4-BE49-F238E27FC236}">
                        <a16:creationId xmlns:a16="http://schemas.microsoft.com/office/drawing/2014/main" id="{00000000-0008-0000-1100-000012E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7363" name="Option Button 19" hidden="1">
                    <a:extLst>
                      <a:ext uri="{63B3BB69-23CF-44E3-9099-C40C66FF867C}">
                        <a14:compatExt spid="_x0000_s57363"/>
                      </a:ext>
                      <a:ext uri="{FF2B5EF4-FFF2-40B4-BE49-F238E27FC236}">
                        <a16:creationId xmlns:a16="http://schemas.microsoft.com/office/drawing/2014/main" id="{00000000-0008-0000-1100-000013E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7364" name="Group Box 20" hidden="1">
                  <a:extLst>
                    <a:ext uri="{63B3BB69-23CF-44E3-9099-C40C66FF867C}">
                      <a14:compatExt spid="_x0000_s57364"/>
                    </a:ext>
                    <a:ext uri="{FF2B5EF4-FFF2-40B4-BE49-F238E27FC236}">
                      <a16:creationId xmlns:a16="http://schemas.microsoft.com/office/drawing/2014/main" id="{00000000-0008-0000-1100-000014E00000}"/>
                    </a:ext>
                  </a:extLst>
                </xdr:cNvPr>
                <xdr:cNvSpPr/>
              </xdr:nvSpPr>
              <xdr:spPr bwMode="auto">
                <a:xfrm>
                  <a:off x="8191498" y="3409950"/>
                  <a:ext cx="1990726"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sp macro="" textlink="">
              <xdr:nvSpPr>
                <xdr:cNvPr id="57365" name="Group Box 21" hidden="1">
                  <a:extLst>
                    <a:ext uri="{63B3BB69-23CF-44E3-9099-C40C66FF867C}">
                      <a14:compatExt spid="_x0000_s57365"/>
                    </a:ext>
                    <a:ext uri="{FF2B5EF4-FFF2-40B4-BE49-F238E27FC236}">
                      <a16:creationId xmlns:a16="http://schemas.microsoft.com/office/drawing/2014/main" id="{00000000-0008-0000-1100-000015E00000}"/>
                    </a:ext>
                  </a:extLst>
                </xdr:cNvPr>
                <xdr:cNvSpPr/>
              </xdr:nvSpPr>
              <xdr:spPr bwMode="auto">
                <a:xfrm>
                  <a:off x="6162674"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sp macro="" textlink="">
                <xdr:nvSpPr>
                  <xdr:cNvPr id="57366" name="Button 22" hidden="1">
                    <a:extLst>
                      <a:ext uri="{63B3BB69-23CF-44E3-9099-C40C66FF867C}">
                        <a14:compatExt spid="_x0000_s57366"/>
                      </a:ext>
                      <a:ext uri="{FF2B5EF4-FFF2-40B4-BE49-F238E27FC236}">
                        <a16:creationId xmlns:a16="http://schemas.microsoft.com/office/drawing/2014/main" id="{00000000-0008-0000-1100-000016E00000}"/>
                      </a:ext>
                    </a:extLst>
                  </xdr:cNvPr>
                  <xdr:cNvSpPr/>
                </xdr:nvSpPr>
                <xdr:spPr bwMode="auto">
                  <a:xfrm>
                    <a:off x="6029323"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7367" name="Button 23" hidden="1">
                    <a:extLst>
                      <a:ext uri="{63B3BB69-23CF-44E3-9099-C40C66FF867C}">
                        <a14:compatExt spid="_x0000_s57367"/>
                      </a:ext>
                      <a:ext uri="{FF2B5EF4-FFF2-40B4-BE49-F238E27FC236}">
                        <a16:creationId xmlns:a16="http://schemas.microsoft.com/office/drawing/2014/main" id="{00000000-0008-0000-1100-000017E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7368" name="Button 24" hidden="1">
                    <a:extLst>
                      <a:ext uri="{63B3BB69-23CF-44E3-9099-C40C66FF867C}">
                        <a14:compatExt spid="_x0000_s57368"/>
                      </a:ext>
                      <a:ext uri="{FF2B5EF4-FFF2-40B4-BE49-F238E27FC236}">
                        <a16:creationId xmlns:a16="http://schemas.microsoft.com/office/drawing/2014/main" id="{00000000-0008-0000-1100-000018E00000}"/>
                      </a:ext>
                    </a:extLst>
                  </xdr:cNvPr>
                  <xdr:cNvSpPr/>
                </xdr:nvSpPr>
                <xdr:spPr bwMode="auto">
                  <a:xfrm>
                    <a:off x="705802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sp macro="" textlink="">
            <xdr:nvSpPr>
              <xdr:cNvPr id="57377" name="Button 33" hidden="1">
                <a:extLst>
                  <a:ext uri="{63B3BB69-23CF-44E3-9099-C40C66FF867C}">
                    <a14:compatExt spid="_x0000_s57377"/>
                  </a:ext>
                  <a:ext uri="{FF2B5EF4-FFF2-40B4-BE49-F238E27FC236}">
                    <a16:creationId xmlns:a16="http://schemas.microsoft.com/office/drawing/2014/main" id="{00000000-0008-0000-1100-000021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78" name="Button 34" hidden="1">
                <a:extLst>
                  <a:ext uri="{63B3BB69-23CF-44E3-9099-C40C66FF867C}">
                    <a14:compatExt spid="_x0000_s57378"/>
                  </a:ext>
                  <a:ext uri="{FF2B5EF4-FFF2-40B4-BE49-F238E27FC236}">
                    <a16:creationId xmlns:a16="http://schemas.microsoft.com/office/drawing/2014/main" id="{00000000-0008-0000-1100-000022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59" y="3448050"/>
              <a:chExt cx="1190644" cy="257175"/>
            </a:xfrm>
          </xdr:grpSpPr>
          <xdr:sp macro="" textlink="">
            <xdr:nvSpPr>
              <xdr:cNvPr id="57387" name="Button 43" hidden="1">
                <a:extLst>
                  <a:ext uri="{63B3BB69-23CF-44E3-9099-C40C66FF867C}">
                    <a14:compatExt spid="_x0000_s57387"/>
                  </a:ext>
                  <a:ext uri="{FF2B5EF4-FFF2-40B4-BE49-F238E27FC236}">
                    <a16:creationId xmlns:a16="http://schemas.microsoft.com/office/drawing/2014/main" id="{00000000-0008-0000-1100-00002BE00000}"/>
                  </a:ext>
                </a:extLst>
              </xdr:cNvPr>
              <xdr:cNvSpPr/>
            </xdr:nvSpPr>
            <xdr:spPr bwMode="auto">
              <a:xfrm>
                <a:off x="8200959" y="3448050"/>
                <a:ext cx="51434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8" name="Button 44" hidden="1">
                <a:extLst>
                  <a:ext uri="{63B3BB69-23CF-44E3-9099-C40C66FF867C}">
                    <a14:compatExt spid="_x0000_s57388"/>
                  </a:ext>
                  <a:ext uri="{FF2B5EF4-FFF2-40B4-BE49-F238E27FC236}">
                    <a16:creationId xmlns:a16="http://schemas.microsoft.com/office/drawing/2014/main" id="{00000000-0008-0000-1100-00002CE00000}"/>
                  </a:ext>
                </a:extLst>
              </xdr:cNvPr>
              <xdr:cNvSpPr/>
            </xdr:nvSpPr>
            <xdr:spPr bwMode="auto">
              <a:xfrm>
                <a:off x="8848678"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sp macro="" textlink="">
            <xdr:nvSpPr>
              <xdr:cNvPr id="57394" name="Button 50" hidden="1">
                <a:extLst>
                  <a:ext uri="{63B3BB69-23CF-44E3-9099-C40C66FF867C}">
                    <a14:compatExt spid="_x0000_s57394"/>
                  </a:ext>
                  <a:ext uri="{FF2B5EF4-FFF2-40B4-BE49-F238E27FC236}">
                    <a16:creationId xmlns:a16="http://schemas.microsoft.com/office/drawing/2014/main" id="{00000000-0008-0000-1100-000032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95" name="Button 51" hidden="1">
                <a:extLst>
                  <a:ext uri="{63B3BB69-23CF-44E3-9099-C40C66FF867C}">
                    <a14:compatExt spid="_x0000_s57395"/>
                  </a:ext>
                  <a:ext uri="{FF2B5EF4-FFF2-40B4-BE49-F238E27FC236}">
                    <a16:creationId xmlns:a16="http://schemas.microsoft.com/office/drawing/2014/main" id="{00000000-0008-0000-1100-000033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sp macro="" textlink="">
          <xdr:nvSpPr>
            <xdr:cNvPr id="57400" name="Button 56" hidden="1">
              <a:extLst>
                <a:ext uri="{63B3BB69-23CF-44E3-9099-C40C66FF867C}">
                  <a14:compatExt spid="_x0000_s57400"/>
                </a:ext>
                <a:ext uri="{FF2B5EF4-FFF2-40B4-BE49-F238E27FC236}">
                  <a16:creationId xmlns:a16="http://schemas.microsoft.com/office/drawing/2014/main" id="{00000000-0008-0000-1100-000038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200-0000030402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200-0000040402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sp macro="" textlink="">
            <xdr:nvSpPr>
              <xdr:cNvPr id="132101" name="Button 5" hidden="1">
                <a:extLst>
                  <a:ext uri="{63B3BB69-23CF-44E3-9099-C40C66FF867C}">
                    <a14:compatExt spid="_x0000_s132101"/>
                  </a:ext>
                  <a:ext uri="{FF2B5EF4-FFF2-40B4-BE49-F238E27FC236}">
                    <a16:creationId xmlns:a16="http://schemas.microsoft.com/office/drawing/2014/main" id="{00000000-0008-0000-1200-0000050402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32102" name="Button 6" hidden="1">
                <a:extLst>
                  <a:ext uri="{63B3BB69-23CF-44E3-9099-C40C66FF867C}">
                    <a14:compatExt spid="_x0000_s132102"/>
                  </a:ext>
                  <a:ext uri="{FF2B5EF4-FFF2-40B4-BE49-F238E27FC236}">
                    <a16:creationId xmlns:a16="http://schemas.microsoft.com/office/drawing/2014/main" id="{00000000-0008-0000-1200-0000060402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sp macro="" textlink="">
          <xdr:nvSpPr>
            <xdr:cNvPr id="132103" name="Button 7" hidden="1">
              <a:extLst>
                <a:ext uri="{63B3BB69-23CF-44E3-9099-C40C66FF867C}">
                  <a14:compatExt spid="_x0000_s132103"/>
                </a:ext>
                <a:ext uri="{FF2B5EF4-FFF2-40B4-BE49-F238E27FC236}">
                  <a16:creationId xmlns:a16="http://schemas.microsoft.com/office/drawing/2014/main" id="{00000000-0008-0000-1200-0000070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495318</xdr:colOff>
          <xdr:row>0</xdr:row>
          <xdr:rowOff>123825</xdr:rowOff>
        </xdr:from>
        <xdr:to>
          <xdr:col>20</xdr:col>
          <xdr:colOff>1266797</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43" y="123825"/>
              <a:ext cx="3676604" cy="361950"/>
              <a:chOff x="6162693" y="3409950"/>
              <a:chExt cx="3695654"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3" y="3409950"/>
                <a:ext cx="1990714" cy="361950"/>
                <a:chOff x="8191483" y="3409950"/>
                <a:chExt cx="1990714"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sp macro="" textlink="">
                <xdr:nvSpPr>
                  <xdr:cNvPr id="58378" name="Option Button 10" hidden="1">
                    <a:extLst>
                      <a:ext uri="{63B3BB69-23CF-44E3-9099-C40C66FF867C}">
                        <a14:compatExt spid="_x0000_s58378"/>
                      </a:ext>
                      <a:ext uri="{FF2B5EF4-FFF2-40B4-BE49-F238E27FC236}">
                        <a16:creationId xmlns:a16="http://schemas.microsoft.com/office/drawing/2014/main" id="{00000000-0008-0000-1300-00000AE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8379" name="Option Button 11" hidden="1">
                    <a:extLst>
                      <a:ext uri="{63B3BB69-23CF-44E3-9099-C40C66FF867C}">
                        <a14:compatExt spid="_x0000_s58379"/>
                      </a:ext>
                      <a:ext uri="{FF2B5EF4-FFF2-40B4-BE49-F238E27FC236}">
                        <a16:creationId xmlns:a16="http://schemas.microsoft.com/office/drawing/2014/main" id="{00000000-0008-0000-1300-00000BE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1300-00000CE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1300-00000DE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1300-00000EE40000}"/>
                    </a:ext>
                  </a:extLst>
                </xdr:cNvPr>
                <xdr:cNvSpPr/>
              </xdr:nvSpPr>
              <xdr:spPr bwMode="auto">
                <a:xfrm>
                  <a:off x="8191483" y="3409950"/>
                  <a:ext cx="199071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93" y="3409950"/>
                <a:ext cx="1657365" cy="361950"/>
                <a:chOff x="6162693" y="3409950"/>
                <a:chExt cx="1657365" cy="361950"/>
              </a:xfrm>
            </xdr:grpSpPr>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1300-00000FE40000}"/>
                    </a:ext>
                  </a:extLst>
                </xdr:cNvPr>
                <xdr:cNvSpPr/>
              </xdr:nvSpPr>
              <xdr:spPr bwMode="auto">
                <a:xfrm>
                  <a:off x="6162693" y="3409950"/>
                  <a:ext cx="165736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sp macro="" textlink="">
                <xdr:nvSpPr>
                  <xdr:cNvPr id="58384" name="Button 16" hidden="1">
                    <a:extLst>
                      <a:ext uri="{63B3BB69-23CF-44E3-9099-C40C66FF867C}">
                        <a14:compatExt spid="_x0000_s58384"/>
                      </a:ext>
                      <a:ext uri="{FF2B5EF4-FFF2-40B4-BE49-F238E27FC236}">
                        <a16:creationId xmlns:a16="http://schemas.microsoft.com/office/drawing/2014/main" id="{00000000-0008-0000-1300-000010E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8385" name="Button 17" hidden="1">
                    <a:extLst>
                      <a:ext uri="{63B3BB69-23CF-44E3-9099-C40C66FF867C}">
                        <a14:compatExt spid="_x0000_s58385"/>
                      </a:ext>
                      <a:ext uri="{FF2B5EF4-FFF2-40B4-BE49-F238E27FC236}">
                        <a16:creationId xmlns:a16="http://schemas.microsoft.com/office/drawing/2014/main" id="{00000000-0008-0000-1300-000011E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8386" name="Button 18" hidden="1">
                    <a:extLst>
                      <a:ext uri="{63B3BB69-23CF-44E3-9099-C40C66FF867C}">
                        <a14:compatExt spid="_x0000_s58386"/>
                      </a:ext>
                      <a:ext uri="{FF2B5EF4-FFF2-40B4-BE49-F238E27FC236}">
                        <a16:creationId xmlns:a16="http://schemas.microsoft.com/office/drawing/2014/main" id="{00000000-0008-0000-1300-000012E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sp macro="" textlink="">
          <xdr:nvSpPr>
            <xdr:cNvPr id="58387" name="Button 19" hidden="1">
              <a:extLst>
                <a:ext uri="{63B3BB69-23CF-44E3-9099-C40C66FF867C}">
                  <a14:compatExt spid="_x0000_s58387"/>
                </a:ext>
                <a:ext uri="{FF2B5EF4-FFF2-40B4-BE49-F238E27FC236}">
                  <a16:creationId xmlns:a16="http://schemas.microsoft.com/office/drawing/2014/main" id="{00000000-0008-0000-1300-000013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57148</xdr:colOff>
          <xdr:row>0</xdr:row>
          <xdr:rowOff>104775</xdr:rowOff>
        </xdr:from>
        <xdr:to>
          <xdr:col>50</xdr:col>
          <xdr:colOff>857247</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3" y="104775"/>
              <a:ext cx="3324224" cy="361950"/>
              <a:chOff x="6162676" y="3409950"/>
              <a:chExt cx="3695704"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6" y="3409950"/>
                <a:ext cx="1990724" cy="361950"/>
                <a:chOff x="8191506"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8305799" y="3457575"/>
                    <a:ext cx="590549"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87757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1400-00000AE80000}"/>
                      </a:ext>
                    </a:extLst>
                  </xdr:cNvPr>
                  <xdr:cNvSpPr/>
                </xdr:nvSpPr>
                <xdr:spPr bwMode="auto">
                  <a:xfrm>
                    <a:off x="971550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1400-00000BE80000}"/>
                    </a:ext>
                  </a:extLst>
                </xdr:cNvPr>
                <xdr:cNvSpPr/>
              </xdr:nvSpPr>
              <xdr:spPr bwMode="auto">
                <a:xfrm>
                  <a:off x="8191506"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1400-00000CE80000}"/>
                    </a:ext>
                  </a:extLst>
                </xdr:cNvPr>
                <xdr:cNvSpPr/>
              </xdr:nvSpPr>
              <xdr:spPr bwMode="auto">
                <a:xfrm>
                  <a:off x="6162676" y="3409950"/>
                  <a:ext cx="165734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1400-00000DE80000}"/>
                      </a:ext>
                    </a:extLst>
                  </xdr:cNvPr>
                  <xdr:cNvSpPr/>
                </xdr:nvSpPr>
                <xdr:spPr bwMode="auto">
                  <a:xfrm>
                    <a:off x="6029325"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1400-00000EE80000}"/>
                      </a:ext>
                    </a:extLst>
                  </xdr:cNvPr>
                  <xdr:cNvSpPr/>
                </xdr:nvSpPr>
                <xdr:spPr bwMode="auto">
                  <a:xfrm>
                    <a:off x="6544314"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1400-00000FE80000}"/>
                      </a:ext>
                    </a:extLst>
                  </xdr:cNvPr>
                  <xdr:cNvSpPr/>
                </xdr:nvSpPr>
                <xdr:spPr bwMode="auto">
                  <a:xfrm>
                    <a:off x="7058027"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14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14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1400-000012E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9411" name="Button 19" hidden="1">
                <a:extLst>
                  <a:ext uri="{63B3BB69-23CF-44E3-9099-C40C66FF867C}">
                    <a14:compatExt spid="_x0000_s59411"/>
                  </a:ext>
                  <a:ext uri="{FF2B5EF4-FFF2-40B4-BE49-F238E27FC236}">
                    <a16:creationId xmlns:a16="http://schemas.microsoft.com/office/drawing/2014/main" id="{00000000-0008-0000-1400-000013E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14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sp macro="" textlink="">
                <xdr:nvSpPr>
                  <xdr:cNvPr id="60427" name="Option Button 11" hidden="1">
                    <a:extLst>
                      <a:ext uri="{63B3BB69-23CF-44E3-9099-C40C66FF867C}">
                        <a14:compatExt spid="_x0000_s60427"/>
                      </a:ext>
                      <a:ext uri="{FF2B5EF4-FFF2-40B4-BE49-F238E27FC236}">
                        <a16:creationId xmlns:a16="http://schemas.microsoft.com/office/drawing/2014/main" id="{00000000-0008-0000-1500-00000BE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0428" name="Option Button 12" hidden="1">
                    <a:extLst>
                      <a:ext uri="{63B3BB69-23CF-44E3-9099-C40C66FF867C}">
                        <a14:compatExt spid="_x0000_s60428"/>
                      </a:ext>
                      <a:ext uri="{FF2B5EF4-FFF2-40B4-BE49-F238E27FC236}">
                        <a16:creationId xmlns:a16="http://schemas.microsoft.com/office/drawing/2014/main" id="{00000000-0008-0000-1500-00000CE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0429" name="Option Button 13" hidden="1">
                    <a:extLst>
                      <a:ext uri="{63B3BB69-23CF-44E3-9099-C40C66FF867C}">
                        <a14:compatExt spid="_x0000_s60429"/>
                      </a:ext>
                      <a:ext uri="{FF2B5EF4-FFF2-40B4-BE49-F238E27FC236}">
                        <a16:creationId xmlns:a16="http://schemas.microsoft.com/office/drawing/2014/main" id="{00000000-0008-0000-1500-00000DE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0430" name="Option Button 14" hidden="1">
                    <a:extLst>
                      <a:ext uri="{63B3BB69-23CF-44E3-9099-C40C66FF867C}">
                        <a14:compatExt spid="_x0000_s60430"/>
                      </a:ext>
                      <a:ext uri="{FF2B5EF4-FFF2-40B4-BE49-F238E27FC236}">
                        <a16:creationId xmlns:a16="http://schemas.microsoft.com/office/drawing/2014/main" id="{00000000-0008-0000-1500-00000EE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0431" name="Group Box 15" hidden="1">
                  <a:extLst>
                    <a:ext uri="{63B3BB69-23CF-44E3-9099-C40C66FF867C}">
                      <a14:compatExt spid="_x0000_s60431"/>
                    </a:ext>
                    <a:ext uri="{FF2B5EF4-FFF2-40B4-BE49-F238E27FC236}">
                      <a16:creationId xmlns:a16="http://schemas.microsoft.com/office/drawing/2014/main" id="{00000000-0008-0000-1500-00000FE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sp macro="" textlink="">
              <xdr:nvSpPr>
                <xdr:cNvPr id="60432" name="Group Box 16" hidden="1">
                  <a:extLst>
                    <a:ext uri="{63B3BB69-23CF-44E3-9099-C40C66FF867C}">
                      <a14:compatExt spid="_x0000_s60432"/>
                    </a:ext>
                    <a:ext uri="{FF2B5EF4-FFF2-40B4-BE49-F238E27FC236}">
                      <a16:creationId xmlns:a16="http://schemas.microsoft.com/office/drawing/2014/main" id="{00000000-0008-0000-1500-000010E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sp macro="" textlink="">
                <xdr:nvSpPr>
                  <xdr:cNvPr id="60433" name="Button 17" hidden="1">
                    <a:extLst>
                      <a:ext uri="{63B3BB69-23CF-44E3-9099-C40C66FF867C}">
                        <a14:compatExt spid="_x0000_s60433"/>
                      </a:ext>
                      <a:ext uri="{FF2B5EF4-FFF2-40B4-BE49-F238E27FC236}">
                        <a16:creationId xmlns:a16="http://schemas.microsoft.com/office/drawing/2014/main" id="{00000000-0008-0000-1500-000011E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0434" name="Button 18" hidden="1">
                    <a:extLst>
                      <a:ext uri="{63B3BB69-23CF-44E3-9099-C40C66FF867C}">
                        <a14:compatExt spid="_x0000_s60434"/>
                      </a:ext>
                      <a:ext uri="{FF2B5EF4-FFF2-40B4-BE49-F238E27FC236}">
                        <a16:creationId xmlns:a16="http://schemas.microsoft.com/office/drawing/2014/main" id="{00000000-0008-0000-1500-000012E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0435" name="Button 19" hidden="1">
                    <a:extLst>
                      <a:ext uri="{63B3BB69-23CF-44E3-9099-C40C66FF867C}">
                        <a14:compatExt spid="_x0000_s60435"/>
                      </a:ext>
                      <a:ext uri="{FF2B5EF4-FFF2-40B4-BE49-F238E27FC236}">
                        <a16:creationId xmlns:a16="http://schemas.microsoft.com/office/drawing/2014/main" id="{00000000-0008-0000-1500-000013E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sp macro="" textlink="">
            <xdr:nvSpPr>
              <xdr:cNvPr id="60436" name="Button 20" hidden="1">
                <a:extLst>
                  <a:ext uri="{63B3BB69-23CF-44E3-9099-C40C66FF867C}">
                    <a14:compatExt spid="_x0000_s60436"/>
                  </a:ext>
                  <a:ext uri="{FF2B5EF4-FFF2-40B4-BE49-F238E27FC236}">
                    <a16:creationId xmlns:a16="http://schemas.microsoft.com/office/drawing/2014/main" id="{00000000-0008-0000-1500-000014E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0437" name="Button 21" hidden="1">
                <a:extLst>
                  <a:ext uri="{63B3BB69-23CF-44E3-9099-C40C66FF867C}">
                    <a14:compatExt spid="_x0000_s60437"/>
                  </a:ext>
                  <a:ext uri="{FF2B5EF4-FFF2-40B4-BE49-F238E27FC236}">
                    <a16:creationId xmlns:a16="http://schemas.microsoft.com/office/drawing/2014/main" id="{00000000-0008-0000-1500-000015E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sp macro="" textlink="">
            <xdr:nvSpPr>
              <xdr:cNvPr id="60438" name="Button 22" hidden="1">
                <a:extLst>
                  <a:ext uri="{63B3BB69-23CF-44E3-9099-C40C66FF867C}">
                    <a14:compatExt spid="_x0000_s60438"/>
                  </a:ext>
                  <a:ext uri="{FF2B5EF4-FFF2-40B4-BE49-F238E27FC236}">
                    <a16:creationId xmlns:a16="http://schemas.microsoft.com/office/drawing/2014/main" id="{00000000-0008-0000-1500-000016E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0439" name="Button 23" hidden="1">
                <a:extLst>
                  <a:ext uri="{63B3BB69-23CF-44E3-9099-C40C66FF867C}">
                    <a14:compatExt spid="_x0000_s60439"/>
                  </a:ext>
                  <a:ext uri="{FF2B5EF4-FFF2-40B4-BE49-F238E27FC236}">
                    <a16:creationId xmlns:a16="http://schemas.microsoft.com/office/drawing/2014/main" id="{00000000-0008-0000-1500-000017EC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8543925" y="57150"/>
              <a:ext cx="1104900" cy="257175"/>
              <a:chOff x="0" y="57148"/>
              <a:chExt cx="0" cy="1514477"/>
            </a:xfrm>
          </xdr:grpSpPr>
          <xdr:sp macro="" textlink="">
            <xdr:nvSpPr>
              <xdr:cNvPr id="61447" name="Button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48" name="Button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5591175" y="57150"/>
              <a:ext cx="1104900" cy="257175"/>
              <a:chOff x="0" y="57148"/>
              <a:chExt cx="0" cy="1514477"/>
            </a:xfrm>
          </xdr:grpSpPr>
          <xdr:sp macro="" textlink="">
            <xdr:nvSpPr>
              <xdr:cNvPr id="61449" name="Button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1600-00000A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819150" y="57150"/>
              <a:ext cx="1104900" cy="257175"/>
              <a:chOff x="0" y="57148"/>
              <a:chExt cx="0" cy="1514477"/>
            </a:xfrm>
          </xdr:grpSpPr>
          <xdr:sp macro="" textlink="">
            <xdr:nvSpPr>
              <xdr:cNvPr id="61451" name="Button 11" hidden="1">
                <a:extLst>
                  <a:ext uri="{63B3BB69-23CF-44E3-9099-C40C66FF867C}">
                    <a14:compatExt spid="_x0000_s61451"/>
                  </a:ext>
                  <a:ext uri="{FF2B5EF4-FFF2-40B4-BE49-F238E27FC236}">
                    <a16:creationId xmlns:a16="http://schemas.microsoft.com/office/drawing/2014/main" id="{00000000-0008-0000-1600-00000B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2" name="Button 12" hidden="1">
                <a:extLst>
                  <a:ext uri="{63B3BB69-23CF-44E3-9099-C40C66FF867C}">
                    <a14:compatExt spid="_x0000_s61452"/>
                  </a:ext>
                  <a:ext uri="{FF2B5EF4-FFF2-40B4-BE49-F238E27FC236}">
                    <a16:creationId xmlns:a16="http://schemas.microsoft.com/office/drawing/2014/main" id="{00000000-0008-0000-1600-00000C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1372552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16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16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16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16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16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13725525"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16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16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16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16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4544675"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16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16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16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3354705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16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16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98" y="3448050"/>
              <a:chExt cx="1190605" cy="257175"/>
            </a:xfrm>
          </xdr:grpSpPr>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8201098" y="3448050"/>
                <a:ext cx="514352"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8848780" y="3448050"/>
                <a:ext cx="54292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17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17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17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17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17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17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17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17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17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17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17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1700-000019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1700-00001A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sp macro="" textlink="">
                <xdr:nvSpPr>
                  <xdr:cNvPr id="63494" name="Option Button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3495" name="Option Button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3496" name="Option Button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3497" name="Option Button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3498" name="Group Box 10" hidden="1">
                  <a:extLst>
                    <a:ext uri="{63B3BB69-23CF-44E3-9099-C40C66FF867C}">
                      <a14:compatExt spid="_x0000_s63498"/>
                    </a:ext>
                    <a:ext uri="{FF2B5EF4-FFF2-40B4-BE49-F238E27FC236}">
                      <a16:creationId xmlns:a16="http://schemas.microsoft.com/office/drawing/2014/main" id="{00000000-0008-0000-1800-00000AF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sp macro="" textlink="">
              <xdr:nvSpPr>
                <xdr:cNvPr id="63499" name="Group Box 11" hidden="1">
                  <a:extLst>
                    <a:ext uri="{63B3BB69-23CF-44E3-9099-C40C66FF867C}">
                      <a14:compatExt spid="_x0000_s63499"/>
                    </a:ext>
                    <a:ext uri="{FF2B5EF4-FFF2-40B4-BE49-F238E27FC236}">
                      <a16:creationId xmlns:a16="http://schemas.microsoft.com/office/drawing/2014/main" id="{00000000-0008-0000-1800-00000BF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1800-00000CF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1800-00000DF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1800-00000EF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sp macro="" textlink="">
            <xdr:nvSpPr>
              <xdr:cNvPr id="63503" name="Button 15" hidden="1">
                <a:extLst>
                  <a:ext uri="{63B3BB69-23CF-44E3-9099-C40C66FF867C}">
                    <a14:compatExt spid="_x0000_s63503"/>
                  </a:ext>
                  <a:ext uri="{FF2B5EF4-FFF2-40B4-BE49-F238E27FC236}">
                    <a16:creationId xmlns:a16="http://schemas.microsoft.com/office/drawing/2014/main" id="{00000000-0008-0000-1800-00000FF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3504" name="Button 16" hidden="1">
                <a:extLst>
                  <a:ext uri="{63B3BB69-23CF-44E3-9099-C40C66FF867C}">
                    <a14:compatExt spid="_x0000_s63504"/>
                  </a:ext>
                  <a:ext uri="{FF2B5EF4-FFF2-40B4-BE49-F238E27FC236}">
                    <a16:creationId xmlns:a16="http://schemas.microsoft.com/office/drawing/2014/main" id="{00000000-0008-0000-1800-000010F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sp macro="" textlink="">
            <xdr:nvSpPr>
              <xdr:cNvPr id="63505" name="Button 17" hidden="1">
                <a:extLst>
                  <a:ext uri="{63B3BB69-23CF-44E3-9099-C40C66FF867C}">
                    <a14:compatExt spid="_x0000_s63505"/>
                  </a:ext>
                  <a:ext uri="{FF2B5EF4-FFF2-40B4-BE49-F238E27FC236}">
                    <a16:creationId xmlns:a16="http://schemas.microsoft.com/office/drawing/2014/main" id="{00000000-0008-0000-1800-000011F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3506" name="Button 18" hidden="1">
                <a:extLst>
                  <a:ext uri="{63B3BB69-23CF-44E3-9099-C40C66FF867C}">
                    <a14:compatExt spid="_x0000_s63506"/>
                  </a:ext>
                  <a:ext uri="{FF2B5EF4-FFF2-40B4-BE49-F238E27FC236}">
                    <a16:creationId xmlns:a16="http://schemas.microsoft.com/office/drawing/2014/main" id="{00000000-0008-0000-1800-000012F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sp macro="" textlink="">
          <xdr:nvSpPr>
            <xdr:cNvPr id="63508" name="Button 20" hidden="1">
              <a:extLst>
                <a:ext uri="{63B3BB69-23CF-44E3-9099-C40C66FF867C}">
                  <a14:compatExt spid="_x0000_s63508"/>
                </a:ext>
                <a:ext uri="{FF2B5EF4-FFF2-40B4-BE49-F238E27FC236}">
                  <a16:creationId xmlns:a16="http://schemas.microsoft.com/office/drawing/2014/main" id="{00000000-0008-0000-1800-00001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sp macro="" textlink="">
                <xdr:nvSpPr>
                  <xdr:cNvPr id="66566" name="Option 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6567" name="Option 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6568" name="Option 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6569" name="Option 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6570" name="Group Box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sp macro="" textlink="">
              <xdr:nvSpPr>
                <xdr:cNvPr id="66571" name="Group Box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6573" name="Button 13" hidden="1">
                    <a:extLst>
                      <a:ext uri="{63B3BB69-23CF-44E3-9099-C40C66FF867C}">
                        <a14:compatExt spid="_x0000_s66573"/>
                      </a:ext>
                      <a:ext uri="{FF2B5EF4-FFF2-40B4-BE49-F238E27FC236}">
                        <a16:creationId xmlns:a16="http://schemas.microsoft.com/office/drawing/2014/main" id="{00000000-0008-0000-1900-00000D0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sp macro="" textlink="">
            <xdr:nvSpPr>
              <xdr:cNvPr id="66575" name="Button 15"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6576" name="Button 16" hidden="1">
                <a:extLst>
                  <a:ext uri="{63B3BB69-23CF-44E3-9099-C40C66FF867C}">
                    <a14:compatExt spid="_x0000_s66576"/>
                  </a:ext>
                  <a:ext uri="{FF2B5EF4-FFF2-40B4-BE49-F238E27FC236}">
                    <a16:creationId xmlns:a16="http://schemas.microsoft.com/office/drawing/2014/main" id="{00000000-0008-0000-1900-0000100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sp macro="" textlink="">
            <xdr:nvSpPr>
              <xdr:cNvPr id="66577" name="Button 17" hidden="1">
                <a:extLst>
                  <a:ext uri="{63B3BB69-23CF-44E3-9099-C40C66FF867C}">
                    <a14:compatExt spid="_x0000_s66577"/>
                  </a:ext>
                  <a:ext uri="{FF2B5EF4-FFF2-40B4-BE49-F238E27FC236}">
                    <a16:creationId xmlns:a16="http://schemas.microsoft.com/office/drawing/2014/main" id="{00000000-0008-0000-1900-0000110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6578" name="Button 18" hidden="1">
                <a:extLst>
                  <a:ext uri="{63B3BB69-23CF-44E3-9099-C40C66FF867C}">
                    <a14:compatExt spid="_x0000_s66578"/>
                  </a:ext>
                  <a:ext uri="{FF2B5EF4-FFF2-40B4-BE49-F238E27FC236}">
                    <a16:creationId xmlns:a16="http://schemas.microsoft.com/office/drawing/2014/main" id="{00000000-0008-0000-1900-0000120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sp macro="" textlink="">
                <xdr:nvSpPr>
                  <xdr:cNvPr id="64518" name="Option Button 6" hidden="1">
                    <a:extLst>
                      <a:ext uri="{63B3BB69-23CF-44E3-9099-C40C66FF867C}">
                        <a14:compatExt spid="_x0000_s64518"/>
                      </a:ext>
                      <a:ext uri="{FF2B5EF4-FFF2-40B4-BE49-F238E27FC236}">
                        <a16:creationId xmlns:a16="http://schemas.microsoft.com/office/drawing/2014/main" id="{00000000-0008-0000-1A00-000006F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4519" name="Option Button 7" hidden="1">
                    <a:extLst>
                      <a:ext uri="{63B3BB69-23CF-44E3-9099-C40C66FF867C}">
                        <a14:compatExt spid="_x0000_s64519"/>
                      </a:ext>
                      <a:ext uri="{FF2B5EF4-FFF2-40B4-BE49-F238E27FC236}">
                        <a16:creationId xmlns:a16="http://schemas.microsoft.com/office/drawing/2014/main" id="{00000000-0008-0000-1A00-000007F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4520" name="Option Button 8" hidden="1">
                    <a:extLst>
                      <a:ext uri="{63B3BB69-23CF-44E3-9099-C40C66FF867C}">
                        <a14:compatExt spid="_x0000_s64520"/>
                      </a:ext>
                      <a:ext uri="{FF2B5EF4-FFF2-40B4-BE49-F238E27FC236}">
                        <a16:creationId xmlns:a16="http://schemas.microsoft.com/office/drawing/2014/main" id="{00000000-0008-0000-1A00-000008F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4521" name="Option Button 9" hidden="1">
                    <a:extLst>
                      <a:ext uri="{63B3BB69-23CF-44E3-9099-C40C66FF867C}">
                        <a14:compatExt spid="_x0000_s64521"/>
                      </a:ext>
                      <a:ext uri="{FF2B5EF4-FFF2-40B4-BE49-F238E27FC236}">
                        <a16:creationId xmlns:a16="http://schemas.microsoft.com/office/drawing/2014/main" id="{00000000-0008-0000-1A00-000009F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4522" name="Group Box 10" hidden="1">
                  <a:extLst>
                    <a:ext uri="{63B3BB69-23CF-44E3-9099-C40C66FF867C}">
                      <a14:compatExt spid="_x0000_s64522"/>
                    </a:ext>
                    <a:ext uri="{FF2B5EF4-FFF2-40B4-BE49-F238E27FC236}">
                      <a16:creationId xmlns:a16="http://schemas.microsoft.com/office/drawing/2014/main" id="{00000000-0008-0000-1A00-00000AF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sp macro="" textlink="">
              <xdr:nvSpPr>
                <xdr:cNvPr id="64523" name="Group Box 11" hidden="1">
                  <a:extLst>
                    <a:ext uri="{63B3BB69-23CF-44E3-9099-C40C66FF867C}">
                      <a14:compatExt spid="_x0000_s64523"/>
                    </a:ext>
                    <a:ext uri="{FF2B5EF4-FFF2-40B4-BE49-F238E27FC236}">
                      <a16:creationId xmlns:a16="http://schemas.microsoft.com/office/drawing/2014/main" id="{00000000-0008-0000-1A00-00000BF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sp macro="" textlink="">
                <xdr:nvSpPr>
                  <xdr:cNvPr id="64524" name="Button 12" hidden="1">
                    <a:extLst>
                      <a:ext uri="{63B3BB69-23CF-44E3-9099-C40C66FF867C}">
                        <a14:compatExt spid="_x0000_s64524"/>
                      </a:ext>
                      <a:ext uri="{FF2B5EF4-FFF2-40B4-BE49-F238E27FC236}">
                        <a16:creationId xmlns:a16="http://schemas.microsoft.com/office/drawing/2014/main" id="{00000000-0008-0000-1A00-00000CF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A00-00000DF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4526" name="Button 14" hidden="1">
                    <a:extLst>
                      <a:ext uri="{63B3BB69-23CF-44E3-9099-C40C66FF867C}">
                        <a14:compatExt spid="_x0000_s64526"/>
                      </a:ext>
                      <a:ext uri="{FF2B5EF4-FFF2-40B4-BE49-F238E27FC236}">
                        <a16:creationId xmlns:a16="http://schemas.microsoft.com/office/drawing/2014/main" id="{00000000-0008-0000-1A00-00000EF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A00-00000FF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A00-000010F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63" y="3448050"/>
              <a:chExt cx="1095379" cy="257175"/>
            </a:xfrm>
          </xdr:grpSpPr>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A00-000011FC0000}"/>
                  </a:ext>
                </a:extLst>
              </xdr:cNvPr>
              <xdr:cNvSpPr/>
            </xdr:nvSpPr>
            <xdr:spPr bwMode="auto">
              <a:xfrm>
                <a:off x="8200763"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A00-000012FC0000}"/>
                  </a:ext>
                </a:extLst>
              </xdr:cNvPr>
              <xdr:cNvSpPr/>
            </xdr:nvSpPr>
            <xdr:spPr bwMode="auto">
              <a:xfrm>
                <a:off x="8753217"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A00-000015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1B00-0000060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1B00-0000070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5544" name="Option Button 8" hidden="1">
                    <a:extLst>
                      <a:ext uri="{63B3BB69-23CF-44E3-9099-C40C66FF867C}">
                        <a14:compatExt spid="_x0000_s65544"/>
                      </a:ext>
                      <a:ext uri="{FF2B5EF4-FFF2-40B4-BE49-F238E27FC236}">
                        <a16:creationId xmlns:a16="http://schemas.microsoft.com/office/drawing/2014/main" id="{00000000-0008-0000-1B00-0000080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5545" name="Option Button 9" hidden="1">
                    <a:extLst>
                      <a:ext uri="{63B3BB69-23CF-44E3-9099-C40C66FF867C}">
                        <a14:compatExt spid="_x0000_s65545"/>
                      </a:ext>
                      <a:ext uri="{FF2B5EF4-FFF2-40B4-BE49-F238E27FC236}">
                        <a16:creationId xmlns:a16="http://schemas.microsoft.com/office/drawing/2014/main" id="{00000000-0008-0000-1B00-0000090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5546" name="Group Box 10" hidden="1">
                  <a:extLst>
                    <a:ext uri="{63B3BB69-23CF-44E3-9099-C40C66FF867C}">
                      <a14:compatExt spid="_x0000_s65546"/>
                    </a:ext>
                    <a:ext uri="{FF2B5EF4-FFF2-40B4-BE49-F238E27FC236}">
                      <a16:creationId xmlns:a16="http://schemas.microsoft.com/office/drawing/2014/main" id="{00000000-0008-0000-1B00-00000A0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sp macro="" textlink="">
              <xdr:nvSpPr>
                <xdr:cNvPr id="65547" name="Group Box 11" hidden="1">
                  <a:extLst>
                    <a:ext uri="{63B3BB69-23CF-44E3-9099-C40C66FF867C}">
                      <a14:compatExt spid="_x0000_s65547"/>
                    </a:ext>
                    <a:ext uri="{FF2B5EF4-FFF2-40B4-BE49-F238E27FC236}">
                      <a16:creationId xmlns:a16="http://schemas.microsoft.com/office/drawing/2014/main" id="{00000000-0008-0000-1B00-00000B0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1B00-00000C0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1B00-00000D0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5550" name="Button 14" hidden="1">
                    <a:extLst>
                      <a:ext uri="{63B3BB69-23CF-44E3-9099-C40C66FF867C}">
                        <a14:compatExt spid="_x0000_s65550"/>
                      </a:ext>
                      <a:ext uri="{FF2B5EF4-FFF2-40B4-BE49-F238E27FC236}">
                        <a16:creationId xmlns:a16="http://schemas.microsoft.com/office/drawing/2014/main" id="{00000000-0008-0000-1B00-00000E0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B00-00000F0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5552" name="Button 16" hidden="1">
                <a:extLst>
                  <a:ext uri="{63B3BB69-23CF-44E3-9099-C40C66FF867C}">
                    <a14:compatExt spid="_x0000_s65552"/>
                  </a:ext>
                  <a:ext uri="{FF2B5EF4-FFF2-40B4-BE49-F238E27FC236}">
                    <a16:creationId xmlns:a16="http://schemas.microsoft.com/office/drawing/2014/main" id="{00000000-0008-0000-1B00-0000100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sp macro="" textlink="">
            <xdr:nvSpPr>
              <xdr:cNvPr id="65553" name="Button 17" hidden="1">
                <a:extLst>
                  <a:ext uri="{63B3BB69-23CF-44E3-9099-C40C66FF867C}">
                    <a14:compatExt spid="_x0000_s65553"/>
                  </a:ext>
                  <a:ext uri="{FF2B5EF4-FFF2-40B4-BE49-F238E27FC236}">
                    <a16:creationId xmlns:a16="http://schemas.microsoft.com/office/drawing/2014/main" id="{00000000-0008-0000-1B00-0000110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5554" name="Button 18" hidden="1">
                <a:extLst>
                  <a:ext uri="{63B3BB69-23CF-44E3-9099-C40C66FF867C}">
                    <a14:compatExt spid="_x0000_s65554"/>
                  </a:ext>
                  <a:ext uri="{FF2B5EF4-FFF2-40B4-BE49-F238E27FC236}">
                    <a16:creationId xmlns:a16="http://schemas.microsoft.com/office/drawing/2014/main" id="{00000000-0008-0000-1B00-0000120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40</xdr:col>
          <xdr:colOff>28575</xdr:colOff>
          <xdr:row>1</xdr:row>
          <xdr:rowOff>200025</xdr:rowOff>
        </xdr:from>
        <xdr:to>
          <xdr:col>48</xdr:col>
          <xdr:colOff>57150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C00-000009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39350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sp macro="" textlink="">
                <xdr:nvSpPr>
                  <xdr:cNvPr id="67595" name="Option Button 11" hidden="1">
                    <a:extLst>
                      <a:ext uri="{63B3BB69-23CF-44E3-9099-C40C66FF867C}">
                        <a14:compatExt spid="_x0000_s67595"/>
                      </a:ext>
                      <a:ext uri="{FF2B5EF4-FFF2-40B4-BE49-F238E27FC236}">
                        <a16:creationId xmlns:a16="http://schemas.microsoft.com/office/drawing/2014/main" id="{00000000-0008-0000-1C00-00000B0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7596" name="Option Button 12" hidden="1">
                    <a:extLst>
                      <a:ext uri="{63B3BB69-23CF-44E3-9099-C40C66FF867C}">
                        <a14:compatExt spid="_x0000_s67596"/>
                      </a:ext>
                      <a:ext uri="{FF2B5EF4-FFF2-40B4-BE49-F238E27FC236}">
                        <a16:creationId xmlns:a16="http://schemas.microsoft.com/office/drawing/2014/main" id="{00000000-0008-0000-1C00-00000C0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7597" name="Option Button 13" hidden="1">
                    <a:extLst>
                      <a:ext uri="{63B3BB69-23CF-44E3-9099-C40C66FF867C}">
                        <a14:compatExt spid="_x0000_s67597"/>
                      </a:ext>
                      <a:ext uri="{FF2B5EF4-FFF2-40B4-BE49-F238E27FC236}">
                        <a16:creationId xmlns:a16="http://schemas.microsoft.com/office/drawing/2014/main" id="{00000000-0008-0000-1C00-00000D0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7598" name="Option Button 14" hidden="1">
                    <a:extLst>
                      <a:ext uri="{63B3BB69-23CF-44E3-9099-C40C66FF867C}">
                        <a14:compatExt spid="_x0000_s67598"/>
                      </a:ext>
                      <a:ext uri="{FF2B5EF4-FFF2-40B4-BE49-F238E27FC236}">
                        <a16:creationId xmlns:a16="http://schemas.microsoft.com/office/drawing/2014/main" id="{00000000-0008-0000-1C00-00000E0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7599" name="Group Box 15" hidden="1">
                  <a:extLst>
                    <a:ext uri="{63B3BB69-23CF-44E3-9099-C40C66FF867C}">
                      <a14:compatExt spid="_x0000_s67599"/>
                    </a:ext>
                    <a:ext uri="{FF2B5EF4-FFF2-40B4-BE49-F238E27FC236}">
                      <a16:creationId xmlns:a16="http://schemas.microsoft.com/office/drawing/2014/main" id="{00000000-0008-0000-1C00-00000F0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sp macro="" textlink="">
              <xdr:nvSpPr>
                <xdr:cNvPr id="67600" name="Group Box 16" hidden="1">
                  <a:extLst>
                    <a:ext uri="{63B3BB69-23CF-44E3-9099-C40C66FF867C}">
                      <a14:compatExt spid="_x0000_s67600"/>
                    </a:ext>
                    <a:ext uri="{FF2B5EF4-FFF2-40B4-BE49-F238E27FC236}">
                      <a16:creationId xmlns:a16="http://schemas.microsoft.com/office/drawing/2014/main" id="{00000000-0008-0000-1C00-0000100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sp macro="" textlink="">
                <xdr:nvSpPr>
                  <xdr:cNvPr id="67601" name="Button 17" hidden="1">
                    <a:extLst>
                      <a:ext uri="{63B3BB69-23CF-44E3-9099-C40C66FF867C}">
                        <a14:compatExt spid="_x0000_s67601"/>
                      </a:ext>
                      <a:ext uri="{FF2B5EF4-FFF2-40B4-BE49-F238E27FC236}">
                        <a16:creationId xmlns:a16="http://schemas.microsoft.com/office/drawing/2014/main" id="{00000000-0008-0000-1C00-0000110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7602" name="Button 18" hidden="1">
                    <a:extLst>
                      <a:ext uri="{63B3BB69-23CF-44E3-9099-C40C66FF867C}">
                        <a14:compatExt spid="_x0000_s67602"/>
                      </a:ext>
                      <a:ext uri="{FF2B5EF4-FFF2-40B4-BE49-F238E27FC236}">
                        <a16:creationId xmlns:a16="http://schemas.microsoft.com/office/drawing/2014/main" id="{00000000-0008-0000-1C00-0000120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7603" name="Button 19" hidden="1">
                    <a:extLst>
                      <a:ext uri="{63B3BB69-23CF-44E3-9099-C40C66FF867C}">
                        <a14:compatExt spid="_x0000_s67603"/>
                      </a:ext>
                      <a:ext uri="{FF2B5EF4-FFF2-40B4-BE49-F238E27FC236}">
                        <a16:creationId xmlns:a16="http://schemas.microsoft.com/office/drawing/2014/main" id="{00000000-0008-0000-1C00-0000130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sp macro="" textlink="">
            <xdr:nvSpPr>
              <xdr:cNvPr id="67604" name="Button 20" hidden="1">
                <a:extLst>
                  <a:ext uri="{63B3BB69-23CF-44E3-9099-C40C66FF867C}">
                    <a14:compatExt spid="_x0000_s67604"/>
                  </a:ext>
                  <a:ext uri="{FF2B5EF4-FFF2-40B4-BE49-F238E27FC236}">
                    <a16:creationId xmlns:a16="http://schemas.microsoft.com/office/drawing/2014/main" id="{00000000-0008-0000-1C00-0000140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7605" name="Button 21" hidden="1">
                <a:extLst>
                  <a:ext uri="{63B3BB69-23CF-44E3-9099-C40C66FF867C}">
                    <a14:compatExt spid="_x0000_s67605"/>
                  </a:ext>
                  <a:ext uri="{FF2B5EF4-FFF2-40B4-BE49-F238E27FC236}">
                    <a16:creationId xmlns:a16="http://schemas.microsoft.com/office/drawing/2014/main" id="{00000000-0008-0000-1C00-0000150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38100</xdr:colOff>
          <xdr:row>0</xdr:row>
          <xdr:rowOff>104775</xdr:rowOff>
        </xdr:from>
        <xdr:to>
          <xdr:col>39</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35509200" y="104775"/>
              <a:ext cx="1095375" cy="257175"/>
              <a:chOff x="8201025" y="3448050"/>
              <a:chExt cx="1095375" cy="257175"/>
            </a:xfrm>
          </xdr:grpSpPr>
          <xdr:sp macro="" textlink="">
            <xdr:nvSpPr>
              <xdr:cNvPr id="67606" name="Button 22" hidden="1">
                <a:extLst>
                  <a:ext uri="{63B3BB69-23CF-44E3-9099-C40C66FF867C}">
                    <a14:compatExt spid="_x0000_s67606"/>
                  </a:ext>
                  <a:ext uri="{FF2B5EF4-FFF2-40B4-BE49-F238E27FC236}">
                    <a16:creationId xmlns:a16="http://schemas.microsoft.com/office/drawing/2014/main" id="{00000000-0008-0000-1C00-0000160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7607" name="Button 23" hidden="1">
                <a:extLst>
                  <a:ext uri="{63B3BB69-23CF-44E3-9099-C40C66FF867C}">
                    <a14:compatExt spid="_x0000_s67607"/>
                  </a:ext>
                  <a:ext uri="{FF2B5EF4-FFF2-40B4-BE49-F238E27FC236}">
                    <a16:creationId xmlns:a16="http://schemas.microsoft.com/office/drawing/2014/main" id="{00000000-0008-0000-1C00-0000170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D00-0000010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D00-0000020C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D00-0000030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D00-0000040C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D00-000005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1D00-0000080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8617" name="Option Button 9" hidden="1">
                    <a:extLst>
                      <a:ext uri="{63B3BB69-23CF-44E3-9099-C40C66FF867C}">
                        <a14:compatExt spid="_x0000_s68617"/>
                      </a:ext>
                      <a:ext uri="{FF2B5EF4-FFF2-40B4-BE49-F238E27FC236}">
                        <a16:creationId xmlns:a16="http://schemas.microsoft.com/office/drawing/2014/main" id="{00000000-0008-0000-1D00-0000090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8618" name="Option Button 10" hidden="1">
                    <a:extLst>
                      <a:ext uri="{63B3BB69-23CF-44E3-9099-C40C66FF867C}">
                        <a14:compatExt spid="_x0000_s68618"/>
                      </a:ext>
                      <a:ext uri="{FF2B5EF4-FFF2-40B4-BE49-F238E27FC236}">
                        <a16:creationId xmlns:a16="http://schemas.microsoft.com/office/drawing/2014/main" id="{00000000-0008-0000-1D00-00000A0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1D00-00000B0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8620" name="Group Box 12" hidden="1">
                  <a:extLst>
                    <a:ext uri="{63B3BB69-23CF-44E3-9099-C40C66FF867C}">
                      <a14:compatExt spid="_x0000_s68620"/>
                    </a:ext>
                    <a:ext uri="{FF2B5EF4-FFF2-40B4-BE49-F238E27FC236}">
                      <a16:creationId xmlns:a16="http://schemas.microsoft.com/office/drawing/2014/main" id="{00000000-0008-0000-1D00-00000C0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sp macro="" textlink="">
              <xdr:nvSpPr>
                <xdr:cNvPr id="68621" name="Group Box 13" hidden="1">
                  <a:extLst>
                    <a:ext uri="{63B3BB69-23CF-44E3-9099-C40C66FF867C}">
                      <a14:compatExt spid="_x0000_s68621"/>
                    </a:ext>
                    <a:ext uri="{FF2B5EF4-FFF2-40B4-BE49-F238E27FC236}">
                      <a16:creationId xmlns:a16="http://schemas.microsoft.com/office/drawing/2014/main" id="{00000000-0008-0000-1D00-00000D0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sp macro="" textlink="">
                <xdr:nvSpPr>
                  <xdr:cNvPr id="68622" name="Button 14" hidden="1">
                    <a:extLst>
                      <a:ext uri="{63B3BB69-23CF-44E3-9099-C40C66FF867C}">
                        <a14:compatExt spid="_x0000_s68622"/>
                      </a:ext>
                      <a:ext uri="{FF2B5EF4-FFF2-40B4-BE49-F238E27FC236}">
                        <a16:creationId xmlns:a16="http://schemas.microsoft.com/office/drawing/2014/main" id="{00000000-0008-0000-1D00-00000E0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8623" name="Button 15" hidden="1">
                    <a:extLst>
                      <a:ext uri="{63B3BB69-23CF-44E3-9099-C40C66FF867C}">
                        <a14:compatExt spid="_x0000_s68623"/>
                      </a:ext>
                      <a:ext uri="{FF2B5EF4-FFF2-40B4-BE49-F238E27FC236}">
                        <a16:creationId xmlns:a16="http://schemas.microsoft.com/office/drawing/2014/main" id="{00000000-0008-0000-1D00-00000F0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8624" name="Button 16" hidden="1">
                    <a:extLst>
                      <a:ext uri="{63B3BB69-23CF-44E3-9099-C40C66FF867C}">
                        <a14:compatExt spid="_x0000_s68624"/>
                      </a:ext>
                      <a:ext uri="{FF2B5EF4-FFF2-40B4-BE49-F238E27FC236}">
                        <a16:creationId xmlns:a16="http://schemas.microsoft.com/office/drawing/2014/main" id="{00000000-0008-0000-1D00-0000100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161925</xdr:colOff>
          <xdr:row>0</xdr:row>
          <xdr:rowOff>85725</xdr:rowOff>
        </xdr:from>
        <xdr:to>
          <xdr:col>51</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2021800" y="85725"/>
              <a:ext cx="1190625" cy="257175"/>
              <a:chOff x="8200900" y="3448050"/>
              <a:chExt cx="1190652" cy="257175"/>
            </a:xfrm>
          </xdr:grpSpPr>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E00-000003100100}"/>
                  </a:ext>
                </a:extLst>
              </xdr:cNvPr>
              <xdr:cNvSpPr/>
            </xdr:nvSpPr>
            <xdr:spPr bwMode="auto">
              <a:xfrm>
                <a:off x="8200900" y="3448050"/>
                <a:ext cx="5143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E00-000004100100}"/>
                  </a:ext>
                </a:extLst>
              </xdr:cNvPr>
              <xdr:cNvSpPr/>
            </xdr:nvSpPr>
            <xdr:spPr bwMode="auto">
              <a:xfrm>
                <a:off x="8848627"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44</xdr:row>
          <xdr:rowOff>95250</xdr:rowOff>
        </xdr:from>
        <xdr:to>
          <xdr:col>50</xdr:col>
          <xdr:colOff>38100</xdr:colOff>
          <xdr:row>45</xdr:row>
          <xdr:rowOff>123825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E00-000005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24</xdr:col>
          <xdr:colOff>247651</xdr:colOff>
          <xdr:row>0</xdr:row>
          <xdr:rowOff>104775</xdr:rowOff>
        </xdr:from>
        <xdr:to>
          <xdr:col>29</xdr:col>
          <xdr:colOff>514350</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49244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sp macro="" textlink="">
                <xdr:nvSpPr>
                  <xdr:cNvPr id="69640" name="Option Button 8" hidden="1">
                    <a:extLst>
                      <a:ext uri="{63B3BB69-23CF-44E3-9099-C40C66FF867C}">
                        <a14:compatExt spid="_x0000_s69640"/>
                      </a:ext>
                      <a:ext uri="{FF2B5EF4-FFF2-40B4-BE49-F238E27FC236}">
                        <a16:creationId xmlns:a16="http://schemas.microsoft.com/office/drawing/2014/main" id="{00000000-0008-0000-1E00-0000081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9641" name="Option Button 9" hidden="1">
                    <a:extLst>
                      <a:ext uri="{63B3BB69-23CF-44E3-9099-C40C66FF867C}">
                        <a14:compatExt spid="_x0000_s69641"/>
                      </a:ext>
                      <a:ext uri="{FF2B5EF4-FFF2-40B4-BE49-F238E27FC236}">
                        <a16:creationId xmlns:a16="http://schemas.microsoft.com/office/drawing/2014/main" id="{00000000-0008-0000-1E00-0000091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9642" name="Option Button 10" hidden="1">
                    <a:extLst>
                      <a:ext uri="{63B3BB69-23CF-44E3-9099-C40C66FF867C}">
                        <a14:compatExt spid="_x0000_s69642"/>
                      </a:ext>
                      <a:ext uri="{FF2B5EF4-FFF2-40B4-BE49-F238E27FC236}">
                        <a16:creationId xmlns:a16="http://schemas.microsoft.com/office/drawing/2014/main" id="{00000000-0008-0000-1E00-00000A1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9643" name="Option Button 11" hidden="1">
                    <a:extLst>
                      <a:ext uri="{63B3BB69-23CF-44E3-9099-C40C66FF867C}">
                        <a14:compatExt spid="_x0000_s69643"/>
                      </a:ext>
                      <a:ext uri="{FF2B5EF4-FFF2-40B4-BE49-F238E27FC236}">
                        <a16:creationId xmlns:a16="http://schemas.microsoft.com/office/drawing/2014/main" id="{00000000-0008-0000-1E00-00000B1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9644" name="Group Box 12" hidden="1">
                  <a:extLst>
                    <a:ext uri="{63B3BB69-23CF-44E3-9099-C40C66FF867C}">
                      <a14:compatExt spid="_x0000_s69644"/>
                    </a:ext>
                    <a:ext uri="{FF2B5EF4-FFF2-40B4-BE49-F238E27FC236}">
                      <a16:creationId xmlns:a16="http://schemas.microsoft.com/office/drawing/2014/main" id="{00000000-0008-0000-1E00-00000C1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sp macro="" textlink="">
              <xdr:nvSpPr>
                <xdr:cNvPr id="69645" name="Group Box 13" hidden="1">
                  <a:extLst>
                    <a:ext uri="{63B3BB69-23CF-44E3-9099-C40C66FF867C}">
                      <a14:compatExt spid="_x0000_s69645"/>
                    </a:ext>
                    <a:ext uri="{FF2B5EF4-FFF2-40B4-BE49-F238E27FC236}">
                      <a16:creationId xmlns:a16="http://schemas.microsoft.com/office/drawing/2014/main" id="{00000000-0008-0000-1E00-00000D1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sp macro="" textlink="">
                <xdr:nvSpPr>
                  <xdr:cNvPr id="69646" name="Button 14" hidden="1">
                    <a:extLst>
                      <a:ext uri="{63B3BB69-23CF-44E3-9099-C40C66FF867C}">
                        <a14:compatExt spid="_x0000_s69646"/>
                      </a:ext>
                      <a:ext uri="{FF2B5EF4-FFF2-40B4-BE49-F238E27FC236}">
                        <a16:creationId xmlns:a16="http://schemas.microsoft.com/office/drawing/2014/main" id="{00000000-0008-0000-1E00-00000E1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9647" name="Button 15" hidden="1">
                    <a:extLst>
                      <a:ext uri="{63B3BB69-23CF-44E3-9099-C40C66FF867C}">
                        <a14:compatExt spid="_x0000_s69647"/>
                      </a:ext>
                      <a:ext uri="{FF2B5EF4-FFF2-40B4-BE49-F238E27FC236}">
                        <a16:creationId xmlns:a16="http://schemas.microsoft.com/office/drawing/2014/main" id="{00000000-0008-0000-1E00-00000F1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9648" name="Button 16" hidden="1">
                    <a:extLst>
                      <a:ext uri="{63B3BB69-23CF-44E3-9099-C40C66FF867C}">
                        <a14:compatExt spid="_x0000_s69648"/>
                      </a:ext>
                      <a:ext uri="{FF2B5EF4-FFF2-40B4-BE49-F238E27FC236}">
                        <a16:creationId xmlns:a16="http://schemas.microsoft.com/office/drawing/2014/main" id="{00000000-0008-0000-1E00-0000101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sp macro="" textlink="">
            <xdr:nvSpPr>
              <xdr:cNvPr id="69649" name="Button 17" hidden="1">
                <a:extLst>
                  <a:ext uri="{63B3BB69-23CF-44E3-9099-C40C66FF867C}">
                    <a14:compatExt spid="_x0000_s69649"/>
                  </a:ext>
                  <a:ext uri="{FF2B5EF4-FFF2-40B4-BE49-F238E27FC236}">
                    <a16:creationId xmlns:a16="http://schemas.microsoft.com/office/drawing/2014/main" id="{00000000-0008-0000-1E00-0000111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9650" name="Button 18" hidden="1">
                <a:extLst>
                  <a:ext uri="{63B3BB69-23CF-44E3-9099-C40C66FF867C}">
                    <a14:compatExt spid="_x0000_s69650"/>
                  </a:ext>
                  <a:ext uri="{FF2B5EF4-FFF2-40B4-BE49-F238E27FC236}">
                    <a16:creationId xmlns:a16="http://schemas.microsoft.com/office/drawing/2014/main" id="{00000000-0008-0000-1E00-00001210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F00-0000031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F00-0000041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F00-000005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sp macro="" textlink="">
                <xdr:nvSpPr>
                  <xdr:cNvPr id="70664" name="Option Button 8" hidden="1">
                    <a:extLst>
                      <a:ext uri="{63B3BB69-23CF-44E3-9099-C40C66FF867C}">
                        <a14:compatExt spid="_x0000_s70664"/>
                      </a:ext>
                      <a:ext uri="{FF2B5EF4-FFF2-40B4-BE49-F238E27FC236}">
                        <a16:creationId xmlns:a16="http://schemas.microsoft.com/office/drawing/2014/main" id="{00000000-0008-0000-1F00-0000081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0665" name="Option Button 9" hidden="1">
                    <a:extLst>
                      <a:ext uri="{63B3BB69-23CF-44E3-9099-C40C66FF867C}">
                        <a14:compatExt spid="_x0000_s70665"/>
                      </a:ext>
                      <a:ext uri="{FF2B5EF4-FFF2-40B4-BE49-F238E27FC236}">
                        <a16:creationId xmlns:a16="http://schemas.microsoft.com/office/drawing/2014/main" id="{00000000-0008-0000-1F00-0000091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0666" name="Option Button 10" hidden="1">
                    <a:extLst>
                      <a:ext uri="{63B3BB69-23CF-44E3-9099-C40C66FF867C}">
                        <a14:compatExt spid="_x0000_s70666"/>
                      </a:ext>
                      <a:ext uri="{FF2B5EF4-FFF2-40B4-BE49-F238E27FC236}">
                        <a16:creationId xmlns:a16="http://schemas.microsoft.com/office/drawing/2014/main" id="{00000000-0008-0000-1F00-00000A1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0667" name="Option Button 11" hidden="1">
                    <a:extLst>
                      <a:ext uri="{63B3BB69-23CF-44E3-9099-C40C66FF867C}">
                        <a14:compatExt spid="_x0000_s70667"/>
                      </a:ext>
                      <a:ext uri="{FF2B5EF4-FFF2-40B4-BE49-F238E27FC236}">
                        <a16:creationId xmlns:a16="http://schemas.microsoft.com/office/drawing/2014/main" id="{00000000-0008-0000-1F00-00000B1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0668" name="Group Box 12" hidden="1">
                  <a:extLst>
                    <a:ext uri="{63B3BB69-23CF-44E3-9099-C40C66FF867C}">
                      <a14:compatExt spid="_x0000_s70668"/>
                    </a:ext>
                    <a:ext uri="{FF2B5EF4-FFF2-40B4-BE49-F238E27FC236}">
                      <a16:creationId xmlns:a16="http://schemas.microsoft.com/office/drawing/2014/main" id="{00000000-0008-0000-1F00-00000C1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sp macro="" textlink="">
              <xdr:nvSpPr>
                <xdr:cNvPr id="70669" name="Group Box 13" hidden="1">
                  <a:extLst>
                    <a:ext uri="{63B3BB69-23CF-44E3-9099-C40C66FF867C}">
                      <a14:compatExt spid="_x0000_s70669"/>
                    </a:ext>
                    <a:ext uri="{FF2B5EF4-FFF2-40B4-BE49-F238E27FC236}">
                      <a16:creationId xmlns:a16="http://schemas.microsoft.com/office/drawing/2014/main" id="{00000000-0008-0000-1F00-00000D1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sp macro="" textlink="">
                <xdr:nvSpPr>
                  <xdr:cNvPr id="70670" name="Button 14" hidden="1">
                    <a:extLst>
                      <a:ext uri="{63B3BB69-23CF-44E3-9099-C40C66FF867C}">
                        <a14:compatExt spid="_x0000_s70670"/>
                      </a:ext>
                      <a:ext uri="{FF2B5EF4-FFF2-40B4-BE49-F238E27FC236}">
                        <a16:creationId xmlns:a16="http://schemas.microsoft.com/office/drawing/2014/main" id="{00000000-0008-0000-1F00-00000E1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0671" name="Button 15" hidden="1">
                    <a:extLst>
                      <a:ext uri="{63B3BB69-23CF-44E3-9099-C40C66FF867C}">
                        <a14:compatExt spid="_x0000_s70671"/>
                      </a:ext>
                      <a:ext uri="{FF2B5EF4-FFF2-40B4-BE49-F238E27FC236}">
                        <a16:creationId xmlns:a16="http://schemas.microsoft.com/office/drawing/2014/main" id="{00000000-0008-0000-1F00-00000F1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0672" name="Button 16" hidden="1">
                    <a:extLst>
                      <a:ext uri="{63B3BB69-23CF-44E3-9099-C40C66FF867C}">
                        <a14:compatExt spid="_x0000_s70672"/>
                      </a:ext>
                      <a:ext uri="{FF2B5EF4-FFF2-40B4-BE49-F238E27FC236}">
                        <a16:creationId xmlns:a16="http://schemas.microsoft.com/office/drawing/2014/main" id="{00000000-0008-0000-1F00-0000101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1F00-0000111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0674" name="Button 18" hidden="1">
                <a:extLst>
                  <a:ext uri="{63B3BB69-23CF-44E3-9099-C40C66FF867C}">
                    <a14:compatExt spid="_x0000_s70674"/>
                  </a:ext>
                  <a:ext uri="{FF2B5EF4-FFF2-40B4-BE49-F238E27FC236}">
                    <a16:creationId xmlns:a16="http://schemas.microsoft.com/office/drawing/2014/main" id="{00000000-0008-0000-1F00-0000121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sp macro="" textlink="">
                <xdr:nvSpPr>
                  <xdr:cNvPr id="72720" name="Option Button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2721" name="Option Button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2722" name="Option Button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2723" name="Option Button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2724" name="Group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sp macro="" textlink="">
              <xdr:nvSpPr>
                <xdr:cNvPr id="72725" name="Group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2730" name="Button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2100-000005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sp macro="" textlink="">
                <xdr:nvSpPr>
                  <xdr:cNvPr id="73735" name="Option Button 7" hidden="1">
                    <a:extLst>
                      <a:ext uri="{63B3BB69-23CF-44E3-9099-C40C66FF867C}">
                        <a14:compatExt spid="_x0000_s73735"/>
                      </a:ext>
                      <a:ext uri="{FF2B5EF4-FFF2-40B4-BE49-F238E27FC236}">
                        <a16:creationId xmlns:a16="http://schemas.microsoft.com/office/drawing/2014/main" id="{00000000-0008-0000-2100-0000072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3736" name="Option Button 8" hidden="1">
                    <a:extLst>
                      <a:ext uri="{63B3BB69-23CF-44E3-9099-C40C66FF867C}">
                        <a14:compatExt spid="_x0000_s73736"/>
                      </a:ext>
                      <a:ext uri="{FF2B5EF4-FFF2-40B4-BE49-F238E27FC236}">
                        <a16:creationId xmlns:a16="http://schemas.microsoft.com/office/drawing/2014/main" id="{00000000-0008-0000-2100-0000082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3737" name="Option Button 9" hidden="1">
                    <a:extLst>
                      <a:ext uri="{63B3BB69-23CF-44E3-9099-C40C66FF867C}">
                        <a14:compatExt spid="_x0000_s73737"/>
                      </a:ext>
                      <a:ext uri="{FF2B5EF4-FFF2-40B4-BE49-F238E27FC236}">
                        <a16:creationId xmlns:a16="http://schemas.microsoft.com/office/drawing/2014/main" id="{00000000-0008-0000-2100-0000092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3738" name="Option Button 10" hidden="1">
                    <a:extLst>
                      <a:ext uri="{63B3BB69-23CF-44E3-9099-C40C66FF867C}">
                        <a14:compatExt spid="_x0000_s73738"/>
                      </a:ext>
                      <a:ext uri="{FF2B5EF4-FFF2-40B4-BE49-F238E27FC236}">
                        <a16:creationId xmlns:a16="http://schemas.microsoft.com/office/drawing/2014/main" id="{00000000-0008-0000-2100-00000A2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3739" name="Group Box 11" hidden="1">
                  <a:extLst>
                    <a:ext uri="{63B3BB69-23CF-44E3-9099-C40C66FF867C}">
                      <a14:compatExt spid="_x0000_s73739"/>
                    </a:ext>
                    <a:ext uri="{FF2B5EF4-FFF2-40B4-BE49-F238E27FC236}">
                      <a16:creationId xmlns:a16="http://schemas.microsoft.com/office/drawing/2014/main" id="{00000000-0008-0000-2100-00000B2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sp macro="" textlink="">
              <xdr:nvSpPr>
                <xdr:cNvPr id="73740" name="Group Box 12" hidden="1">
                  <a:extLst>
                    <a:ext uri="{63B3BB69-23CF-44E3-9099-C40C66FF867C}">
                      <a14:compatExt spid="_x0000_s73740"/>
                    </a:ext>
                    <a:ext uri="{FF2B5EF4-FFF2-40B4-BE49-F238E27FC236}">
                      <a16:creationId xmlns:a16="http://schemas.microsoft.com/office/drawing/2014/main" id="{00000000-0008-0000-2100-00000C2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sp macro="" textlink="">
                <xdr:nvSpPr>
                  <xdr:cNvPr id="73741" name="Button 13" hidden="1">
                    <a:extLst>
                      <a:ext uri="{63B3BB69-23CF-44E3-9099-C40C66FF867C}">
                        <a14:compatExt spid="_x0000_s73741"/>
                      </a:ext>
                      <a:ext uri="{FF2B5EF4-FFF2-40B4-BE49-F238E27FC236}">
                        <a16:creationId xmlns:a16="http://schemas.microsoft.com/office/drawing/2014/main" id="{00000000-0008-0000-2100-00000D2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3742" name="Button 14" hidden="1">
                    <a:extLst>
                      <a:ext uri="{63B3BB69-23CF-44E3-9099-C40C66FF867C}">
                        <a14:compatExt spid="_x0000_s73742"/>
                      </a:ext>
                      <a:ext uri="{FF2B5EF4-FFF2-40B4-BE49-F238E27FC236}">
                        <a16:creationId xmlns:a16="http://schemas.microsoft.com/office/drawing/2014/main" id="{00000000-0008-0000-2100-00000E2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3743" name="Button 15" hidden="1">
                    <a:extLst>
                      <a:ext uri="{63B3BB69-23CF-44E3-9099-C40C66FF867C}">
                        <a14:compatExt spid="_x0000_s73743"/>
                      </a:ext>
                      <a:ext uri="{FF2B5EF4-FFF2-40B4-BE49-F238E27FC236}">
                        <a16:creationId xmlns:a16="http://schemas.microsoft.com/office/drawing/2014/main" id="{00000000-0008-0000-2100-00000F2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sp macro="" textlink="">
            <xdr:nvSpPr>
              <xdr:cNvPr id="73744" name="Button 16" hidden="1">
                <a:extLst>
                  <a:ext uri="{63B3BB69-23CF-44E3-9099-C40C66FF867C}">
                    <a14:compatExt spid="_x0000_s73744"/>
                  </a:ext>
                  <a:ext uri="{FF2B5EF4-FFF2-40B4-BE49-F238E27FC236}">
                    <a16:creationId xmlns:a16="http://schemas.microsoft.com/office/drawing/2014/main" id="{00000000-0008-0000-2100-0000102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3745" name="Button 17" hidden="1">
                <a:extLst>
                  <a:ext uri="{63B3BB69-23CF-44E3-9099-C40C66FF867C}">
                    <a14:compatExt spid="_x0000_s73745"/>
                  </a:ext>
                  <a:ext uri="{FF2B5EF4-FFF2-40B4-BE49-F238E27FC236}">
                    <a16:creationId xmlns:a16="http://schemas.microsoft.com/office/drawing/2014/main" id="{00000000-0008-0000-2100-0000112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sp macro="" textlink="">
            <xdr:nvSpPr>
              <xdr:cNvPr id="73746" name="Button 18" hidden="1">
                <a:extLst>
                  <a:ext uri="{63B3BB69-23CF-44E3-9099-C40C66FF867C}">
                    <a14:compatExt spid="_x0000_s73746"/>
                  </a:ext>
                  <a:ext uri="{FF2B5EF4-FFF2-40B4-BE49-F238E27FC236}">
                    <a16:creationId xmlns:a16="http://schemas.microsoft.com/office/drawing/2014/main" id="{00000000-0008-0000-2100-0000122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3747" name="Button 19" hidden="1">
                <a:extLst>
                  <a:ext uri="{63B3BB69-23CF-44E3-9099-C40C66FF867C}">
                    <a14:compatExt spid="_x0000_s73747"/>
                  </a:ext>
                  <a:ext uri="{FF2B5EF4-FFF2-40B4-BE49-F238E27FC236}">
                    <a16:creationId xmlns:a16="http://schemas.microsoft.com/office/drawing/2014/main" id="{00000000-0008-0000-2100-0000132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10001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sp macro="" textlink="">
          <xdr:nvSpPr>
            <xdr:cNvPr id="74758" name="Button 6" hidden="1">
              <a:extLst>
                <a:ext uri="{63B3BB69-23CF-44E3-9099-C40C66FF867C}">
                  <a14:compatExt spid="_x0000_s74758"/>
                </a:ext>
                <a:ext uri="{FF2B5EF4-FFF2-40B4-BE49-F238E27FC236}">
                  <a16:creationId xmlns:a16="http://schemas.microsoft.com/office/drawing/2014/main" id="{00000000-0008-0000-2200-000006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13</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2200-0000072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4760" name="Option Button 8" hidden="1">
                    <a:extLst>
                      <a:ext uri="{63B3BB69-23CF-44E3-9099-C40C66FF867C}">
                        <a14:compatExt spid="_x0000_s74760"/>
                      </a:ext>
                      <a:ext uri="{FF2B5EF4-FFF2-40B4-BE49-F238E27FC236}">
                        <a16:creationId xmlns:a16="http://schemas.microsoft.com/office/drawing/2014/main" id="{00000000-0008-0000-2200-0000082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2200-0000092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4762" name="Option Button 10" hidden="1">
                    <a:extLst>
                      <a:ext uri="{63B3BB69-23CF-44E3-9099-C40C66FF867C}">
                        <a14:compatExt spid="_x0000_s74762"/>
                      </a:ext>
                      <a:ext uri="{FF2B5EF4-FFF2-40B4-BE49-F238E27FC236}">
                        <a16:creationId xmlns:a16="http://schemas.microsoft.com/office/drawing/2014/main" id="{00000000-0008-0000-2200-00000A2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4763" name="Group Box 11" hidden="1">
                  <a:extLst>
                    <a:ext uri="{63B3BB69-23CF-44E3-9099-C40C66FF867C}">
                      <a14:compatExt spid="_x0000_s74763"/>
                    </a:ext>
                    <a:ext uri="{FF2B5EF4-FFF2-40B4-BE49-F238E27FC236}">
                      <a16:creationId xmlns:a16="http://schemas.microsoft.com/office/drawing/2014/main" id="{00000000-0008-0000-2200-00000B2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sp macro="" textlink="">
              <xdr:nvSpPr>
                <xdr:cNvPr id="74764" name="Group Box 12" hidden="1">
                  <a:extLst>
                    <a:ext uri="{63B3BB69-23CF-44E3-9099-C40C66FF867C}">
                      <a14:compatExt spid="_x0000_s74764"/>
                    </a:ext>
                    <a:ext uri="{FF2B5EF4-FFF2-40B4-BE49-F238E27FC236}">
                      <a16:creationId xmlns:a16="http://schemas.microsoft.com/office/drawing/2014/main" id="{00000000-0008-0000-2200-00000C2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sp macro="" textlink="">
                <xdr:nvSpPr>
                  <xdr:cNvPr id="74765" name="Button 13" hidden="1">
                    <a:extLst>
                      <a:ext uri="{63B3BB69-23CF-44E3-9099-C40C66FF867C}">
                        <a14:compatExt spid="_x0000_s74765"/>
                      </a:ext>
                      <a:ext uri="{FF2B5EF4-FFF2-40B4-BE49-F238E27FC236}">
                        <a16:creationId xmlns:a16="http://schemas.microsoft.com/office/drawing/2014/main" id="{00000000-0008-0000-2200-00000D2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200-00000E2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200-00000F2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200-0000102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200-0000112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200-0000122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200-0000132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sp macro="" textlink="">
                <xdr:nvSpPr>
                  <xdr:cNvPr id="77835" name="Option Button 11" hidden="1">
                    <a:extLst>
                      <a:ext uri="{63B3BB69-23CF-44E3-9099-C40C66FF867C}">
                        <a14:compatExt spid="_x0000_s77835"/>
                      </a:ext>
                      <a:ext uri="{FF2B5EF4-FFF2-40B4-BE49-F238E27FC236}">
                        <a16:creationId xmlns:a16="http://schemas.microsoft.com/office/drawing/2014/main" id="{00000000-0008-0000-2300-00000B3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7836" name="Option Button 12" hidden="1">
                    <a:extLst>
                      <a:ext uri="{63B3BB69-23CF-44E3-9099-C40C66FF867C}">
                        <a14:compatExt spid="_x0000_s77836"/>
                      </a:ext>
                      <a:ext uri="{FF2B5EF4-FFF2-40B4-BE49-F238E27FC236}">
                        <a16:creationId xmlns:a16="http://schemas.microsoft.com/office/drawing/2014/main" id="{00000000-0008-0000-2300-00000C3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7837" name="Option Button 13" hidden="1">
                    <a:extLst>
                      <a:ext uri="{63B3BB69-23CF-44E3-9099-C40C66FF867C}">
                        <a14:compatExt spid="_x0000_s77837"/>
                      </a:ext>
                      <a:ext uri="{FF2B5EF4-FFF2-40B4-BE49-F238E27FC236}">
                        <a16:creationId xmlns:a16="http://schemas.microsoft.com/office/drawing/2014/main" id="{00000000-0008-0000-2300-00000D3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7838" name="Option Button 14" hidden="1">
                    <a:extLst>
                      <a:ext uri="{63B3BB69-23CF-44E3-9099-C40C66FF867C}">
                        <a14:compatExt spid="_x0000_s77838"/>
                      </a:ext>
                      <a:ext uri="{FF2B5EF4-FFF2-40B4-BE49-F238E27FC236}">
                        <a16:creationId xmlns:a16="http://schemas.microsoft.com/office/drawing/2014/main" id="{00000000-0008-0000-2300-00000E3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7839" name="Group Box 15" hidden="1">
                  <a:extLst>
                    <a:ext uri="{63B3BB69-23CF-44E3-9099-C40C66FF867C}">
                      <a14:compatExt spid="_x0000_s77839"/>
                    </a:ext>
                    <a:ext uri="{FF2B5EF4-FFF2-40B4-BE49-F238E27FC236}">
                      <a16:creationId xmlns:a16="http://schemas.microsoft.com/office/drawing/2014/main" id="{00000000-0008-0000-2300-00000F3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sp macro="" textlink="">
              <xdr:nvSpPr>
                <xdr:cNvPr id="77840" name="Group Box 16" hidden="1">
                  <a:extLst>
                    <a:ext uri="{63B3BB69-23CF-44E3-9099-C40C66FF867C}">
                      <a14:compatExt spid="_x0000_s77840"/>
                    </a:ext>
                    <a:ext uri="{FF2B5EF4-FFF2-40B4-BE49-F238E27FC236}">
                      <a16:creationId xmlns:a16="http://schemas.microsoft.com/office/drawing/2014/main" id="{00000000-0008-0000-2300-0000103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2300-0000113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2300-0000123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2300-0000133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2300-0000143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2300-0000153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sp macro="" textlink="">
            <xdr:nvSpPr>
              <xdr:cNvPr id="77846" name="Button 22" hidden="1">
                <a:extLst>
                  <a:ext uri="{63B3BB69-23CF-44E3-9099-C40C66FF867C}">
                    <a14:compatExt spid="_x0000_s77846"/>
                  </a:ext>
                  <a:ext uri="{FF2B5EF4-FFF2-40B4-BE49-F238E27FC236}">
                    <a16:creationId xmlns:a16="http://schemas.microsoft.com/office/drawing/2014/main" id="{00000000-0008-0000-2300-0000163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7847" name="Button 23" hidden="1">
                <a:extLst>
                  <a:ext uri="{63B3BB69-23CF-44E3-9099-C40C66FF867C}">
                    <a14:compatExt spid="_x0000_s77847"/>
                  </a:ext>
                  <a:ext uri="{FF2B5EF4-FFF2-40B4-BE49-F238E27FC236}">
                    <a16:creationId xmlns:a16="http://schemas.microsoft.com/office/drawing/2014/main" id="{00000000-0008-0000-2300-0000173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sp macro="" textlink="">
                <xdr:nvSpPr>
                  <xdr:cNvPr id="89094" name="Option Button 6" hidden="1">
                    <a:extLst>
                      <a:ext uri="{63B3BB69-23CF-44E3-9099-C40C66FF867C}">
                        <a14:compatExt spid="_x0000_s89094"/>
                      </a:ext>
                      <a:ext uri="{FF2B5EF4-FFF2-40B4-BE49-F238E27FC236}">
                        <a16:creationId xmlns:a16="http://schemas.microsoft.com/office/drawing/2014/main" id="{00000000-0008-0000-2400-0000065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9095" name="Option Button 7" hidden="1">
                    <a:extLst>
                      <a:ext uri="{63B3BB69-23CF-44E3-9099-C40C66FF867C}">
                        <a14:compatExt spid="_x0000_s89095"/>
                      </a:ext>
                      <a:ext uri="{FF2B5EF4-FFF2-40B4-BE49-F238E27FC236}">
                        <a16:creationId xmlns:a16="http://schemas.microsoft.com/office/drawing/2014/main" id="{00000000-0008-0000-2400-0000075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9096" name="Option Button 8" hidden="1">
                    <a:extLst>
                      <a:ext uri="{63B3BB69-23CF-44E3-9099-C40C66FF867C}">
                        <a14:compatExt spid="_x0000_s89096"/>
                      </a:ext>
                      <a:ext uri="{FF2B5EF4-FFF2-40B4-BE49-F238E27FC236}">
                        <a16:creationId xmlns:a16="http://schemas.microsoft.com/office/drawing/2014/main" id="{00000000-0008-0000-2400-0000085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9097" name="Option Button 9" hidden="1">
                    <a:extLst>
                      <a:ext uri="{63B3BB69-23CF-44E3-9099-C40C66FF867C}">
                        <a14:compatExt spid="_x0000_s89097"/>
                      </a:ext>
                      <a:ext uri="{FF2B5EF4-FFF2-40B4-BE49-F238E27FC236}">
                        <a16:creationId xmlns:a16="http://schemas.microsoft.com/office/drawing/2014/main" id="{00000000-0008-0000-2400-0000095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9098" name="Group Box 10" hidden="1">
                  <a:extLst>
                    <a:ext uri="{63B3BB69-23CF-44E3-9099-C40C66FF867C}">
                      <a14:compatExt spid="_x0000_s89098"/>
                    </a:ext>
                    <a:ext uri="{FF2B5EF4-FFF2-40B4-BE49-F238E27FC236}">
                      <a16:creationId xmlns:a16="http://schemas.microsoft.com/office/drawing/2014/main" id="{00000000-0008-0000-2400-00000A5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sp macro="" textlink="">
              <xdr:nvSpPr>
                <xdr:cNvPr id="89099" name="Group Box 11" hidden="1">
                  <a:extLst>
                    <a:ext uri="{63B3BB69-23CF-44E3-9099-C40C66FF867C}">
                      <a14:compatExt spid="_x0000_s89099"/>
                    </a:ext>
                    <a:ext uri="{FF2B5EF4-FFF2-40B4-BE49-F238E27FC236}">
                      <a16:creationId xmlns:a16="http://schemas.microsoft.com/office/drawing/2014/main" id="{00000000-0008-0000-2400-00000B5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2400-00000C5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2400-00000D5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2400-00000E5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2400-00000F5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2400-0000105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2400-0000115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2400-0000125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2500-0000062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25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25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2500-0000092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2500-00000A2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2500-00000B2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2500-00000C2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25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2500-00000E2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25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25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2500-0000112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6818" name="Button 18" hidden="1">
                <a:extLst>
                  <a:ext uri="{63B3BB69-23CF-44E3-9099-C40C66FF867C}">
                    <a14:compatExt spid="_x0000_s76818"/>
                  </a:ext>
                  <a:ext uri="{FF2B5EF4-FFF2-40B4-BE49-F238E27FC236}">
                    <a16:creationId xmlns:a16="http://schemas.microsoft.com/office/drawing/2014/main" id="{00000000-0008-0000-2500-0000122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sp macro="" textlink="">
                <xdr:nvSpPr>
                  <xdr:cNvPr id="75783" name="Option Button 7" hidden="1">
                    <a:extLst>
                      <a:ext uri="{63B3BB69-23CF-44E3-9099-C40C66FF867C}">
                        <a14:compatExt spid="_x0000_s75783"/>
                      </a:ext>
                      <a:ext uri="{FF2B5EF4-FFF2-40B4-BE49-F238E27FC236}">
                        <a16:creationId xmlns:a16="http://schemas.microsoft.com/office/drawing/2014/main" id="{00000000-0008-0000-2600-0000072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5784" name="Option Button 8" hidden="1">
                    <a:extLst>
                      <a:ext uri="{63B3BB69-23CF-44E3-9099-C40C66FF867C}">
                        <a14:compatExt spid="_x0000_s75784"/>
                      </a:ext>
                      <a:ext uri="{FF2B5EF4-FFF2-40B4-BE49-F238E27FC236}">
                        <a16:creationId xmlns:a16="http://schemas.microsoft.com/office/drawing/2014/main" id="{00000000-0008-0000-2600-0000082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5785" name="Option Button 9" hidden="1">
                    <a:extLst>
                      <a:ext uri="{63B3BB69-23CF-44E3-9099-C40C66FF867C}">
                        <a14:compatExt spid="_x0000_s75785"/>
                      </a:ext>
                      <a:ext uri="{FF2B5EF4-FFF2-40B4-BE49-F238E27FC236}">
                        <a16:creationId xmlns:a16="http://schemas.microsoft.com/office/drawing/2014/main" id="{00000000-0008-0000-2600-0000092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5786" name="Option Button 10" hidden="1">
                    <a:extLst>
                      <a:ext uri="{63B3BB69-23CF-44E3-9099-C40C66FF867C}">
                        <a14:compatExt spid="_x0000_s75786"/>
                      </a:ext>
                      <a:ext uri="{FF2B5EF4-FFF2-40B4-BE49-F238E27FC236}">
                        <a16:creationId xmlns:a16="http://schemas.microsoft.com/office/drawing/2014/main" id="{00000000-0008-0000-2600-00000A2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5787" name="Group Box 11" hidden="1">
                  <a:extLst>
                    <a:ext uri="{63B3BB69-23CF-44E3-9099-C40C66FF867C}">
                      <a14:compatExt spid="_x0000_s75787"/>
                    </a:ext>
                    <a:ext uri="{FF2B5EF4-FFF2-40B4-BE49-F238E27FC236}">
                      <a16:creationId xmlns:a16="http://schemas.microsoft.com/office/drawing/2014/main" id="{00000000-0008-0000-2600-00000B2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sp macro="" textlink="">
              <xdr:nvSpPr>
                <xdr:cNvPr id="75788" name="Group Box 12" hidden="1">
                  <a:extLst>
                    <a:ext uri="{63B3BB69-23CF-44E3-9099-C40C66FF867C}">
                      <a14:compatExt spid="_x0000_s75788"/>
                    </a:ext>
                    <a:ext uri="{FF2B5EF4-FFF2-40B4-BE49-F238E27FC236}">
                      <a16:creationId xmlns:a16="http://schemas.microsoft.com/office/drawing/2014/main" id="{00000000-0008-0000-2600-00000C2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2600-00000D2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2600-00000E2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2600-00000F2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2600-0000102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2600-0000112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2600-0000122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2600-0000132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0</xdr:row>
          <xdr:rowOff>104775</xdr:rowOff>
        </xdr:from>
        <xdr:to>
          <xdr:col>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695325" y="104775"/>
              <a:ext cx="1104900" cy="257175"/>
              <a:chOff x="771525" y="1314450"/>
              <a:chExt cx="1104900" cy="257175"/>
            </a:xfrm>
          </xdr:grpSpPr>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2700-000005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6" name="Button 6" hidden="1">
                <a:extLst>
                  <a:ext uri="{63B3BB69-23CF-44E3-9099-C40C66FF867C}">
                    <a14:compatExt spid="_x0000_s71686"/>
                  </a:ext>
                  <a:ext uri="{FF2B5EF4-FFF2-40B4-BE49-F238E27FC236}">
                    <a16:creationId xmlns:a16="http://schemas.microsoft.com/office/drawing/2014/main" id="{00000000-0008-0000-2700-000006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95250</xdr:colOff>
          <xdr:row>0</xdr:row>
          <xdr:rowOff>114300</xdr:rowOff>
        </xdr:from>
        <xdr:to>
          <xdr:col>20</xdr:col>
          <xdr:colOff>152400</xdr:colOff>
          <xdr:row>0</xdr:row>
          <xdr:rowOff>371475</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5992475" y="114300"/>
              <a:ext cx="1190625" cy="257175"/>
              <a:chOff x="8201025" y="3448050"/>
              <a:chExt cx="1190625" cy="257175"/>
            </a:xfrm>
          </xdr:grpSpPr>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2700-000007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2700-000008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17</xdr:row>
          <xdr:rowOff>152400</xdr:rowOff>
        </xdr:from>
        <xdr:to>
          <xdr:col>19</xdr:col>
          <xdr:colOff>66675</xdr:colOff>
          <xdr:row>18</xdr:row>
          <xdr:rowOff>180975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2700-000009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17</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104776</xdr:colOff>
          <xdr:row>0</xdr:row>
          <xdr:rowOff>104775</xdr:rowOff>
        </xdr:from>
        <xdr:to>
          <xdr:col>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18859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sp macro="" textlink="">
                <xdr:nvSpPr>
                  <xdr:cNvPr id="71693" name="Option Button 13" hidden="1">
                    <a:extLst>
                      <a:ext uri="{63B3BB69-23CF-44E3-9099-C40C66FF867C}">
                        <a14:compatExt spid="_x0000_s71693"/>
                      </a:ext>
                      <a:ext uri="{FF2B5EF4-FFF2-40B4-BE49-F238E27FC236}">
                        <a16:creationId xmlns:a16="http://schemas.microsoft.com/office/drawing/2014/main" id="{00000000-0008-0000-2700-00000D1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1694" name="Option Button 14" hidden="1">
                    <a:extLst>
                      <a:ext uri="{63B3BB69-23CF-44E3-9099-C40C66FF867C}">
                        <a14:compatExt spid="_x0000_s71694"/>
                      </a:ext>
                      <a:ext uri="{FF2B5EF4-FFF2-40B4-BE49-F238E27FC236}">
                        <a16:creationId xmlns:a16="http://schemas.microsoft.com/office/drawing/2014/main" id="{00000000-0008-0000-2700-00000E1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1695" name="Option Button 15" hidden="1">
                    <a:extLst>
                      <a:ext uri="{63B3BB69-23CF-44E3-9099-C40C66FF867C}">
                        <a14:compatExt spid="_x0000_s71695"/>
                      </a:ext>
                      <a:ext uri="{FF2B5EF4-FFF2-40B4-BE49-F238E27FC236}">
                        <a16:creationId xmlns:a16="http://schemas.microsoft.com/office/drawing/2014/main" id="{00000000-0008-0000-2700-00000F1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1696" name="Option Button 16" hidden="1">
                    <a:extLst>
                      <a:ext uri="{63B3BB69-23CF-44E3-9099-C40C66FF867C}">
                        <a14:compatExt spid="_x0000_s71696"/>
                      </a:ext>
                      <a:ext uri="{FF2B5EF4-FFF2-40B4-BE49-F238E27FC236}">
                        <a16:creationId xmlns:a16="http://schemas.microsoft.com/office/drawing/2014/main" id="{00000000-0008-0000-2700-0000101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1697" name="Group Box 17" hidden="1">
                  <a:extLst>
                    <a:ext uri="{63B3BB69-23CF-44E3-9099-C40C66FF867C}">
                      <a14:compatExt spid="_x0000_s71697"/>
                    </a:ext>
                    <a:ext uri="{FF2B5EF4-FFF2-40B4-BE49-F238E27FC236}">
                      <a16:creationId xmlns:a16="http://schemas.microsoft.com/office/drawing/2014/main" id="{00000000-0008-0000-2700-0000111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sp macro="" textlink="">
              <xdr:nvSpPr>
                <xdr:cNvPr id="71698" name="Group Box 18" hidden="1">
                  <a:extLst>
                    <a:ext uri="{63B3BB69-23CF-44E3-9099-C40C66FF867C}">
                      <a14:compatExt spid="_x0000_s71698"/>
                    </a:ext>
                    <a:ext uri="{FF2B5EF4-FFF2-40B4-BE49-F238E27FC236}">
                      <a16:creationId xmlns:a16="http://schemas.microsoft.com/office/drawing/2014/main" id="{00000000-0008-0000-2700-0000121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2700-0000131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1700" name="Button 20" hidden="1">
                    <a:extLst>
                      <a:ext uri="{63B3BB69-23CF-44E3-9099-C40C66FF867C}">
                        <a14:compatExt spid="_x0000_s71700"/>
                      </a:ext>
                      <a:ext uri="{FF2B5EF4-FFF2-40B4-BE49-F238E27FC236}">
                        <a16:creationId xmlns:a16="http://schemas.microsoft.com/office/drawing/2014/main" id="{00000000-0008-0000-2700-0000141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1701" name="Button 21" hidden="1">
                    <a:extLst>
                      <a:ext uri="{63B3BB69-23CF-44E3-9099-C40C66FF867C}">
                        <a14:compatExt spid="_x0000_s71701"/>
                      </a:ext>
                      <a:ext uri="{FF2B5EF4-FFF2-40B4-BE49-F238E27FC236}">
                        <a16:creationId xmlns:a16="http://schemas.microsoft.com/office/drawing/2014/main" id="{00000000-0008-0000-2700-0000151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8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8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8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8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sp macro="" textlink="">
                <xdr:nvSpPr>
                  <xdr:cNvPr id="83974" name="Option Button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3975" name="Option Button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3976" name="Option Button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3977" name="Option Button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3978" name="Group Box 10" hidden="1">
                  <a:extLst>
                    <a:ext uri="{63B3BB69-23CF-44E3-9099-C40C66FF867C}">
                      <a14:compatExt spid="_x0000_s83978"/>
                    </a:ext>
                    <a:ext uri="{FF2B5EF4-FFF2-40B4-BE49-F238E27FC236}">
                      <a16:creationId xmlns:a16="http://schemas.microsoft.com/office/drawing/2014/main" id="{00000000-0008-0000-2900-00000A4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sp macro="" textlink="">
              <xdr:nvSpPr>
                <xdr:cNvPr id="83979" name="Group Box 11" hidden="1">
                  <a:extLst>
                    <a:ext uri="{63B3BB69-23CF-44E3-9099-C40C66FF867C}">
                      <a14:compatExt spid="_x0000_s83979"/>
                    </a:ext>
                    <a:ext uri="{FF2B5EF4-FFF2-40B4-BE49-F238E27FC236}">
                      <a16:creationId xmlns:a16="http://schemas.microsoft.com/office/drawing/2014/main" id="{00000000-0008-0000-2900-00000B4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2900-00000C4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2900-00000D4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2900-00000E4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2900-00000F4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2900-0000104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2900-0000114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2900-0000124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2A00-000001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2A00-000002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2A00-000003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2A00-000004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2A00-000005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2A00-000006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2A00-000007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2A00-000008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2A00-000009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2A00-00000A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2A00-00000B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2A00-00000C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sp macro="" textlink="">
                <xdr:nvSpPr>
                  <xdr:cNvPr id="78862" name="Option Button 14" hidden="1">
                    <a:extLst>
                      <a:ext uri="{63B3BB69-23CF-44E3-9099-C40C66FF867C}">
                        <a14:compatExt spid="_x0000_s78862"/>
                      </a:ext>
                      <a:ext uri="{FF2B5EF4-FFF2-40B4-BE49-F238E27FC236}">
                        <a16:creationId xmlns:a16="http://schemas.microsoft.com/office/drawing/2014/main" id="{00000000-0008-0000-2A00-00000E3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8863" name="Option Button 15" hidden="1">
                    <a:extLst>
                      <a:ext uri="{63B3BB69-23CF-44E3-9099-C40C66FF867C}">
                        <a14:compatExt spid="_x0000_s78863"/>
                      </a:ext>
                      <a:ext uri="{FF2B5EF4-FFF2-40B4-BE49-F238E27FC236}">
                        <a16:creationId xmlns:a16="http://schemas.microsoft.com/office/drawing/2014/main" id="{00000000-0008-0000-2A00-00000F3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8864" name="Option Button 16" hidden="1">
                    <a:extLst>
                      <a:ext uri="{63B3BB69-23CF-44E3-9099-C40C66FF867C}">
                        <a14:compatExt spid="_x0000_s78864"/>
                      </a:ext>
                      <a:ext uri="{FF2B5EF4-FFF2-40B4-BE49-F238E27FC236}">
                        <a16:creationId xmlns:a16="http://schemas.microsoft.com/office/drawing/2014/main" id="{00000000-0008-0000-2A00-0000103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8865" name="Option Button 17" hidden="1">
                    <a:extLst>
                      <a:ext uri="{63B3BB69-23CF-44E3-9099-C40C66FF867C}">
                        <a14:compatExt spid="_x0000_s78865"/>
                      </a:ext>
                      <a:ext uri="{FF2B5EF4-FFF2-40B4-BE49-F238E27FC236}">
                        <a16:creationId xmlns:a16="http://schemas.microsoft.com/office/drawing/2014/main" id="{00000000-0008-0000-2A00-0000113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8866" name="Group Box 18" hidden="1">
                  <a:extLst>
                    <a:ext uri="{63B3BB69-23CF-44E3-9099-C40C66FF867C}">
                      <a14:compatExt spid="_x0000_s78866"/>
                    </a:ext>
                    <a:ext uri="{FF2B5EF4-FFF2-40B4-BE49-F238E27FC236}">
                      <a16:creationId xmlns:a16="http://schemas.microsoft.com/office/drawing/2014/main" id="{00000000-0008-0000-2A00-0000123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sp macro="" textlink="">
              <xdr:nvSpPr>
                <xdr:cNvPr id="78867" name="Group Box 19" hidden="1">
                  <a:extLst>
                    <a:ext uri="{63B3BB69-23CF-44E3-9099-C40C66FF867C}">
                      <a14:compatExt spid="_x0000_s78867"/>
                    </a:ext>
                    <a:ext uri="{FF2B5EF4-FFF2-40B4-BE49-F238E27FC236}">
                      <a16:creationId xmlns:a16="http://schemas.microsoft.com/office/drawing/2014/main" id="{00000000-0008-0000-2A00-0000133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2A00-0000143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8869" name="Button 21" hidden="1">
                    <a:extLst>
                      <a:ext uri="{63B3BB69-23CF-44E3-9099-C40C66FF867C}">
                        <a14:compatExt spid="_x0000_s78869"/>
                      </a:ext>
                      <a:ext uri="{FF2B5EF4-FFF2-40B4-BE49-F238E27FC236}">
                        <a16:creationId xmlns:a16="http://schemas.microsoft.com/office/drawing/2014/main" id="{00000000-0008-0000-2A00-0000153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8870" name="Button 22" hidden="1">
                    <a:extLst>
                      <a:ext uri="{63B3BB69-23CF-44E3-9099-C40C66FF867C}">
                        <a14:compatExt spid="_x0000_s78870"/>
                      </a:ext>
                      <a:ext uri="{FF2B5EF4-FFF2-40B4-BE49-F238E27FC236}">
                        <a16:creationId xmlns:a16="http://schemas.microsoft.com/office/drawing/2014/main" id="{00000000-0008-0000-2A00-0000163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sp macro="" textlink="">
            <xdr:nvSpPr>
              <xdr:cNvPr id="78872" name="Button 24" hidden="1">
                <a:extLst>
                  <a:ext uri="{63B3BB69-23CF-44E3-9099-C40C66FF867C}">
                    <a14:compatExt spid="_x0000_s78872"/>
                  </a:ext>
                  <a:ext uri="{FF2B5EF4-FFF2-40B4-BE49-F238E27FC236}">
                    <a16:creationId xmlns:a16="http://schemas.microsoft.com/office/drawing/2014/main" id="{00000000-0008-0000-2A00-000018340100}"/>
                  </a:ext>
                </a:extLst>
              </xdr:cNvPr>
              <xdr:cNvSpPr/>
            </xdr:nvSpPr>
            <xdr:spPr bwMode="auto">
              <a:xfrm>
                <a:off x="771524"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73" name="Button 25" hidden="1">
                <a:extLst>
                  <a:ext uri="{63B3BB69-23CF-44E3-9099-C40C66FF867C}">
                    <a14:compatExt spid="_x0000_s78873"/>
                  </a:ext>
                  <a:ext uri="{FF2B5EF4-FFF2-40B4-BE49-F238E27FC236}">
                    <a16:creationId xmlns:a16="http://schemas.microsoft.com/office/drawing/2014/main" id="{00000000-0008-0000-2A00-000019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2A00-00001A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75" name="Button 27" hidden="1">
                <a:extLst>
                  <a:ext uri="{63B3BB69-23CF-44E3-9099-C40C66FF867C}">
                    <a14:compatExt spid="_x0000_s78875"/>
                  </a:ext>
                  <a:ext uri="{FF2B5EF4-FFF2-40B4-BE49-F238E27FC236}">
                    <a16:creationId xmlns:a16="http://schemas.microsoft.com/office/drawing/2014/main" id="{00000000-0008-0000-2A00-00001B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2B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2B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2B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2B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2B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2B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2B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2B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2B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2B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2B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sp macro="" textlink="">
            <xdr:nvSpPr>
              <xdr:cNvPr id="79889" name="Button 17" hidden="1">
                <a:extLst>
                  <a:ext uri="{63B3BB69-23CF-44E3-9099-C40C66FF867C}">
                    <a14:compatExt spid="_x0000_s79889"/>
                  </a:ext>
                  <a:ext uri="{FF2B5EF4-FFF2-40B4-BE49-F238E27FC236}">
                    <a16:creationId xmlns:a16="http://schemas.microsoft.com/office/drawing/2014/main" id="{00000000-0008-0000-2B00-0000113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9890" name="Button 18" hidden="1">
                <a:extLst>
                  <a:ext uri="{63B3BB69-23CF-44E3-9099-C40C66FF867C}">
                    <a14:compatExt spid="_x0000_s79890"/>
                  </a:ext>
                  <a:ext uri="{FF2B5EF4-FFF2-40B4-BE49-F238E27FC236}">
                    <a16:creationId xmlns:a16="http://schemas.microsoft.com/office/drawing/2014/main" id="{00000000-0008-0000-2B00-0000123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2B00-000018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sp macro="" textlink="">
                <xdr:nvSpPr>
                  <xdr:cNvPr id="81926" name="Option Button 6" hidden="1">
                    <a:extLst>
                      <a:ext uri="{63B3BB69-23CF-44E3-9099-C40C66FF867C}">
                        <a14:compatExt spid="_x0000_s81926"/>
                      </a:ext>
                      <a:ext uri="{FF2B5EF4-FFF2-40B4-BE49-F238E27FC236}">
                        <a16:creationId xmlns:a16="http://schemas.microsoft.com/office/drawing/2014/main" id="{00000000-0008-0000-2C00-0000064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1927" name="Option Button 7" hidden="1">
                    <a:extLst>
                      <a:ext uri="{63B3BB69-23CF-44E3-9099-C40C66FF867C}">
                        <a14:compatExt spid="_x0000_s81927"/>
                      </a:ext>
                      <a:ext uri="{FF2B5EF4-FFF2-40B4-BE49-F238E27FC236}">
                        <a16:creationId xmlns:a16="http://schemas.microsoft.com/office/drawing/2014/main" id="{00000000-0008-0000-2C00-0000074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1928" name="Option Button 8" hidden="1">
                    <a:extLst>
                      <a:ext uri="{63B3BB69-23CF-44E3-9099-C40C66FF867C}">
                        <a14:compatExt spid="_x0000_s81928"/>
                      </a:ext>
                      <a:ext uri="{FF2B5EF4-FFF2-40B4-BE49-F238E27FC236}">
                        <a16:creationId xmlns:a16="http://schemas.microsoft.com/office/drawing/2014/main" id="{00000000-0008-0000-2C00-0000084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1929" name="Option Button 9" hidden="1">
                    <a:extLst>
                      <a:ext uri="{63B3BB69-23CF-44E3-9099-C40C66FF867C}">
                        <a14:compatExt spid="_x0000_s81929"/>
                      </a:ext>
                      <a:ext uri="{FF2B5EF4-FFF2-40B4-BE49-F238E27FC236}">
                        <a16:creationId xmlns:a16="http://schemas.microsoft.com/office/drawing/2014/main" id="{00000000-0008-0000-2C00-0000094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1930" name="Group Box 10" hidden="1">
                  <a:extLst>
                    <a:ext uri="{63B3BB69-23CF-44E3-9099-C40C66FF867C}">
                      <a14:compatExt spid="_x0000_s81930"/>
                    </a:ext>
                    <a:ext uri="{FF2B5EF4-FFF2-40B4-BE49-F238E27FC236}">
                      <a16:creationId xmlns:a16="http://schemas.microsoft.com/office/drawing/2014/main" id="{00000000-0008-0000-2C00-00000A4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sp macro="" textlink="">
              <xdr:nvSpPr>
                <xdr:cNvPr id="81931" name="Group Box 11" hidden="1">
                  <a:extLst>
                    <a:ext uri="{63B3BB69-23CF-44E3-9099-C40C66FF867C}">
                      <a14:compatExt spid="_x0000_s81931"/>
                    </a:ext>
                    <a:ext uri="{FF2B5EF4-FFF2-40B4-BE49-F238E27FC236}">
                      <a16:creationId xmlns:a16="http://schemas.microsoft.com/office/drawing/2014/main" id="{00000000-0008-0000-2C00-00000B4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sp macro="" textlink="">
                <xdr:nvSpPr>
                  <xdr:cNvPr id="81932" name="Button 12" hidden="1">
                    <a:extLst>
                      <a:ext uri="{63B3BB69-23CF-44E3-9099-C40C66FF867C}">
                        <a14:compatExt spid="_x0000_s81932"/>
                      </a:ext>
                      <a:ext uri="{FF2B5EF4-FFF2-40B4-BE49-F238E27FC236}">
                        <a16:creationId xmlns:a16="http://schemas.microsoft.com/office/drawing/2014/main" id="{00000000-0008-0000-2C00-00000C4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1933" name="Button 13" hidden="1">
                    <a:extLst>
                      <a:ext uri="{63B3BB69-23CF-44E3-9099-C40C66FF867C}">
                        <a14:compatExt spid="_x0000_s81933"/>
                      </a:ext>
                      <a:ext uri="{FF2B5EF4-FFF2-40B4-BE49-F238E27FC236}">
                        <a16:creationId xmlns:a16="http://schemas.microsoft.com/office/drawing/2014/main" id="{00000000-0008-0000-2C00-00000D4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1934" name="Button 14" hidden="1">
                    <a:extLst>
                      <a:ext uri="{63B3BB69-23CF-44E3-9099-C40C66FF867C}">
                        <a14:compatExt spid="_x0000_s81934"/>
                      </a:ext>
                      <a:ext uri="{FF2B5EF4-FFF2-40B4-BE49-F238E27FC236}">
                        <a16:creationId xmlns:a16="http://schemas.microsoft.com/office/drawing/2014/main" id="{00000000-0008-0000-2C00-00000E4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sp macro="" textlink="">
            <xdr:nvSpPr>
              <xdr:cNvPr id="81935" name="Button 15" hidden="1">
                <a:extLst>
                  <a:ext uri="{63B3BB69-23CF-44E3-9099-C40C66FF867C}">
                    <a14:compatExt spid="_x0000_s81935"/>
                  </a:ext>
                  <a:ext uri="{FF2B5EF4-FFF2-40B4-BE49-F238E27FC236}">
                    <a16:creationId xmlns:a16="http://schemas.microsoft.com/office/drawing/2014/main" id="{00000000-0008-0000-2C00-00000F4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1936" name="Button 16" hidden="1">
                <a:extLst>
                  <a:ext uri="{63B3BB69-23CF-44E3-9099-C40C66FF867C}">
                    <a14:compatExt spid="_x0000_s81936"/>
                  </a:ext>
                  <a:ext uri="{FF2B5EF4-FFF2-40B4-BE49-F238E27FC236}">
                    <a16:creationId xmlns:a16="http://schemas.microsoft.com/office/drawing/2014/main" id="{00000000-0008-0000-2C00-0000104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sp macro="" textlink="">
            <xdr:nvSpPr>
              <xdr:cNvPr id="81937" name="Button 17" hidden="1">
                <a:extLst>
                  <a:ext uri="{63B3BB69-23CF-44E3-9099-C40C66FF867C}">
                    <a14:compatExt spid="_x0000_s81937"/>
                  </a:ext>
                  <a:ext uri="{FF2B5EF4-FFF2-40B4-BE49-F238E27FC236}">
                    <a16:creationId xmlns:a16="http://schemas.microsoft.com/office/drawing/2014/main" id="{00000000-0008-0000-2C00-0000114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1938" name="Button 18" hidden="1">
                <a:extLst>
                  <a:ext uri="{63B3BB69-23CF-44E3-9099-C40C66FF867C}">
                    <a14:compatExt spid="_x0000_s81938"/>
                  </a:ext>
                  <a:ext uri="{FF2B5EF4-FFF2-40B4-BE49-F238E27FC236}">
                    <a16:creationId xmlns:a16="http://schemas.microsoft.com/office/drawing/2014/main" id="{00000000-0008-0000-2C00-0000124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sp macro="" textlink="">
                <xdr:nvSpPr>
                  <xdr:cNvPr id="88079" name="Option Button 15" hidden="1">
                    <a:extLst>
                      <a:ext uri="{63B3BB69-23CF-44E3-9099-C40C66FF867C}">
                        <a14:compatExt spid="_x0000_s88079"/>
                      </a:ext>
                      <a:ext uri="{FF2B5EF4-FFF2-40B4-BE49-F238E27FC236}">
                        <a16:creationId xmlns:a16="http://schemas.microsoft.com/office/drawing/2014/main" id="{00000000-0008-0000-2D00-00000F5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8080" name="Option Button 16" hidden="1">
                    <a:extLst>
                      <a:ext uri="{63B3BB69-23CF-44E3-9099-C40C66FF867C}">
                        <a14:compatExt spid="_x0000_s88080"/>
                      </a:ext>
                      <a:ext uri="{FF2B5EF4-FFF2-40B4-BE49-F238E27FC236}">
                        <a16:creationId xmlns:a16="http://schemas.microsoft.com/office/drawing/2014/main" id="{00000000-0008-0000-2D00-0000105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8081" name="Option Button 17" hidden="1">
                    <a:extLst>
                      <a:ext uri="{63B3BB69-23CF-44E3-9099-C40C66FF867C}">
                        <a14:compatExt spid="_x0000_s88081"/>
                      </a:ext>
                      <a:ext uri="{FF2B5EF4-FFF2-40B4-BE49-F238E27FC236}">
                        <a16:creationId xmlns:a16="http://schemas.microsoft.com/office/drawing/2014/main" id="{00000000-0008-0000-2D00-0000115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8082" name="Option Button 18" hidden="1">
                    <a:extLst>
                      <a:ext uri="{63B3BB69-23CF-44E3-9099-C40C66FF867C}">
                        <a14:compatExt spid="_x0000_s88082"/>
                      </a:ext>
                      <a:ext uri="{FF2B5EF4-FFF2-40B4-BE49-F238E27FC236}">
                        <a16:creationId xmlns:a16="http://schemas.microsoft.com/office/drawing/2014/main" id="{00000000-0008-0000-2D00-0000125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8083" name="Group Box 19" hidden="1">
                  <a:extLst>
                    <a:ext uri="{63B3BB69-23CF-44E3-9099-C40C66FF867C}">
                      <a14:compatExt spid="_x0000_s88083"/>
                    </a:ext>
                    <a:ext uri="{FF2B5EF4-FFF2-40B4-BE49-F238E27FC236}">
                      <a16:creationId xmlns:a16="http://schemas.microsoft.com/office/drawing/2014/main" id="{00000000-0008-0000-2D00-0000135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sp macro="" textlink="">
              <xdr:nvSpPr>
                <xdr:cNvPr id="88084" name="Group Box 20" hidden="1">
                  <a:extLst>
                    <a:ext uri="{63B3BB69-23CF-44E3-9099-C40C66FF867C}">
                      <a14:compatExt spid="_x0000_s88084"/>
                    </a:ext>
                    <a:ext uri="{FF2B5EF4-FFF2-40B4-BE49-F238E27FC236}">
                      <a16:creationId xmlns:a16="http://schemas.microsoft.com/office/drawing/2014/main" id="{00000000-0008-0000-2D00-0000145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2D00-0000155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2D00-0000165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2D00-0000175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sp macro="" textlink="">
            <xdr:nvSpPr>
              <xdr:cNvPr id="88088" name="Button 24" hidden="1">
                <a:extLst>
                  <a:ext uri="{63B3BB69-23CF-44E3-9099-C40C66FF867C}">
                    <a14:compatExt spid="_x0000_s88088"/>
                  </a:ext>
                  <a:ext uri="{FF2B5EF4-FFF2-40B4-BE49-F238E27FC236}">
                    <a16:creationId xmlns:a16="http://schemas.microsoft.com/office/drawing/2014/main" id="{00000000-0008-0000-2D00-0000185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8089" name="Button 25" hidden="1">
                <a:extLst>
                  <a:ext uri="{63B3BB69-23CF-44E3-9099-C40C66FF867C}">
                    <a14:compatExt spid="_x0000_s88089"/>
                  </a:ext>
                  <a:ext uri="{FF2B5EF4-FFF2-40B4-BE49-F238E27FC236}">
                    <a16:creationId xmlns:a16="http://schemas.microsoft.com/office/drawing/2014/main" id="{00000000-0008-0000-2D00-0000195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sp macro="" textlink="">
            <xdr:nvSpPr>
              <xdr:cNvPr id="88090" name="Button 26" hidden="1">
                <a:extLst>
                  <a:ext uri="{63B3BB69-23CF-44E3-9099-C40C66FF867C}">
                    <a14:compatExt spid="_x0000_s88090"/>
                  </a:ext>
                  <a:ext uri="{FF2B5EF4-FFF2-40B4-BE49-F238E27FC236}">
                    <a16:creationId xmlns:a16="http://schemas.microsoft.com/office/drawing/2014/main" id="{00000000-0008-0000-2D00-00001A5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8091" name="Button 27" hidden="1">
                <a:extLst>
                  <a:ext uri="{63B3BB69-23CF-44E3-9099-C40C66FF867C}">
                    <a14:compatExt spid="_x0000_s88091"/>
                  </a:ext>
                  <a:ext uri="{FF2B5EF4-FFF2-40B4-BE49-F238E27FC236}">
                    <a16:creationId xmlns:a16="http://schemas.microsoft.com/office/drawing/2014/main" id="{00000000-0008-0000-2D00-00001B5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sp macro="" textlink="">
                <xdr:nvSpPr>
                  <xdr:cNvPr id="87046" name="Option Button 6" hidden="1">
                    <a:extLst>
                      <a:ext uri="{63B3BB69-23CF-44E3-9099-C40C66FF867C}">
                        <a14:compatExt spid="_x0000_s87046"/>
                      </a:ext>
                      <a:ext uri="{FF2B5EF4-FFF2-40B4-BE49-F238E27FC236}">
                        <a16:creationId xmlns:a16="http://schemas.microsoft.com/office/drawing/2014/main" id="{00000000-0008-0000-2E00-0000065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2E00-0000075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2E00-0000085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7049" name="Option Button 9" hidden="1">
                    <a:extLst>
                      <a:ext uri="{63B3BB69-23CF-44E3-9099-C40C66FF867C}">
                        <a14:compatExt spid="_x0000_s87049"/>
                      </a:ext>
                      <a:ext uri="{FF2B5EF4-FFF2-40B4-BE49-F238E27FC236}">
                        <a16:creationId xmlns:a16="http://schemas.microsoft.com/office/drawing/2014/main" id="{00000000-0008-0000-2E00-0000095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7050" name="Group Box 10" hidden="1">
                  <a:extLst>
                    <a:ext uri="{63B3BB69-23CF-44E3-9099-C40C66FF867C}">
                      <a14:compatExt spid="_x0000_s87050"/>
                    </a:ext>
                    <a:ext uri="{FF2B5EF4-FFF2-40B4-BE49-F238E27FC236}">
                      <a16:creationId xmlns:a16="http://schemas.microsoft.com/office/drawing/2014/main" id="{00000000-0008-0000-2E00-00000A5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sp macro="" textlink="">
              <xdr:nvSpPr>
                <xdr:cNvPr id="87051" name="Group Box 11" hidden="1">
                  <a:extLst>
                    <a:ext uri="{63B3BB69-23CF-44E3-9099-C40C66FF867C}">
                      <a14:compatExt spid="_x0000_s87051"/>
                    </a:ext>
                    <a:ext uri="{FF2B5EF4-FFF2-40B4-BE49-F238E27FC236}">
                      <a16:creationId xmlns:a16="http://schemas.microsoft.com/office/drawing/2014/main" id="{00000000-0008-0000-2E00-00000B5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2E00-00000C5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2E00-00000D5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2E00-00000E5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2E00-0000115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2E00-0000125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2E00-0000135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2E00-0000145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sp macro="" textlink="">
                <xdr:nvSpPr>
                  <xdr:cNvPr id="86023" name="Option Button 7" hidden="1">
                    <a:extLst>
                      <a:ext uri="{63B3BB69-23CF-44E3-9099-C40C66FF867C}">
                        <a14:compatExt spid="_x0000_s86023"/>
                      </a:ext>
                      <a:ext uri="{FF2B5EF4-FFF2-40B4-BE49-F238E27FC236}">
                        <a16:creationId xmlns:a16="http://schemas.microsoft.com/office/drawing/2014/main" id="{00000000-0008-0000-2F00-0000075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6024" name="Option Button 8" hidden="1">
                    <a:extLst>
                      <a:ext uri="{63B3BB69-23CF-44E3-9099-C40C66FF867C}">
                        <a14:compatExt spid="_x0000_s86024"/>
                      </a:ext>
                      <a:ext uri="{FF2B5EF4-FFF2-40B4-BE49-F238E27FC236}">
                        <a16:creationId xmlns:a16="http://schemas.microsoft.com/office/drawing/2014/main" id="{00000000-0008-0000-2F00-0000085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6025" name="Option Button 9" hidden="1">
                    <a:extLst>
                      <a:ext uri="{63B3BB69-23CF-44E3-9099-C40C66FF867C}">
                        <a14:compatExt spid="_x0000_s86025"/>
                      </a:ext>
                      <a:ext uri="{FF2B5EF4-FFF2-40B4-BE49-F238E27FC236}">
                        <a16:creationId xmlns:a16="http://schemas.microsoft.com/office/drawing/2014/main" id="{00000000-0008-0000-2F00-0000095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6026" name="Option Button 10" hidden="1">
                    <a:extLst>
                      <a:ext uri="{63B3BB69-23CF-44E3-9099-C40C66FF867C}">
                        <a14:compatExt spid="_x0000_s86026"/>
                      </a:ext>
                      <a:ext uri="{FF2B5EF4-FFF2-40B4-BE49-F238E27FC236}">
                        <a16:creationId xmlns:a16="http://schemas.microsoft.com/office/drawing/2014/main" id="{00000000-0008-0000-2F00-00000A5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6027" name="Group Box 11" hidden="1">
                  <a:extLst>
                    <a:ext uri="{63B3BB69-23CF-44E3-9099-C40C66FF867C}">
                      <a14:compatExt spid="_x0000_s86027"/>
                    </a:ext>
                    <a:ext uri="{FF2B5EF4-FFF2-40B4-BE49-F238E27FC236}">
                      <a16:creationId xmlns:a16="http://schemas.microsoft.com/office/drawing/2014/main" id="{00000000-0008-0000-2F00-00000B5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sp macro="" textlink="">
              <xdr:nvSpPr>
                <xdr:cNvPr id="86028" name="Group Box 12" hidden="1">
                  <a:extLst>
                    <a:ext uri="{63B3BB69-23CF-44E3-9099-C40C66FF867C}">
                      <a14:compatExt spid="_x0000_s86028"/>
                    </a:ext>
                    <a:ext uri="{FF2B5EF4-FFF2-40B4-BE49-F238E27FC236}">
                      <a16:creationId xmlns:a16="http://schemas.microsoft.com/office/drawing/2014/main" id="{00000000-0008-0000-2F00-00000C5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2F00-00000D5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2F00-00000E5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2F00-00000F5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2F00-0000105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2F00-0000115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2F00-0000125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2F00-0000135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3000-0000019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3000-000002980100}"/>
                  </a:ext>
                </a:extLst>
              </xdr:cNvPr>
              <xdr:cNvSpPr/>
            </xdr:nvSpPr>
            <xdr:spPr bwMode="auto">
              <a:xfrm>
                <a:off x="87344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30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30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30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30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30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30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30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30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30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30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3000-000016980100}"/>
                  </a:ext>
                </a:extLst>
              </xdr:cNvPr>
              <xdr:cNvSpPr/>
            </xdr:nvSpPr>
            <xdr:spPr bwMode="auto">
              <a:xfrm>
                <a:off x="12668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sp macro="" textlink="">
                <xdr:nvSpPr>
                  <xdr:cNvPr id="84998" name="Option Button 6" hidden="1">
                    <a:extLst>
                      <a:ext uri="{63B3BB69-23CF-44E3-9099-C40C66FF867C}">
                        <a14:compatExt spid="_x0000_s84998"/>
                      </a:ext>
                      <a:ext uri="{FF2B5EF4-FFF2-40B4-BE49-F238E27FC236}">
                        <a16:creationId xmlns:a16="http://schemas.microsoft.com/office/drawing/2014/main" id="{00000000-0008-0000-3100-0000064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4999" name="Option Button 7" hidden="1">
                    <a:extLst>
                      <a:ext uri="{63B3BB69-23CF-44E3-9099-C40C66FF867C}">
                        <a14:compatExt spid="_x0000_s84999"/>
                      </a:ext>
                      <a:ext uri="{FF2B5EF4-FFF2-40B4-BE49-F238E27FC236}">
                        <a16:creationId xmlns:a16="http://schemas.microsoft.com/office/drawing/2014/main" id="{00000000-0008-0000-3100-0000074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5000" name="Option Button 8" hidden="1">
                    <a:extLst>
                      <a:ext uri="{63B3BB69-23CF-44E3-9099-C40C66FF867C}">
                        <a14:compatExt spid="_x0000_s85000"/>
                      </a:ext>
                      <a:ext uri="{FF2B5EF4-FFF2-40B4-BE49-F238E27FC236}">
                        <a16:creationId xmlns:a16="http://schemas.microsoft.com/office/drawing/2014/main" id="{00000000-0008-0000-3100-0000084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5001" name="Option Button 9" hidden="1">
                    <a:extLst>
                      <a:ext uri="{63B3BB69-23CF-44E3-9099-C40C66FF867C}">
                        <a14:compatExt spid="_x0000_s85001"/>
                      </a:ext>
                      <a:ext uri="{FF2B5EF4-FFF2-40B4-BE49-F238E27FC236}">
                        <a16:creationId xmlns:a16="http://schemas.microsoft.com/office/drawing/2014/main" id="{00000000-0008-0000-3100-0000094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5002" name="Group Box 10" hidden="1">
                  <a:extLst>
                    <a:ext uri="{63B3BB69-23CF-44E3-9099-C40C66FF867C}">
                      <a14:compatExt spid="_x0000_s85002"/>
                    </a:ext>
                    <a:ext uri="{FF2B5EF4-FFF2-40B4-BE49-F238E27FC236}">
                      <a16:creationId xmlns:a16="http://schemas.microsoft.com/office/drawing/2014/main" id="{00000000-0008-0000-3100-00000A4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100-00000B4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3100-00000C4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3100-00000D4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100-00000E4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114300</xdr:rowOff>
        </xdr:from>
        <xdr:to>
          <xdr:col>8</xdr:col>
          <xdr:colOff>285750</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714875" y="114300"/>
              <a:ext cx="990600" cy="257175"/>
              <a:chOff x="771525" y="1314450"/>
              <a:chExt cx="990600" cy="257175"/>
            </a:xfrm>
          </xdr:grpSpPr>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100-00000F4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3100-0000104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66675</xdr:colOff>
          <xdr:row>3</xdr:row>
          <xdr:rowOff>114300</xdr:rowOff>
        </xdr:from>
        <xdr:to>
          <xdr:col>12</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7277100" y="857250"/>
              <a:ext cx="1095375" cy="257175"/>
              <a:chOff x="8201025" y="3448050"/>
              <a:chExt cx="1095375" cy="257175"/>
            </a:xfrm>
          </xdr:grpSpPr>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3100-0000114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3100-0000124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3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3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3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3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3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3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3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3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3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3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3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sp macro="" textlink="">
            <xdr:nvSpPr>
              <xdr:cNvPr id="82963" name="Button 19" hidden="1">
                <a:extLst>
                  <a:ext uri="{63B3BB69-23CF-44E3-9099-C40C66FF867C}">
                    <a14:compatExt spid="_x0000_s82963"/>
                  </a:ext>
                  <a:ext uri="{FF2B5EF4-FFF2-40B4-BE49-F238E27FC236}">
                    <a16:creationId xmlns:a16="http://schemas.microsoft.com/office/drawing/2014/main" id="{00000000-0008-0000-3200-0000134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2964" name="Button 20" hidden="1">
                <a:extLst>
                  <a:ext uri="{63B3BB69-23CF-44E3-9099-C40C66FF867C}">
                    <a14:compatExt spid="_x0000_s82964"/>
                  </a:ext>
                  <a:ext uri="{FF2B5EF4-FFF2-40B4-BE49-F238E27FC236}">
                    <a16:creationId xmlns:a16="http://schemas.microsoft.com/office/drawing/2014/main" id="{00000000-0008-0000-3200-0000144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sp macro="" textlink="">
                <xdr:nvSpPr>
                  <xdr:cNvPr id="80902" name="Option Button 6" hidden="1">
                    <a:extLst>
                      <a:ext uri="{63B3BB69-23CF-44E3-9099-C40C66FF867C}">
                        <a14:compatExt spid="_x0000_s80902"/>
                      </a:ext>
                      <a:ext uri="{FF2B5EF4-FFF2-40B4-BE49-F238E27FC236}">
                        <a16:creationId xmlns:a16="http://schemas.microsoft.com/office/drawing/2014/main" id="{00000000-0008-0000-3300-0000063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0903" name="Option Button 7" hidden="1">
                    <a:extLst>
                      <a:ext uri="{63B3BB69-23CF-44E3-9099-C40C66FF867C}">
                        <a14:compatExt spid="_x0000_s80903"/>
                      </a:ext>
                      <a:ext uri="{FF2B5EF4-FFF2-40B4-BE49-F238E27FC236}">
                        <a16:creationId xmlns:a16="http://schemas.microsoft.com/office/drawing/2014/main" id="{00000000-0008-0000-3300-0000073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0904" name="Option Button 8" hidden="1">
                    <a:extLst>
                      <a:ext uri="{63B3BB69-23CF-44E3-9099-C40C66FF867C}">
                        <a14:compatExt spid="_x0000_s80904"/>
                      </a:ext>
                      <a:ext uri="{FF2B5EF4-FFF2-40B4-BE49-F238E27FC236}">
                        <a16:creationId xmlns:a16="http://schemas.microsoft.com/office/drawing/2014/main" id="{00000000-0008-0000-3300-0000083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0905" name="Option Button 9" hidden="1">
                    <a:extLst>
                      <a:ext uri="{63B3BB69-23CF-44E3-9099-C40C66FF867C}">
                        <a14:compatExt spid="_x0000_s80905"/>
                      </a:ext>
                      <a:ext uri="{FF2B5EF4-FFF2-40B4-BE49-F238E27FC236}">
                        <a16:creationId xmlns:a16="http://schemas.microsoft.com/office/drawing/2014/main" id="{00000000-0008-0000-3300-0000093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0906" name="Group Box 10" hidden="1">
                  <a:extLst>
                    <a:ext uri="{63B3BB69-23CF-44E3-9099-C40C66FF867C}">
                      <a14:compatExt spid="_x0000_s80906"/>
                    </a:ext>
                    <a:ext uri="{FF2B5EF4-FFF2-40B4-BE49-F238E27FC236}">
                      <a16:creationId xmlns:a16="http://schemas.microsoft.com/office/drawing/2014/main" id="{00000000-0008-0000-3300-00000A3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sp macro="" textlink="">
              <xdr:nvSpPr>
                <xdr:cNvPr id="80907" name="Group Box 11" hidden="1">
                  <a:extLst>
                    <a:ext uri="{63B3BB69-23CF-44E3-9099-C40C66FF867C}">
                      <a14:compatExt spid="_x0000_s80907"/>
                    </a:ext>
                    <a:ext uri="{FF2B5EF4-FFF2-40B4-BE49-F238E27FC236}">
                      <a16:creationId xmlns:a16="http://schemas.microsoft.com/office/drawing/2014/main" id="{00000000-0008-0000-3300-00000B3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sp macro="" textlink="">
                <xdr:nvSpPr>
                  <xdr:cNvPr id="80908" name="Button 12" hidden="1">
                    <a:extLst>
                      <a:ext uri="{63B3BB69-23CF-44E3-9099-C40C66FF867C}">
                        <a14:compatExt spid="_x0000_s80908"/>
                      </a:ext>
                      <a:ext uri="{FF2B5EF4-FFF2-40B4-BE49-F238E27FC236}">
                        <a16:creationId xmlns:a16="http://schemas.microsoft.com/office/drawing/2014/main" id="{00000000-0008-0000-3300-00000C3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0909" name="Button 13" hidden="1">
                    <a:extLst>
                      <a:ext uri="{63B3BB69-23CF-44E3-9099-C40C66FF867C}">
                        <a14:compatExt spid="_x0000_s80909"/>
                      </a:ext>
                      <a:ext uri="{FF2B5EF4-FFF2-40B4-BE49-F238E27FC236}">
                        <a16:creationId xmlns:a16="http://schemas.microsoft.com/office/drawing/2014/main" id="{00000000-0008-0000-3300-00000D3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0910" name="Button 14" hidden="1">
                    <a:extLst>
                      <a:ext uri="{63B3BB69-23CF-44E3-9099-C40C66FF867C}">
                        <a14:compatExt spid="_x0000_s80910"/>
                      </a:ext>
                      <a:ext uri="{FF2B5EF4-FFF2-40B4-BE49-F238E27FC236}">
                        <a16:creationId xmlns:a16="http://schemas.microsoft.com/office/drawing/2014/main" id="{00000000-0008-0000-3300-00000E3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3300-00000F3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0912" name="Button 16" hidden="1">
                <a:extLst>
                  <a:ext uri="{63B3BB69-23CF-44E3-9099-C40C66FF867C}">
                    <a14:compatExt spid="_x0000_s80912"/>
                  </a:ext>
                  <a:ext uri="{FF2B5EF4-FFF2-40B4-BE49-F238E27FC236}">
                    <a16:creationId xmlns:a16="http://schemas.microsoft.com/office/drawing/2014/main" id="{00000000-0008-0000-3300-0000103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sp macro="" textlink="">
            <xdr:nvSpPr>
              <xdr:cNvPr id="80913" name="Button 17" hidden="1">
                <a:extLst>
                  <a:ext uri="{63B3BB69-23CF-44E3-9099-C40C66FF867C}">
                    <a14:compatExt spid="_x0000_s80913"/>
                  </a:ext>
                  <a:ext uri="{FF2B5EF4-FFF2-40B4-BE49-F238E27FC236}">
                    <a16:creationId xmlns:a16="http://schemas.microsoft.com/office/drawing/2014/main" id="{00000000-0008-0000-3300-0000113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300-0000123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125" backgroundQuery="1" createdVersion="7" refreshedVersion="8" minRefreshableVersion="3" recordCount="0" supportSubquery="1" supportAdvancedDrill="1" xr:uid="{7E64645C-B4A5-4C45-A699-FB72FC1E192A}">
  <cacheSource type="external" connectionId="1"/>
  <cacheFields count="12">
    <cacheField name="[Table_DonBan].[Ngày lập].[Ngày lập]" caption="Ngày lập" numFmtId="0" hierarchy="138" level="1">
      <sharedItems containsSemiMixedTypes="0" containsNonDate="0" containsDate="1" containsString="0" minDate="2023-11-05T00:00:00" maxDate="2024-04-26T00:00:00" count="18">
        <d v="2023-11-05T00:00:00"/>
        <d v="2023-11-15T00:00:00"/>
        <d v="2023-11-25T00:00:00"/>
        <d v="2023-12-05T00:00:00"/>
        <d v="2023-12-15T00:00:00"/>
        <d v="2023-12-25T00:00:00"/>
        <d v="2024-01-05T00:00:00"/>
        <d v="2024-01-15T00:00:00"/>
        <d v="2024-01-25T00:00:00"/>
        <d v="2024-02-05T00:00:00"/>
        <d v="2024-02-15T00:00:00"/>
        <d v="2024-02-25T00:00:00"/>
        <d v="2024-03-05T00:00:00"/>
        <d v="2024-03-15T00:00:00"/>
        <d v="2024-03-25T00:00:00"/>
        <d v="2024-04-05T00:00:00"/>
        <d v="2024-04-15T00:00:00"/>
        <d v="2024-04-25T00:00:00"/>
      </sharedItems>
    </cacheField>
    <cacheField name="[Table_KhachHang].[Phân khúc].[Phân khúc]" caption="Phân khúc" numFmtId="0" hierarchy="189" level="1">
      <sharedItems count="2">
        <s v="B2C"/>
        <s v="B2B"/>
      </sharedItems>
    </cacheField>
    <cacheField name="[Table_KhachHang].[Tỉnh].[Tỉnh]" caption="Tỉnh" numFmtId="0" hierarchy="194" level="1">
      <sharedItems count="7">
        <s v="Yên Bái"/>
        <s v="Hà Tĩnh"/>
        <s v="Thanh Hóa"/>
        <s v="Nghệ An"/>
        <s v="Lào Cai"/>
        <s v="Thái Bình"/>
        <s v="Nam Định"/>
      </sharedItems>
    </cacheField>
    <cacheField name="[Table_DonBan].[Mã Đơn bán].[Mã Đơn bán]" caption="Mã Đơn bán" numFmtId="0" hierarchy="137" level="1">
      <sharedItems count="18">
        <s v="BAN-KH02-231105-1"/>
        <s v="BAN-KH04-231115-1"/>
        <s v="BAN-KH02-231125-1"/>
        <s v="BAN-KH05-231205-1"/>
        <s v="BAN-KH03-231215-1"/>
        <s v="BAN-KH01-231225-1"/>
        <s v="BAN-KH02-240105-1"/>
        <s v="BAN-KH05-240115-1"/>
        <s v="BAN-KH04-240125-1"/>
        <s v="BAN-KH06-240205-1"/>
        <s v="BAN-KH06-240215-1"/>
        <s v="BAN-KH07-240225-1"/>
        <s v="BAN-KH02-240305-1"/>
        <s v="BAN-KH01-240315-1"/>
        <s v="BAN-KH05-240325-1"/>
        <s v="BAN-KH03-240405-1"/>
        <s v="BAN-KH03-240415-1"/>
        <s v="BAN-KH04-240425-1"/>
      </sharedItems>
    </cacheField>
    <cacheField name="[Measures].[Sum of Số lượng]" caption="Sum of Số lượng" numFmtId="0" hierarchy="506" level="32767"/>
    <cacheField name="[Table_SKU].[Nhóm 1].[Nhóm 1]" caption="Nhóm 1" numFmtId="0" hierarchy="333" level="1">
      <sharedItems count="3">
        <s v="Nhóm 1"/>
        <s v="Nhóm 2"/>
        <s v="Nhóm 3"/>
      </sharedItems>
    </cacheField>
    <cacheField name="[Table_Main].[Mã SKU].[Mã SKU]" caption="Mã SKU" numFmtId="0" hierarchy="225" level="1">
      <sharedItems count="3">
        <s v="TP-Aa1-1"/>
        <s v="TP-Bb2-2"/>
        <s v="TP-Cc3-3"/>
      </sharedItems>
    </cacheField>
    <cacheField name="[Measures].[Sum of Giá trị bán trước VAT]" caption="Sum of Giá trị bán trước VAT" numFmtId="0" hierarchy="479" level="32767"/>
    <cacheField name="[Table_Main].[Loại].[Loại]" caption="Loại" numFmtId="0" hierarchy="242" level="1">
      <sharedItems count="1">
        <s v="Xuất"/>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1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9"/>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3"/>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2"/>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6"/>
      </fieldsUsage>
    </cacheHierarchy>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2" memberValueDatatype="130" unbalanced="0">
      <fieldsUsage count="2">
        <fieldUsage x="-1"/>
        <fieldUsage x="8"/>
      </fieldsUsage>
    </cacheHierarchy>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7"/>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4"/>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9421299" backgroundQuery="1" createdVersion="8" refreshedVersion="8" minRefreshableVersion="3" recordCount="0" supportSubquery="1" supportAdvancedDrill="1" xr:uid="{97528A33-6E01-4113-A8A8-DC946B083376}">
  <cacheSource type="external" connectionId="1"/>
  <cacheFields count="10">
    <cacheField name="[Table_ChiPhiKD].[Kỳ].[Kỳ]" caption="Kỳ" numFmtId="0" hierarchy="20"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hachHang].[Phân khúc].[Phân khúc]" caption="Phân khúc" numFmtId="0" hierarchy="189" level="1">
      <sharedItems count="2">
        <s v="B2C"/>
        <s v="B2B"/>
      </sharedItems>
    </cacheField>
    <cacheField name="[Ref_Periods].[Kỳ].[Kỳ]" caption="Kỳ" numFmtId="0" hierarchy="14"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DonBan].[Ngày lập].[Ngày lập]" caption="Ngày lập" numFmtId="0" hierarchy="138" level="1">
      <sharedItems containsSemiMixedTypes="0" containsNonDate="0" containsDate="1" containsString="0" minDate="2024-01-05T00:00:00" maxDate="2024-10-26T00:00:00" count="29">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u="1"/>
        <d v="2024-09-25T00:00:00" u="1"/>
        <d v="2024-10-05T00:00:00" u="1"/>
        <d v="2024-10-15T00:00:00" u="1"/>
        <d v="2024-10-25T00:00:00" u="1"/>
      </sharedItems>
    </cacheField>
    <cacheField name="[Table_DonBan].[Điểm khả dụng].[Điểm khả dụng]" caption="Điểm khả dụng" numFmtId="0" hierarchy="144"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Điểm khả dụng].&amp;[107600000]"/>
            <x15:cachedUniqueName index="1" name="[Table_DonBan].[Điểm khả dụng].&amp;[109500000]"/>
            <x15:cachedUniqueName index="2" name="[Table_DonBan].[Điểm khả dụng].&amp;[113600000]"/>
            <x15:cachedUniqueName index="3" name="[Table_DonBan].[Điểm khả dụng].&amp;[114200000]"/>
            <x15:cachedUniqueName index="4" name="[Table_DonBan].[Điểm khả dụng].&amp;[115800000]"/>
            <x15:cachedUniqueName index="5" name="[Table_DonBan].[Điểm khả dụng].&amp;[113900000]"/>
            <x15:cachedUniqueName index="6" name="[Table_DonBan].[Điểm khả dụng].&amp;[113500000]"/>
            <x15:cachedUniqueName index="7" name="[Table_DonBan].[Điểm khả dụng].&amp;[113200000]"/>
            <x15:cachedUniqueName index="8" name="[Table_DonBan].[Điểm khả dụng].&amp;[112200000]"/>
            <x15:cachedUniqueName index="9" name="[Table_DonBan].[Điểm khả dụng].&amp;[115200000]"/>
            <x15:cachedUniqueName index="10" name="[Table_DonBan].[Điểm khả dụng].&amp;[118600000]"/>
            <x15:cachedUniqueName index="11" name="[Table_DonBan].[Điểm khả dụng].&amp;[121300000]"/>
            <x15:cachedUniqueName index="12" name="[Table_DonBan].[Điểm khả dụng].&amp;[122900000]"/>
            <x15:cachedUniqueName index="13" name="[Table_DonBan].[Điểm khả dụng].&amp;[126600000]"/>
            <x15:cachedUniqueName index="14" name="[Table_DonBan].[Điểm khả dụng].&amp;[126900000]"/>
            <x15:cachedUniqueName index="15" name="[Table_DonBan].[Điểm khả dụng].&amp;[127700000]"/>
            <x15:cachedUniqueName index="16" name="[Table_DonBan].[Điểm khả dụng].&amp;[127500000]"/>
            <x15:cachedUniqueName index="17" name="[Table_DonBan].[Điểm khả dụng].&amp;[129400000]"/>
            <x15:cachedUniqueName index="18" name="[Table_DonBan].[Điểm khả dụng].&amp;[130900000]"/>
            <x15:cachedUniqueName index="19" name="[Table_DonBan].[Điểm khả dụng].&amp;[131700000]"/>
            <x15:cachedUniqueName index="20" name="[Table_DonBan].[Điểm khả dụng].&amp;[134300000]"/>
            <x15:cachedUniqueName index="21" name="[Table_DonBan].[Điểm khả dụng].&amp;[136900000]"/>
            <x15:cachedUniqueName index="22" name="[Table_DonBan].[Điểm khả dụng].&amp;[140200000]"/>
            <x15:cachedUniqueName index="23" name="[Table_DonBan].[Điểm khả dụng].&amp;[143900000]"/>
            <x15:cachedUniqueName index="24" name="[Table_DonBan].[Điểm khả dụng].&amp;[146100000]"/>
            <x15:cachedUniqueName index="25" name="[Table_DonBan].[Điểm khả dụng].&amp;[146700000]"/>
            <x15:cachedUniqueName index="26" name="[Table_DonBan].[Điểm khả dụng].&amp;[149900000]"/>
            <x15:cachedUniqueName index="27" name="[Table_DonBan].[Điểm khả dụng].&amp;[155100000]"/>
            <x15:cachedUniqueName index="28" name="[Table_DonBan].[Điểm khả dụng].&amp;[155000000]"/>
            <x15:cachedUniqueName index="29" name="[Table_DonBan].[Điểm khả dụng].&amp;[159200000]"/>
            <x15:cachedUniqueName index="30" name="[Table_DonBan].[Điểm khả dụng].&amp;[154600000]"/>
            <x15:cachedUniqueName index="31" name="[Table_DonBan].[Điểm khả dụng].&amp;[160000000]"/>
            <x15:cachedUniqueName index="32" name="[Table_DonBan].[Điểm khả dụng].&amp;[162600000]"/>
            <x15:cachedUniqueName index="33" name="[Table_DonBan].[Điểm khả dụng].&amp;[162900000]"/>
            <x15:cachedUniqueName index="34" name="[Table_DonBan].[Điểm khả dụng].&amp;[164900000]"/>
            <x15:cachedUniqueName index="35" name="[Table_DonBan].[Điểm khả dụng].&amp;[168000000]"/>
          </x15:cachedUniqueNames>
        </ext>
      </extLst>
    </cacheField>
    <cacheField name="[Table_SKU].[Nhóm 1].[Nhóm 1]" caption="Nhóm 1" numFmtId="0" hierarchy="333" level="1">
      <sharedItems count="3">
        <s v="Nhóm 1"/>
        <s v="Nhóm 2"/>
        <s v="Nhóm 3"/>
      </sharedItems>
    </cacheField>
    <cacheField name="[Table_NhanVien].[Mã NV].[Mã NV]" caption="Mã NV" numFmtId="0" hierarchy="285" level="1">
      <sharedItems count="2">
        <s v="NV02"/>
        <s v="NV03"/>
      </sharedItems>
    </cacheField>
    <cacheField name="[Table_Kenh].[Mã Kênh].[Mã Kênh]" caption="Mã Kênh" numFmtId="0" hierarchy="182" level="1">
      <sharedItems count="6">
        <s v="ST"/>
        <s v="SP"/>
        <s v="FB"/>
        <s v="TK"/>
        <s v="LZ"/>
        <s v="TT"/>
      </sharedItems>
    </cacheField>
    <cacheField name="[Measures].[Sum of Giá trị bán trước VAT]" caption="Sum of Giá trị bán trước VAT" numFmtId="0" hierarchy="479" level="32767"/>
    <cacheField name="[Table_DonBan].[Doanh thu ròng].[Doanh thu ròng]" caption="Doanh thu ròng" numFmtId="0" hierarchy="150" level="1">
      <sharedItems containsSemiMixedTypes="0" containsString="0" containsNumber="1" containsInteger="1" minValue="107600000" maxValue="143900000" count="24">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s>
        </ext>
      </extLst>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2"/>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0"/>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3"/>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4"/>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9"/>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2" memberValueDatatype="130" unbalanced="0">
      <fieldsUsage count="2">
        <fieldUsage x="-1"/>
        <fieldUsage x="7"/>
      </fieldsUsage>
    </cacheHierarchy>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2" memberValueDatatype="130" unbalanced="0">
      <fieldsUsage count="2">
        <fieldUsage x="-1"/>
        <fieldUsage x="6"/>
      </fieldsUsage>
    </cacheHierarchy>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8"/>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8217589" backgroundQuery="1" createdVersion="7" refreshedVersion="8" minRefreshableVersion="3" recordCount="0" supportSubquery="1" supportAdvancedDrill="1" xr:uid="{5D5766AE-A7F7-43B4-A82C-D0520083DCF1}">
  <cacheSource type="external" connectionId="1"/>
  <cacheFields count="12">
    <cacheField name="[Table_DonBan].[Ngày lập].[Ngày lập]" caption="Ngày lập" numFmtId="0" hierarchy="138"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KhachHang].[Phân khúc].[Phân khúc]" caption="Phân khúc" numFmtId="0" hierarchy="189" level="1">
      <sharedItems count="2">
        <s v="B2C"/>
        <s v="B2B"/>
      </sharedItems>
    </cacheField>
    <cacheField name="[Table_KhachHang].[Mã KH].[Mã KH]" caption="Mã KH" numFmtId="0" hierarchy="187" level="1">
      <sharedItems count="7">
        <s v="KH02"/>
        <s v="KH05"/>
        <s v="KH04"/>
        <s v="KH06"/>
        <s v="KH07"/>
        <s v="KH01"/>
        <s v="KH03"/>
      </sharedItems>
    </cacheField>
    <cacheField name="[Table_KhachHang].[Tỉnh].[Tỉnh]" caption="Tỉnh" numFmtId="0" hierarchy="194" level="1">
      <sharedItems count="7">
        <s v="Yên Bái"/>
        <s v="Thanh Hóa"/>
        <s v="Hà Tĩnh"/>
        <s v="Thái Bình"/>
        <s v="Nam Định"/>
        <s v="Lào Cai"/>
        <s v="Nghệ An"/>
      </sharedItems>
    </cacheField>
    <cacheField name="[Table_DonBan].[Mã Đơn bán].[Mã Đơn bán]" caption="Mã Đơn bán" numFmtId="0" hierarchy="137" level="1">
      <sharedItems count="36">
        <s v="BAN-KH02-240105-1"/>
        <s v="BAN-KH05-240115-1"/>
        <s v="BAN-KH04-240125-1"/>
        <s v="BAN-KH06-240205-1"/>
        <s v="BAN-KH06-240215-1"/>
        <s v="BAN-KH07-240225-1"/>
        <s v="BAN-KH02-240305-1"/>
        <s v="BAN-KH01-240315-1"/>
        <s v="BAN-KH05-240325-1"/>
        <s v="BAN-KH03-240405-1"/>
        <s v="BAN-KH03-240415-1"/>
        <s v="BAN-KH04-240425-1"/>
        <s v="BAN-KH02-240505-1"/>
        <s v="BAN-KH01-240515-1"/>
        <s v="BAN-KH06-240525-1"/>
        <s v="BAN-KH02-240605-1"/>
        <s v="BAN-KH04-240615-1"/>
        <s v="BAN-KH03-240625-1"/>
        <s v="BAN-KH02-240705-1"/>
        <s v="BAN-KH01-240715-1"/>
        <s v="BAN-KH04-240725-1"/>
        <s v="BAN-KH05-240805-1"/>
        <s v="BAN-KH02-240815-1"/>
        <s v="BAN-KH01-240825-1"/>
        <s v="BAN-KH03-240905-1"/>
        <s v="BAN-KH05-240915-1"/>
        <s v="BAN-KH01-240925-1"/>
        <s v="BAN-KH02-241005-1"/>
        <s v="BAN-KH04-241015-1"/>
        <s v="BAN-KH03-241025-1"/>
        <s v="BAN-KH01-241105-1"/>
        <s v="BAN-KH03-241115-1"/>
        <s v="BAN-KH05-241125-1"/>
        <s v="BAN-KH06-241205-1"/>
        <s v="BAN-KH02-241215-1"/>
        <s v="BAN-KH07-241225-1"/>
      </sharedItems>
    </cacheField>
    <cacheField name="[Measures].[Sum of Số lượng]" caption="Sum of Số lượng" numFmtId="0" hierarchy="506" level="32767"/>
    <cacheField name="[Table_DonBan].[STT đơn của khách].[STT đơn của khách]" caption="STT đơn của khách" numFmtId="0" hierarchy="153"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333" level="1">
      <sharedItems count="3">
        <s v="Nhóm 1"/>
        <s v="Nhóm 2"/>
        <s v="Nhóm 3"/>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onBan].[Doanh thu ròng].[Doanh thu ròng]" caption="Doanh thu ròng" numFmtId="0" hierarchy="150"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9"/>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8"/>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4"/>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0"/>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6"/>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2" memberValueDatatype="130" unbalanced="0">
      <fieldsUsage count="2">
        <fieldUsage x="-1"/>
        <fieldUsage x="2"/>
      </fieldsUsage>
    </cacheHierarchy>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3"/>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7"/>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5"/>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983796" backgroundQuery="1" createdVersion="8" refreshedVersion="8" minRefreshableVersion="3" recordCount="0" supportSubquery="1" supportAdvancedDrill="1" xr:uid="{AFD95C94-565E-4D2B-8944-941522BFB052}">
  <cacheSource type="external" connectionId="1"/>
  <cacheFields count="4">
    <cacheField name="[Ref_Periods].[Kỳ (Year)].[Kỳ (Year)]" caption="Kỳ (Year)" numFmtId="0" hierarchy="15" level="1">
      <sharedItems containsSemiMixedTypes="0" containsNonDate="0" containsString="0"/>
    </cacheField>
    <cacheField name="[Table_Datafeed].[Kỳ].[Kỳ]" caption="Kỳ" numFmtId="0" hierarchy="59" level="1">
      <sharedItems containsSemiMixedTypes="0" containsNonDate="0" containsDate="1" containsString="0" minDate="2024-01-01T00:00:00" maxDate="2024-09-02T00:00:00" count="9">
        <d v="2024-01-01T00:00:00"/>
        <d v="2024-02-01T00:00:00"/>
        <d v="2024-03-01T00:00:00"/>
        <d v="2024-04-01T00:00:00"/>
        <d v="2024-05-01T00:00:00"/>
        <d v="2024-06-01T00:00:00"/>
        <d v="2024-07-01T00:00:00"/>
        <d v="2024-08-01T00:00:00"/>
        <d v="2024-09-01T00:00:00"/>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3"/>
      </fieldsUsage>
    </cacheHierarchy>
    <cacheHierarchy uniqueName="[Ref_Periods].[Kỳ (Year)]" caption="Kỳ (Year)" attribute="1" defaultMemberUniqueName="[Ref_Periods].[Kỳ (Year)].[All]" allUniqueName="[Ref_Periods].[Kỳ (Year)].[All]" dimensionUniqueName="[Ref_Periods]" displayFolder="" count="2" memberValueDatatype="130" unbalanced="0">
      <fieldsUsage count="2">
        <fieldUsage x="-1"/>
        <fieldUsage x="0"/>
      </fieldsUsage>
    </cacheHierarchy>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2"/>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565626157404" createdVersion="8" refreshedVersion="8" minRefreshableVersion="3" recordCount="13" xr:uid="{868B2116-02AA-48F0-921C-3E76D59F30F0}">
  <cacheSource type="worksheet">
    <worksheetSource name="Table_VayNo_LichTra"/>
  </cacheSource>
  <cacheFields count="21">
    <cacheField name="Kỳ" numFmtId="166">
      <sharedItems containsSemiMixedTypes="0" containsNonDate="0" containsDate="1" containsString="0" minDate="2025-04-01T00:00:00" maxDate="2027-12-02T00:00:00"/>
    </cacheField>
    <cacheField name="Năm" numFmtId="174">
      <sharedItems containsSemiMixedTypes="0" containsString="0" containsNumber="1" containsInteger="1" minValue="2025" maxValue="2027"/>
    </cacheField>
    <cacheField name="Tháng" numFmtId="174">
      <sharedItems containsString="0" containsBlank="1" containsNumber="1" containsInteger="1" minValue="4" maxValue="10"/>
    </cacheField>
    <cacheField name="Khoản vay" numFmtId="174">
      <sharedItems count="4">
        <s v="VAY4"/>
        <s v="VAY3"/>
        <s v="VAY2"/>
        <s v="VAY1"/>
      </sharedItems>
    </cacheField>
    <cacheField name="Tần suất" numFmtId="174">
      <sharedItems/>
    </cacheField>
    <cacheField name="Ngày vay" numFmtId="175">
      <sharedItems containsSemiMixedTypes="0" containsNonDate="0" containsDate="1" containsString="0" minDate="2024-02-24T00:00:00" maxDate="2025-08-01T00:00:00"/>
    </cacheField>
    <cacheField name="Ngày bắt đầu" numFmtId="175">
      <sharedItems containsSemiMixedTypes="0" containsNonDate="0" containsDate="1" containsString="0" minDate="1899-12-30T00:00:00" maxDate="2025-04-03T00:00:00"/>
    </cacheField>
    <cacheField name="Ngày kết thúc" numFmtId="175">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4">
      <sharedItems containsSemiMixedTypes="0" containsString="0" containsNumber="1" minValue="33333333.333333343" maxValue="5000000000"/>
    </cacheField>
    <cacheField name="Trả gốc trong kỳ" numFmtId="164">
      <sharedItems containsSemiMixedTypes="0" containsString="0" containsNumber="1" minValue="0" maxValue="1666666666.6666667"/>
    </cacheField>
    <cacheField name="Lãi vay" numFmtId="164">
      <sharedItems containsSemiMixedTypes="0" containsString="0" containsNumber="1" minValue="194444.44444444453" maxValue="500000000"/>
    </cacheField>
    <cacheField name="Phân bổ lãi tháng" numFmtId="164">
      <sharedItems containsSemiMixedTypes="0" containsString="0" containsNumber="1" minValue="194444.44444444453" maxValue="52000000"/>
    </cacheField>
    <cacheField name="Tổng phải trả" numFmtId="164">
      <sharedItems containsSemiMixedTypes="0" containsString="0" containsNumber="1" minValue="500000" maxValue="2166666666.666667"/>
    </cacheField>
    <cacheField name="Chi phí tính thuế" numFmtId="164">
      <sharedItems containsSemiMixedTypes="0" containsString="0" containsNumber="1" minValue="194444.44444444453" maxValue="52000000"/>
    </cacheField>
    <cacheField name="Ngày phải trả" numFmtId="175">
      <sharedItems containsSemiMixedTypes="0" containsNonDate="0" containsDate="1" containsString="0" minDate="2025-02-25T00:00:00" maxDate="2027-02-26T00:00:00" count="13">
        <d v="2025-10-31T00:00:00"/>
        <d v="2025-10-01T00:00:00"/>
        <d v="2025-08-31T00:00:00"/>
        <d v="2026-05-15T00:00:00"/>
        <d v="2025-09-01T00:00:00"/>
        <d v="2025-08-01T00:00:00"/>
        <d v="2025-07-01T00:00:00"/>
        <d v="2025-06-01T00:00:00"/>
        <d v="2025-05-01T00:00:00"/>
        <d v="2025-04-01T00:00:00"/>
        <d v="2027-02-25T00:00:00"/>
        <d v="2026-02-25T00:00:00"/>
        <d v="2025-02-25T00:00:00"/>
      </sharedItems>
      <fieldGroup par="20"/>
    </cacheField>
    <cacheField name="Remain" numFmtId="164">
      <sharedItems containsSemiMixedTypes="0" containsString="0" containsNumber="1" minValue="500000" maxValue="5861111111.1111107"/>
    </cacheField>
    <cacheField name="Add" numFmtId="174">
      <sharedItems containsNonDate="0" containsString="0" containsBlank="1"/>
    </cacheField>
    <cacheField name="Months (Ngày phải trả)" numFmtId="0" databaseField="0">
      <fieldGroup base="15">
        <rangePr groupBy="months" startDate="2025-02-25T00:00:00" endDate="2027-02-26T00:00:00"/>
        <groupItems count="14">
          <s v="&lt;25-02-25"/>
          <s v="Jan"/>
          <s v="Feb"/>
          <s v="Mar"/>
          <s v="Apr"/>
          <s v="May"/>
          <s v="Jun"/>
          <s v="Jul"/>
          <s v="Aug"/>
          <s v="Sep"/>
          <s v="Oct"/>
          <s v="Nov"/>
          <s v="Dec"/>
          <s v="&gt;26-02-27"/>
        </groupItems>
      </fieldGroup>
    </cacheField>
    <cacheField name="Quarters (Ngày phải trả)" numFmtId="0" databaseField="0">
      <fieldGroup base="15">
        <rangePr groupBy="quarters" startDate="2025-02-25T00:00:00" endDate="2027-02-26T00:00:00"/>
        <groupItems count="6">
          <s v="&lt;25-02-25"/>
          <s v="Qtr1"/>
          <s v="Qtr2"/>
          <s v="Qtr3"/>
          <s v="Qtr4"/>
          <s v="&gt;26-02-27"/>
        </groupItems>
      </fieldGroup>
    </cacheField>
    <cacheField name="Years (Ngày phải trả)" numFmtId="0" databaseField="0">
      <fieldGroup base="15">
        <rangePr groupBy="years" startDate="2025-02-25T00:00:00" endDate="2027-02-26T00:00:00"/>
        <groupItems count="5">
          <s v="&lt;25-02-25"/>
          <s v="2025"/>
          <s v="2026"/>
          <s v="2027"/>
          <s v="&gt;26-02-2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055494213" createdVersion="8" refreshedVersion="8" minRefreshableVersion="3" recordCount="6" xr:uid="{2985F43B-F1B2-4AF9-A484-1202145B6E91}">
  <cacheSource type="worksheet">
    <worksheetSource name="Table_TSCD"/>
  </cacheSource>
  <cacheFields count="23">
    <cacheField name="Mã Tài sản" numFmtId="174">
      <sharedItems count="6">
        <s v="TS6"/>
        <s v="TS5"/>
        <s v="TS4"/>
        <s v="TS3"/>
        <s v="TS2"/>
        <s v="TS1"/>
      </sharedItems>
    </cacheField>
    <cacheField name="Tên tài sản" numFmtId="174">
      <sharedItems containsNonDate="0" containsString="0" containsBlank="1"/>
    </cacheField>
    <cacheField name="Chức năng" numFmtId="174">
      <sharedItems/>
    </cacheField>
    <cacheField name="Phân loại" numFmtId="174">
      <sharedItems count="6">
        <s v="Thương hiệu - Nhãn hiệu"/>
        <s v="Phần mềm - Tài sản số"/>
        <s v="Thiết bị - Dụng cụ quản lý"/>
        <s v="Phương tiện vận tải - truyền dẫn"/>
        <s v="Dây chuyền - Máy móc"/>
        <s v="Nhà cửa - Xây dựng"/>
      </sharedItems>
    </cacheField>
    <cacheField name="Công suất" numFmtId="164">
      <sharedItems containsNonDate="0" containsString="0" containsBlank="1"/>
    </cacheField>
    <cacheField name="Đơn vị công suất" numFmtId="174">
      <sharedItems containsNonDate="0" containsString="0" containsBlank="1"/>
    </cacheField>
    <cacheField name="Giá trị sổ sách" numFmtId="164">
      <sharedItems containsSemiMixedTypes="0" containsString="0" containsNumber="1" containsInteger="1" minValue="25000000" maxValue="5000000000"/>
    </cacheField>
    <cacheField name="Ngày mua" numFmtId="166">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6">
      <sharedItems containsSemiMixedTypes="0" containsNonDate="0" containsDate="1" containsString="0" minDate="2023-03-12T00:00:00" maxDate="2024-04-19T00:00:00"/>
    </cacheField>
    <cacheField name="Ngày thanh lý" numFmtId="166">
      <sharedItems containsNonDate="0" containsString="0" containsBlank="1"/>
    </cacheField>
    <cacheField name="Ngày kết thúc" numFmtId="175">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Tình trạng VAT" numFmtId="174">
      <sharedItems containsNonDate="0" containsString="0" containsBlank="1"/>
    </cacheField>
    <cacheField name="Tỷ suất VAT" numFmtId="9">
      <sharedItems containsNonDate="0" containsString="0" containsBlank="1"/>
    </cacheField>
    <cacheField name="VAT khấu trừ" numFmtId="164">
      <sharedItems containsSemiMixedTypes="0" containsString="0" containsNumber="1" containsInteger="1" minValue="0" maxValue="0"/>
    </cacheField>
    <cacheField name="Số ngày vận hành" numFmtId="164">
      <sharedItems containsSemiMixedTypes="0" containsString="0" containsNumber="1" containsInteger="1" minValue="418" maxValue="821"/>
    </cacheField>
    <cacheField name="Khấu hao lũy kế theo ngày" numFmtId="164">
      <sharedItems containsSemiMixedTypes="0" containsString="0" containsNumber="1" minValue="10997033.994980607" maxValue="440109514.03148526"/>
    </cacheField>
    <cacheField name="Tỷ lệ khấu hao" numFmtId="9">
      <sharedItems containsSemiMixedTypes="0" containsString="0" containsNumber="1" minValue="8.8021902806297056E-2" maxValue="0.43988135979922427"/>
    </cacheField>
    <cacheField name="Giá trị còn lại" numFmtId="164">
      <sharedItems containsSemiMixedTypes="0" containsString="0" containsNumber="1" minValue="14002966.005019393" maxValue="4559890485.9685144"/>
    </cacheField>
    <cacheField name="Số ngày còn lại" numFmtId="164">
      <sharedItems containsSemiMixedTypes="0" containsString="0" containsNumber="1" containsInteger="1" minValue="614" maxValue="8310"/>
    </cacheField>
    <cacheField name="Add" numFmtId="17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23432986111" createdVersion="8" refreshedVersion="8" minRefreshableVersion="3" recordCount="33" xr:uid="{A139B564-2AC2-42E3-80AD-DB8AFD891909}">
  <cacheSource type="worksheet">
    <worksheetSource name="Table_TSCD_KhauHao"/>
  </cacheSource>
  <cacheFields count="12">
    <cacheField name="Kỳ" numFmtId="166">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11"/>
    </cacheField>
    <cacheField name="Năm" numFmtId="174">
      <sharedItems containsSemiMixedTypes="0" containsString="0" containsNumber="1" containsInteger="1" minValue="2023" maxValue="2025"/>
    </cacheField>
    <cacheField name="Tháng" numFmtId="174">
      <sharedItems containsSemiMixedTypes="0" containsString="0" containsNumber="1" containsInteger="1" minValue="1" maxValue="12"/>
    </cacheField>
    <cacheField name="Khấu hao" numFmtId="174">
      <sharedItems containsSemiMixedTypes="0" containsString="0" containsNumber="1" minValue="10000000" maxValue="51111111.111111104"/>
    </cacheField>
    <cacheField name="Khấu hao sản xuất" numFmtId="174">
      <sharedItems containsSemiMixedTypes="0" containsString="0" containsNumber="1" minValue="10000000" maxValue="30833333.333333332"/>
    </cacheField>
    <cacheField name="Khấu hao bán hàng" numFmtId="174">
      <sharedItems containsSemiMixedTypes="0" containsString="0" containsNumber="1" minValue="0" maxValue="11250000"/>
    </cacheField>
    <cacheField name="Khấu hao quản lý" numFmtId="174">
      <sharedItems containsSemiMixedTypes="0" containsString="0" containsNumber="1" minValue="0" maxValue="9027777.777777778"/>
    </cacheField>
    <cacheField name="Giá trị tính thuế" numFmtId="174">
      <sharedItems containsSemiMixedTypes="0" containsString="0" containsNumber="1" minValue="10000000" maxValue="51111111.111111104"/>
    </cacheField>
    <cacheField name="Add" numFmtId="174">
      <sharedItems containsNonDate="0" containsString="0" containsBlank="1"/>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09807754627" createdVersion="8" refreshedVersion="8" minRefreshableVersion="3" recordCount="3" xr:uid="{318E765F-B752-434D-ACA6-3F6C9A6001DC}">
  <cacheSource type="worksheet">
    <worksheetSource name="Table_DiemDatHang"/>
  </cacheSource>
  <cacheFields count="12">
    <cacheField name="Mã hàng" numFmtId="0">
      <sharedItems count="3">
        <s v="HH1"/>
        <s v="TP1"/>
        <s v="TP2"/>
      </sharedItems>
    </cacheField>
    <cacheField name="Tồn tối thiểu" numFmtId="164">
      <sharedItems containsSemiMixedTypes="0" containsString="0" containsNumber="1" minValue="21.641304347826093" maxValue="23.947826086956525"/>
    </cacheField>
    <cacheField name="Tồn tối đa" numFmtId="164">
      <sharedItems containsSemiMixedTypes="0" containsString="0" containsNumber="1" minValue="64.923913043478279" maxValue="71.843478260869574"/>
    </cacheField>
    <cacheField name="Tồn đầu ngày" numFmtId="164">
      <sharedItems containsSemiMixedTypes="0" containsString="0" containsNumber="1" containsInteger="1" minValue="22" maxValue="85"/>
    </cacheField>
    <cacheField name="Tiêu thụ / ngày" numFmtId="164">
      <sharedItems containsSemiMixedTypes="0" containsString="0" containsNumber="1" minValue="1.9673913043478262" maxValue="2.2173913043478262"/>
    </cacheField>
    <cacheField name="Tăng trưởng tiêu thụ" numFmtId="9">
      <sharedItems containsSemiMixedTypes="0" containsString="0" containsNumber="1" minValue="0.05" maxValue="0.1"/>
    </cacheField>
    <cacheField name="Ngày tồn kho" numFmtId="164">
      <sharedItems containsSemiMixedTypes="0" containsString="0" containsNumber="1" containsInteger="1" minValue="11" maxValue="36"/>
    </cacheField>
    <cacheField name="Ngày giao / sản xuất" numFmtId="164">
      <sharedItems containsSemiMixedTypes="0" containsString="0" containsNumber="1" containsInteger="1" minValue="0" maxValue="3"/>
    </cacheField>
    <cacheField name="Hạn đặt hàng" numFmtId="168">
      <sharedItems containsSemiMixedTypes="0" containsNonDate="0" containsDate="1" containsString="0" minDate="2025-05-30T00:00:00" maxDate="2025-06-24T00:00:00"/>
    </cacheField>
    <cacheField name="SL cần đặt" numFmtId="164">
      <sharedItems containsSemiMixedTypes="0" containsString="0" containsNumber="1" minValue="0" maxValue="45.446739130434793"/>
    </cacheField>
    <cacheField name="Giá trị cần đặt" numFmtId="164">
      <sharedItems containsSemiMixedTypes="0" containsString="0" containsNumber="1" containsInteger="1" minValue="0" maxValue="0"/>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53197453707" createdVersion="8" refreshedVersion="8" minRefreshableVersion="3" recordCount="15" xr:uid="{4CD68702-FB15-4468-931C-9EBC0531F93E}">
  <cacheSource type="worksheet">
    <worksheetSource name="Table_TonKho"/>
  </cacheSource>
  <cacheFields count="27">
    <cacheField name="Kỳ" numFmtId="166">
      <sharedItems containsSemiMixedTypes="0" containsNonDate="0" containsDate="1" containsString="0" minDate="2025-03-01T00:00:00" maxDate="2025-05-02T00:00:00" count="3">
        <d v="2025-05-01T00:00:00"/>
        <d v="2025-04-01T00:00:00"/>
        <d v="2025-03-01T00:00:00"/>
      </sharedItems>
      <fieldGroup par="2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SKU" numFmtId="0">
      <sharedItems containsBlank="1"/>
    </cacheField>
    <cacheField name="Nguyên liệu" numFmtId="0">
      <sharedItems containsBlank="1"/>
    </cacheField>
    <cacheField name="Chức năng" numFmtId="0">
      <sharedItems count="3">
        <s v="Thành phẩm"/>
        <s v="Hàng hóa"/>
        <s v="Nguyên liệu"/>
      </sharedItems>
    </cacheField>
    <cacheField name="Đối tượng" numFmtId="0">
      <sharedItems count="5">
        <s v="TP2"/>
        <s v="TP1"/>
        <s v="HH1"/>
        <s v="NL1"/>
        <s v="NL2"/>
      </sharedItems>
    </cacheField>
    <cacheField name="Kho" numFmtId="0">
      <sharedItems count="1">
        <s v="Kho1"/>
      </sharedItems>
    </cacheField>
    <cacheField name="SL Đầu kỳ" numFmtId="164">
      <sharedItems containsSemiMixedTypes="0" containsString="0" containsNumber="1" containsInteger="1" minValue="0" maxValue="171"/>
    </cacheField>
    <cacheField name="SL nhập" numFmtId="164">
      <sharedItems containsSemiMixedTypes="0" containsString="0" containsNumber="1" containsInteger="1" minValue="11" maxValue="320"/>
    </cacheField>
    <cacheField name="SL xuất" numFmtId="164">
      <sharedItems containsSemiMixedTypes="0" containsString="0" containsNumber="1" containsInteger="1" minValue="14" maxValue="149"/>
    </cacheField>
    <cacheField name="SL Cuối kỳ" numFmtId="164">
      <sharedItems containsSemiMixedTypes="0" containsString="0" containsNumber="1" containsInteger="1" minValue="8" maxValue="171"/>
    </cacheField>
    <cacheField name="KQ kiểm kê" numFmtId="164">
      <sharedItems containsNonDate="0" containsString="0" containsBlank="1"/>
    </cacheField>
    <cacheField name="Chênh lệch" numFmtId="164">
      <sharedItems containsSemiMixedTypes="0" containsString="0" containsNumber="1" containsInteger="1" minValue="-171" maxValue="-8"/>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8"/>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Giá trị cuối kỳ" numFmtId="164">
      <sharedItems containsSemiMixedTypes="0" containsString="0" containsNumber="1" minValue="0" maxValue="26813759.183285851"/>
    </cacheField>
    <cacheField name="VAT hàng xuất" numFmtId="164">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Dự phòng lũy kế" numFmtId="164">
      <sharedItems containsString="0" containsBlank="1" containsNumber="1" minValue="71284.637313432802" maxValue="5461230.0948885884"/>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9516087963" createdVersion="8" refreshedVersion="8" minRefreshableVersion="3" recordCount="6" xr:uid="{21CAAC80-807B-408F-BEE2-2817C48E4302}">
  <cacheSource type="worksheet">
    <worksheetSource name="Table_DuPhong"/>
  </cacheSource>
  <cacheFields count="8">
    <cacheField name="Kỳ" numFmtId="166">
      <sharedItems containsSemiMixedTypes="0" containsNonDate="0" containsDate="1" containsString="0" minDate="2025-03-01T00:00:00" maxDate="2025-05-02T00:00:00" count="3">
        <d v="2025-05-01T00:00:00"/>
        <d v="2025-04-01T00:00:00"/>
        <d v="2025-03-01T00:00:00"/>
      </sharedItems>
      <fieldGroup par="7"/>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đối tác" numFmtId="0">
      <sharedItems count="2">
        <s v="KH2"/>
        <s v="KH1"/>
      </sharedItems>
    </cacheField>
    <cacheField name="Dự phòng lũy kế" numFmtId="164">
      <sharedItems containsSemiMixedTypes="0" containsString="0" containsNumber="1" containsInteger="1" minValue="100000" maxValue="200000"/>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5949073" backgroundQuery="1" createdVersion="7" refreshedVersion="8" minRefreshableVersion="3" recordCount="0" supportSubquery="1" supportAdvancedDrill="1" xr:uid="{AAC2DA83-3316-463B-94B9-E94021029A5F}">
  <cacheSource type="external" connectionId="1"/>
  <cacheFields count="15">
    <cacheField name="[Table_DonBan].[Ngày lập].[Ngày lập]" caption="Ngày lập" numFmtId="0" hierarchy="81"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DonBan].[Chương trình].[Chương trình]" caption="Chương trình" numFmtId="0" hierarchy="89" level="1">
      <sharedItems containsBlank="1" count="2">
        <m/>
        <s v="2024-05tr"/>
      </sharedItems>
    </cacheField>
    <cacheField name="[Table_DonBan].[Giá trị CK].[Giá trị CK]" caption="Giá trị CK" numFmtId="0" hierarchy="91" level="1">
      <sharedItems containsSemiMixedTypes="0" containsString="0" containsNumber="1" containsInteger="1" minValue="0" maxValue="5000000" count="2">
        <n v="0"/>
        <n v="5000000"/>
      </sharedItems>
      <extLst>
        <ext xmlns:x15="http://schemas.microsoft.com/office/spreadsheetml/2010/11/main" uri="{4F2E5C28-24EA-4eb8-9CBF-B6C8F9C3D259}">
          <x15:cachedUniqueNames>
            <x15:cachedUniqueName index="0" name="[Table_DonBan].[Giá trị CK].&amp;[0]"/>
            <x15:cachedUniqueName index="1" name="[Table_DonBan].[Giá trị CK].&amp;[5000000]"/>
          </x15:cachedUniqueNames>
        </ext>
      </extLst>
    </cacheField>
    <cacheField name="[Table_DonBan].[Điểm khả dụng].[Điểm khả dụng]" caption="Điểm khả dụng" numFmtId="0" hierarchy="87" level="1">
      <sharedItems containsNonDate="0" containsString="0" containsBlank="1" count="1">
        <m/>
      </sharedItems>
    </cacheField>
    <cacheField name="[Table_DonBan].[Mã Khách].[Mã Khách]" caption="Mã Khách" numFmtId="0" hierarchy="82" level="1">
      <sharedItems count="7">
        <s v="KH02"/>
        <s v="KH05"/>
        <s v="KH04"/>
        <s v="KH06"/>
        <s v="KH07"/>
        <s v="KH01"/>
        <s v="KH03"/>
      </sharedItems>
    </cacheField>
    <cacheField name="[Table_DonBan].[Kênh].[Kênh]" caption="Kênh" numFmtId="0" hierarchy="84" level="1">
      <sharedItems count="6">
        <s v="ST"/>
        <s v="SP"/>
        <s v="FB"/>
        <s v="TK"/>
        <s v="LZ"/>
        <s v="TT"/>
      </sharedItems>
    </cacheField>
    <cacheField name="[Table_DonBan].[Mã NV].[Mã NV]" caption="Mã NV" numFmtId="0" hierarchy="83" level="1">
      <sharedItems count="2">
        <s v="NV02"/>
        <s v="NV03"/>
      </sharedItems>
    </cacheField>
    <cacheField name="[Table_KhachHang].[Phân khúc].[Phân khúc]" caption="Phân khúc" numFmtId="0" hierarchy="119" level="1">
      <sharedItems count="2">
        <s v="B2C"/>
        <s v="B2B"/>
      </sharedItems>
    </cacheField>
    <cacheField name="[Table_DonBan].[STT đơn của khách].[STT đơn của khách]" caption="STT đơn của khách" numFmtId="0" hierarchy="99"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194" level="1">
      <sharedItems count="3">
        <s v="Nhóm 1"/>
        <s v="Nhóm 2"/>
        <s v="Nhóm 3"/>
      </sharedItems>
    </cacheField>
    <cacheField name="[Table_Main].[Mã SKU].[Mã SKU]" caption="Mã SKU" numFmtId="0" hierarchy="140" level="1">
      <sharedItems count="3">
        <s v="TP-Aa1-1"/>
        <s v="TP-Bb2-2"/>
        <s v="TP-Cc3-3"/>
      </sharedItems>
    </cacheField>
    <cacheField name="[Table_Main].[Chương trình].[Chương trình]" caption="Chương trình" numFmtId="0" hierarchy="165" level="1">
      <sharedItems containsNonDate="0" containsString="0" containsBlank="1" count="1">
        <m/>
      </sharedItems>
    </cacheField>
    <cacheField name="[Table_Main].[Giá trị CK].[Giá trị CK]" caption="Giá trị CK" numFmtId="0" hierarchy="167" level="1">
      <sharedItems count="1">
        <s v=" -"/>
      </sharedItems>
    </cacheField>
    <cacheField name="[Measures].[Sum of Giá trị bán trước VAT]" caption="Sum of Giá trị bán trước VAT" numFmtId="0" hierarchy="228" level="32767"/>
    <cacheField name="[Table_DonBan].[Doanh thu ròng].[Doanh thu ròng]" caption="Doanh thu ròng" numFmtId="0" hierarchy="93"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Mã NV]" caption="Mã NV" attribute="1" defaultMemberUniqueName="[Table_DonBan].[Mã NV].[All]" allUniqueName="[Table_DonBan].[Mã NV].[All]" dimensionUniqueName="[Table_DonBan]" displayFolder="" count="2" memberValueDatatype="130" unbalanced="0">
      <fieldsUsage count="2">
        <fieldUsage x="-1"/>
        <fieldUsage x="6"/>
      </fieldsUsage>
    </cacheHierarchy>
    <cacheHierarchy uniqueName="[Table_DonBan].[Kênh]" caption="Kênh" attribute="1" defaultMemberUniqueName="[Table_DonBan].[Kênh].[All]" allUniqueName="[Table_DonBan].[Kênh].[All]" dimensionUniqueName="[Table_DonBan]" displayFolder="" count="2" memberValueDatatype="130" unbalanced="0">
      <fieldsUsage count="2">
        <fieldUsage x="-1"/>
        <fieldUsage x="5"/>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3"/>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2" memberValueDatatype="130" unbalanced="0">
      <fieldsUsage count="2">
        <fieldUsage x="-1"/>
        <fieldUsage x="1"/>
      </fieldsUsage>
    </cacheHierarchy>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2" memberValueDatatype="20" unbalanced="0">
      <fieldsUsage count="2">
        <fieldUsage x="-1"/>
        <fieldUsage x="2"/>
      </fieldsUsage>
    </cacheHierarchy>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4"/>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8"/>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7"/>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10"/>
      </fieldsUsage>
    </cacheHierarchy>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2" memberValueDatatype="130" unbalanced="0">
      <fieldsUsage count="2">
        <fieldUsage x="-1"/>
        <fieldUsage x="11"/>
      </fieldsUsage>
    </cacheHierarchy>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2" memberValueDatatype="130" unbalanced="0">
      <fieldsUsage count="2">
        <fieldUsage x="-1"/>
        <fieldUsage x="12"/>
      </fieldsUsage>
    </cacheHierarchy>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9"/>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13"/>
      </fieldsUsage>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790.665422453705" backgroundQuery="1" createdVersion="8" refreshedVersion="7" minRefreshableVersion="3" recordCount="0" supportSubquery="1" supportAdvancedDrill="1" xr:uid="{07849A5A-D74E-4C69-BF67-E59D38FF7C85}">
  <cacheSource type="external" connectionId="1"/>
  <cacheFields count="8">
    <cacheField name="[Ref_Periods].[Kỳ].[Kỳ]" caption="Kỳ" numFmtId="0" hierarchy="7"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PI].[Nhân viên].[Nhân viên]" caption="Nhân viên" numFmtId="0" hierarchy="132" level="1">
      <sharedItems containsBlank="1" count="3">
        <m/>
        <s v="NV02"/>
        <s v="NV03"/>
      </sharedItems>
    </cacheField>
    <cacheField name="[Table_KPI].[Kênh].[Kênh]" caption="Kênh" numFmtId="0" hierarchy="133" level="1">
      <sharedItems containsBlank="1" count="3">
        <s v="SP"/>
        <s v="TT"/>
        <m/>
      </sharedItems>
    </cacheField>
    <cacheField name="[Measures].[Sum of Doanh thu KPI]" caption="Sum of Doanh thu KPI" numFmtId="0" hierarchy="255" level="32767"/>
    <cacheField name="[Measures].[Sum of Doanh thu thực tế]" caption="Sum of Doanh thu thực tế" numFmtId="0" hierarchy="256" level="32767"/>
    <cacheField name="[Table_KPI].[Năm].[Năm]" caption="Năm" numFmtId="0" hierarchy="130"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Table_KPI].[Năm].&amp;[2024]"/>
          </x15:cachedUniqueNames>
        </ext>
      </extLst>
    </cacheField>
    <cacheField name="[Table_KPI].[Tháng].[Tháng]" caption="Tháng" numFmtId="0" hierarchy="131" level="1">
      <sharedItems containsString="0" containsBlank="1" containsNumber="1" containsInteger="1" minValue="1" maxValue="12" count="13">
        <m/>
        <n v="1"/>
        <n v="2"/>
        <n v="3"/>
        <n v="4"/>
        <n v="5"/>
        <n v="6"/>
        <n v="7"/>
        <n v="8"/>
        <n v="9"/>
        <n v="10"/>
        <n v="11"/>
        <n v="12"/>
      </sharedItems>
      <extLst>
        <ext xmlns:x15="http://schemas.microsoft.com/office/spreadsheetml/2010/11/main" uri="{4F2E5C28-24EA-4eb8-9CBF-B6C8F9C3D259}">
          <x15:cachedUniqueNames>
            <x15:cachedUniqueName index="1" name="[Table_KPI].[Tháng].&amp;[1]"/>
            <x15:cachedUniqueName index="2" name="[Table_KPI].[Tháng].&amp;[2]"/>
            <x15:cachedUniqueName index="3" name="[Table_KPI].[Tháng].&amp;[3]"/>
            <x15:cachedUniqueName index="4" name="[Table_KPI].[Tháng].&amp;[4]"/>
            <x15:cachedUniqueName index="5" name="[Table_KPI].[Tháng].&amp;[5]"/>
            <x15:cachedUniqueName index="6" name="[Table_KPI].[Tháng].&amp;[6]"/>
            <x15:cachedUniqueName index="7" name="[Table_KPI].[Tháng].&amp;[7]"/>
            <x15:cachedUniqueName index="8" name="[Table_KPI].[Tháng].&amp;[8]"/>
            <x15:cachedUniqueName index="9" name="[Table_KPI].[Tháng].&amp;[9]"/>
            <x15:cachedUniqueName index="10" name="[Table_KPI].[Tháng].&amp;[10]"/>
            <x15:cachedUniqueName index="11" name="[Table_KPI].[Tháng].&amp;[11]"/>
            <x15:cachedUniqueName index="12" name="[Table_KPI].[Tháng].&amp;[12]"/>
          </x15:cachedUniqueNames>
        </ext>
      </extLst>
    </cacheField>
    <cacheField name="[Measures].[Sum of Tỷ lệ KPI]" caption="Sum of Tỷ lệ KPI" numFmtId="0" hierarchy="254" level="32767"/>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2" memberValueDatatype="20" unbalanced="0">
      <fieldsUsage count="2">
        <fieldUsage x="-1"/>
        <fieldUsage x="5"/>
      </fieldsUsage>
    </cacheHierarchy>
    <cacheHierarchy uniqueName="[Table_KPI].[Tháng]" caption="Tháng" attribute="1" defaultMemberUniqueName="[Table_KPI].[Tháng].[All]" allUniqueName="[Table_KPI].[Tháng].[All]" dimensionUniqueName="[Table_KPI]" displayFolder="" count="2" memberValueDatatype="20" unbalanced="0">
      <fieldsUsage count="2">
        <fieldUsage x="-1"/>
        <fieldUsage x="6"/>
      </fieldsUsage>
    </cacheHierarchy>
    <cacheHierarchy uniqueName="[Table_KPI].[Nhân viên]" caption="Nhân viên" attribute="1" defaultMemberUniqueName="[Table_KPI].[Nhân viên].[All]" allUniqueName="[Table_KPI].[Nhân viên].[All]" dimensionUniqueName="[Table_KPI]" displayFolder="" count="2" memberValueDatatype="130" unbalanced="0">
      <fieldsUsage count="2">
        <fieldUsage x="-1"/>
        <fieldUsage x="1"/>
      </fieldsUsage>
    </cacheHierarchy>
    <cacheHierarchy uniqueName="[Table_KPI].[Kênh]" caption="Kênh" attribute="1" defaultMemberUniqueName="[Table_KPI].[Kênh].[All]" allUniqueName="[Table_KPI].[Kênh].[All]" dimensionUniqueName="[Table_KPI]" displayFolder="" count="2" memberValueDatatype="130" unbalanced="0">
      <fieldsUsage count="2">
        <fieldUsage x="-1"/>
        <fieldUsage x="2"/>
      </fieldsUsage>
    </cacheHierarchy>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oneField="1" hidden="1">
      <fieldsUsage count="1">
        <fieldUsage x="7"/>
      </fieldsUsage>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oneField="1" hidden="1">
      <fieldsUsage count="1">
        <fieldUsage x="3"/>
      </fieldsUsage>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oneField="1" hidden="1">
      <fieldsUsage count="1">
        <fieldUsage x="4"/>
      </fieldsUsage>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0949075" createdVersion="8" refreshedVersion="8" minRefreshableVersion="3" recordCount="3" xr:uid="{A2B86BA7-6DFE-4370-9A22-DBECFC9B7A0D}">
  <cacheSource type="worksheet">
    <worksheetSource name="Table_HieuQuaSX"/>
  </cacheSource>
  <cacheFields count="7">
    <cacheField name="Kỳ" numFmtId="173">
      <sharedItems containsSemiMixedTypes="0" containsNonDate="0" containsDate="1" containsString="0" minDate="2025-03-01T00:00:00" maxDate="2025-05-02T00:00:00" count="3">
        <d v="2025-03-01T00:00:00"/>
        <d v="2025-04-01T00:00:00"/>
        <d v="2025-05-01T00:00:00"/>
      </sharedItems>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Giá vốn mục tiêu" numFmtId="164">
      <sharedItems containsSemiMixedTypes="0" containsString="0" containsNumber="1" containsInteger="1" minValue="10000000" maxValue="25000000"/>
    </cacheField>
    <cacheField name="Giá vốn thực tế" numFmtId="164">
      <sharedItems containsSemiMixedTypes="0" containsString="0" containsNumber="1" minValue="8488470.3856612295" maxValue="27200000"/>
    </cacheField>
    <cacheField name="Hiệu quả" numFmtId="9">
      <sharedItems containsSemiMixedTypes="0" containsString="0" containsNumber="1" minValue="-8.8000000000000078E-2" maxValue="0.1511529614338770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4" xr:uid="{1358B5A8-71E0-404D-844B-3FC36351D681}">
  <cacheSource type="worksheet">
    <worksheetSource name="Table_HieuQuaSX_KHTieuThu"/>
  </cacheSource>
  <cacheFields count="8">
    <cacheField name="Nguyên liệu" numFmtId="0">
      <sharedItems containsBlank="1" count="3">
        <s v="NL1"/>
        <s v="NL2"/>
        <m/>
      </sharedItems>
    </cacheField>
    <cacheField name="Tiện ích sản xuất" numFmtId="0">
      <sharedItems containsBlank="1"/>
    </cacheField>
    <cacheField name="Đơn vị" numFmtId="0">
      <sharedItems containsSemiMixedTypes="0" containsString="0" containsNumber="1" containsInteger="1" minValue="0" maxValue="0"/>
    </cacheField>
    <cacheField name="Đơn giá" numFmtId="164">
      <sharedItems containsSemiMixedTypes="0" containsString="0" containsNumber="1" containsInteger="1" minValue="3000" maxValue="200000"/>
    </cacheField>
    <cacheField name="Tồn kho hiện tại" numFmtId="164">
      <sharedItems containsSemiMixedTypes="0" containsString="0" containsNumber="1" containsInteger="1" minValue="0" maxValue="169"/>
    </cacheField>
    <cacheField name="Số lượng cần đặt" numFmtId="164">
      <sharedItems containsSemiMixedTypes="0" containsString="0" containsNumber="1" minValue="264.68583830710799" maxValue="746.89799240368961"/>
    </cacheField>
    <cacheField name="Giá trị cần đặt" numFmtId="164">
      <sharedItems containsSemiMixedTypes="0" containsString="0" containsNumber="1" minValue="1238578.4047748237" maxValue="74689799.24036896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6" xr:uid="{184C310A-79D5-4520-9E4D-A4DF1B5B6E49}">
  <cacheSource type="worksheet">
    <worksheetSource name="Table_HieuQuaSX_DinhMuc"/>
  </cacheSource>
  <cacheFields count="14">
    <cacheField name="SKU" numFmtId="164">
      <sharedItems count="2">
        <s v="TP1"/>
        <s v="TP2"/>
      </sharedItems>
    </cacheField>
    <cacheField name="Đơn vị SKU" numFmtId="164">
      <sharedItems containsSemiMixedTypes="0" containsString="0" containsNumber="1" containsInteger="1" minValue="0" maxValue="0"/>
    </cacheField>
    <cacheField name="Sản lượng kế hoạch" numFmtId="164">
      <sharedItems containsSemiMixedTypes="0" containsString="0" containsNumber="1" containsInteger="1" minValue="200" maxValue="300"/>
    </cacheField>
    <cacheField name="Nguyên liệu" numFmtId="0">
      <sharedItems containsBlank="1"/>
    </cacheField>
    <cacheField name="Tiện ích sản xuất" numFmtId="0">
      <sharedItems containsBlank="1"/>
    </cacheField>
    <cacheField name="Đầu vào" numFmtId="0">
      <sharedItems count="6">
        <s v="NL1"/>
        <s v="NL2"/>
        <s v="Điện"/>
        <s v="Nước"/>
        <s v="Chi phí tiện ích - Năng lượng" u="1"/>
        <s v="Chi phí tiện ích - Cấp thoát nước" u="1"/>
      </sharedItems>
    </cacheField>
    <cacheField name="Đơn vị" numFmtId="0">
      <sharedItems containsMixedTypes="1" containsNumber="1" containsInteger="1" minValue="0" maxValue="0"/>
    </cacheField>
    <cacheField name="Định mức" numFmtId="43">
      <sharedItems containsSemiMixedTypes="0" containsString="0" containsNumber="1" minValue="0.4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3000" maxValue="200000"/>
    </cacheField>
    <cacheField name="Giá trị tiêu thụ" numFmtId="164">
      <sharedItems containsSemiMixedTypes="0" containsString="0" containsNumber="1" minValue="821052.6315789473" maxValue="49484536.082474224"/>
    </cacheField>
    <cacheField name="Giá vốn bình quân" numFmtId="164">
      <sharedItems containsSemiMixedTypes="0" containsString="0" containsNumber="1" minValue="4105.2631578947367" maxValue="210526.31578947368"/>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7598611111" createdVersion="8" refreshedVersion="8" minRefreshableVersion="3" recordCount="77" xr:uid="{C007B81A-5DED-4487-9848-4239BA821347}">
  <cacheSource type="worksheet">
    <worksheetSource name="Table_Main"/>
  </cacheSource>
  <cacheFields count="51">
    <cacheField name="Mã SKU" numFmtId="0">
      <sharedItems containsBlank="1"/>
    </cacheField>
    <cacheField name="Mã Nguyên liệu" numFmtId="0">
      <sharedItems containsBlank="1"/>
    </cacheField>
    <cacheField name="Đối tượng" numFmtId="0">
      <sharedItems containsMixedTypes="1" containsNumber="1" containsInteger="1" minValue="0" maxValue="0" count="6">
        <s v="TP2"/>
        <s v="TP1"/>
        <s v="NL1"/>
        <s v="NL2"/>
        <s v="HH1"/>
        <n v="0"/>
      </sharedItems>
    </cacheField>
    <cacheField name="Tồn kho đầu ngày" numFmtId="164">
      <sharedItems containsSemiMixedTypes="0" containsString="0" containsNumber="1" containsInteger="1" minValue="-5" maxValue="300"/>
    </cacheField>
    <cacheField name="Tồn kho cuối ngày" numFmtId="164">
      <sharedItems containsSemiMixedTypes="0" containsString="0" containsNumber="1" containsInteger="1" minValue="-5" maxValue="300"/>
    </cacheField>
    <cacheField name="Giá trị tồn đầu ngày" numFmtId="164">
      <sharedItems containsSemiMixedTypes="0" containsString="0" containsNumber="1" minValue="-450663.50746268593" maxValue="30000000"/>
    </cacheField>
    <cacheField name="Giá trị tồn cuối ngày" numFmtId="164">
      <sharedItems containsSemiMixedTypes="0" containsString="0" containsNumber="1" minValue="-450663.50746268593" maxValue="30000000"/>
    </cacheField>
    <cacheField name="Giá trị bình quân đầu ngày" numFmtId="164">
      <sharedItems containsSemiMixedTypes="0" containsString="0" containsNumber="1" minValue="0" maxValue="150000"/>
    </cacheField>
    <cacheField name="Giá trị bình quân cuối ngày" numFmtId="164">
      <sharedItems containsSemiMixedTypes="0" containsString="0" containsNumber="1" minValue="0" maxValue="150000"/>
    </cacheField>
    <cacheField name="Ngày xuất nhập" numFmtId="168">
      <sharedItems containsNonDate="0" containsDate="1" containsString="0" containsBlank="1" minDate="2025-03-04T00:00:00" maxDate="2025-06-01T00:00:00" count="60">
        <d v="2025-05-31T00:00:00"/>
        <d v="2025-05-30T00:00:00"/>
        <d v="2025-05-29T00:00:00"/>
        <d v="2025-05-28T00:00:00"/>
        <d v="2025-05-27T00:00:00"/>
        <d v="2025-05-25T00:00:00"/>
        <d v="2025-05-22T00:00:00"/>
        <d v="2025-05-19T00:00:00"/>
        <d v="2025-05-16T00:00:00"/>
        <d v="2025-05-15T00:00:00"/>
        <d v="2025-05-12T00:00:00"/>
        <d v="2025-05-11T00:00:00"/>
        <d v="2025-05-09T00:00:00"/>
        <d v="2025-05-07T00:00:00"/>
        <d v="2025-05-05T00:00:00"/>
        <d v="2025-05-02T00:00:00"/>
        <d v="2025-05-01T00:00:00"/>
        <d v="2025-04-30T00:00:00"/>
        <d v="2025-04-29T00:00:00"/>
        <d v="2025-04-28T00:00:00"/>
        <d v="2025-04-27T00:00:00"/>
        <d v="2025-04-26T00:00:00"/>
        <d v="2025-04-25T00:00:00"/>
        <d v="2025-04-24T00:00:00"/>
        <d v="2025-04-22T00:00:00"/>
        <d v="2025-04-18T00:00:00"/>
        <d v="2025-04-17T00:00:00"/>
        <d v="2025-04-15T00:00:00"/>
        <d v="2025-04-14T00:00:00"/>
        <d v="2025-04-12T00:00:00"/>
        <d v="2025-04-11T00:00:00"/>
        <d v="2025-04-09T00:00:00"/>
        <d v="2025-04-08T00:00:00"/>
        <d v="2025-04-07T00:00:00"/>
        <d v="2025-04-06T00:00:00"/>
        <d v="2025-04-04T00:00:00"/>
        <d v="2025-04-03T00:00:00"/>
        <d v="2025-03-30T00:00:00"/>
        <d v="2025-03-27T00:00:00"/>
        <d v="2025-03-26T00:00:00"/>
        <d v="2025-03-25T00:00:00"/>
        <d v="2025-03-21T00:00:00"/>
        <d v="2025-03-20T00:00:00"/>
        <d v="2025-03-19T00:00:00"/>
        <d v="2025-03-18T00:00:00"/>
        <d v="2025-03-17T00:00:00"/>
        <d v="2025-03-16T00:00:00"/>
        <d v="2025-03-14T00:00:00"/>
        <d v="2025-03-15T00:00:00"/>
        <d v="2025-03-13T00:00:00"/>
        <d v="2025-03-12T00:00:00"/>
        <d v="2025-03-10T00:00:00"/>
        <d v="2025-03-08T00:00:00"/>
        <d v="2025-03-06T00:00:00"/>
        <m/>
        <d v="2025-05-23T00:00:00" u="1"/>
        <d v="2025-05-20T00:00:00" u="1"/>
        <d v="2025-04-20T00:00:00" u="1"/>
        <d v="2025-03-28T00:00:00" u="1"/>
        <d v="2025-03-04T00:00:00" u="1"/>
      </sharedItems>
      <fieldGroup par="50"/>
    </cacheField>
    <cacheField name="Ngày lên đơn" numFmtId="168">
      <sharedItems containsSemiMixedTypes="0" containsNonDate="0" containsDate="1" containsString="0" minDate="1899-12-30T00:00:00" maxDate="2025-06-01T00:00:00" count="43">
        <d v="1899-12-30T00:00:00"/>
        <d v="2025-05-31T00:00:00"/>
        <d v="2025-05-28T00:00:00"/>
        <d v="2025-05-27T00:00:00"/>
        <d v="2025-05-25T00:00:00"/>
        <d v="2025-05-23T00:00:00"/>
        <d v="2025-05-20T00:00:00"/>
        <d v="2025-05-19T00:00:00"/>
        <d v="2025-05-16T00:00:00"/>
        <d v="2025-05-15T00:00:00"/>
        <d v="2025-05-11T00:00:00"/>
        <d v="2025-05-09T00:00:00"/>
        <d v="2025-05-07T00:00:00"/>
        <d v="2025-05-05T00:00:00"/>
        <d v="2025-05-02T00:00:00"/>
        <d v="2025-05-01T00:00:00"/>
        <d v="2025-04-30T00:00:00"/>
        <d v="2025-04-29T00:00:00"/>
        <d v="2025-04-28T00:00:00"/>
        <d v="2025-04-27T00:00:00"/>
        <d v="2025-04-25T00:00:00"/>
        <d v="2025-04-24T00:00:00"/>
        <d v="2025-04-20T00:00:00"/>
        <d v="2025-04-17T00:00:00"/>
        <d v="2025-04-15T00:00:00"/>
        <d v="2025-04-14T00:00:00"/>
        <d v="2025-04-11T00:00:00"/>
        <d v="2025-04-09T00:00:00"/>
        <d v="2025-04-08T00:00:00"/>
        <d v="2025-04-03T00:00:00"/>
        <d v="2025-03-30T00:00:00"/>
        <d v="2025-03-28T00:00:00"/>
        <d v="2025-03-27T00:00:00"/>
        <d v="2025-03-25T00:00:00"/>
        <d v="2025-03-21T00:00:00"/>
        <d v="2025-03-20T00:00:00"/>
        <d v="2025-03-19T00:00:00"/>
        <d v="2025-03-16T00:00:00"/>
        <d v="2025-03-14T00:00:00"/>
        <d v="2025-03-13T00:00:00"/>
        <d v="2025-03-12T00:00:00"/>
        <d v="2025-03-06T00:00:00"/>
        <d v="2025-03-04T00:00:00"/>
      </sharedItems>
      <fieldGroup par="48"/>
    </cacheField>
    <cacheField name="Tháng lên đơn" numFmtId="164">
      <sharedItems containsSemiMixedTypes="0" containsString="0" containsNumber="1" containsInteger="1" minValue="1" maxValue="5"/>
    </cacheField>
    <cacheField name="Ngày ship mua" numFmtId="0">
      <sharedItems containsMixedTypes="1" containsNumber="1" containsInteger="1" minValue="0" maxValue="3"/>
    </cacheField>
    <cacheField name="Loại" numFmtId="0">
      <sharedItems containsBlank="1"/>
    </cacheField>
    <cacheField name="Kho" numFmtId="0">
      <sharedItems containsBlank="1"/>
    </cacheField>
    <cacheField name="Số lượng" numFmtId="164">
      <sharedItems containsString="0" containsBlank="1" containsNumber="1" containsInteger="1" minValue="1" maxValue="300"/>
    </cacheField>
    <cacheField name="Đơn Mua" numFmtId="0">
      <sharedItems containsBlank="1" count="20">
        <m/>
        <s v="NHAP-NCC1-250528-"/>
        <s v="NHAP-NCC2-250527-"/>
        <s v="NHAP-NCC3-250525-"/>
        <s v="NHAP-NCC2-250523-"/>
        <s v="NHAP-NCC2-250520-"/>
        <s v="NHAP-NCC2-250511-"/>
        <s v="NHAP-NCC1-250505-"/>
        <s v="NHAP-NCC2-250501-"/>
        <s v="NHAP-NCC1-250428-"/>
        <s v="NHAP-NCC2-250425-"/>
        <s v="NHAP-NCC3-250420-"/>
        <s v="NHAP-NCC1-250417-"/>
        <s v="NHAP-NCC2-250328-"/>
        <s v="NHAP-NCC1-250321-"/>
        <s v="NHAP-NCC1-250316-"/>
        <s v="NHAP-NCC2-250314-"/>
        <s v="NHAP-NCC3-250312-"/>
        <s v="NHAP-NCC1-250306-"/>
        <s v="NHAP-NCC2-250304-"/>
      </sharedItems>
    </cacheField>
    <cacheField name="Nhà cung cấp" numFmtId="0">
      <sharedItems containsMixedTypes="1" containsNumber="1" containsInteger="1" minValue="0" maxValue="0" count="4">
        <n v="0"/>
        <s v="NCC1"/>
        <s v="NCC2"/>
        <s v="NCC3"/>
      </sharedItems>
    </cacheField>
    <cacheField name="Giá nhập" numFmtId="164">
      <sharedItems containsString="0" containsBlank="1" containsNumber="1" containsInteger="1" minValue="56213" maxValue="150000"/>
    </cacheField>
    <cacheField name="Giá trị hàng nhập" numFmtId="164">
      <sharedItems containsSemiMixedTypes="0" containsString="0" containsNumber="1" minValue="0" maxValue="30000000"/>
    </cacheField>
    <cacheField name="Tỷ suất VAT khấu trừ" numFmtId="9">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Đơn bán" numFmtId="0">
      <sharedItems containsBlank="1"/>
    </cacheField>
    <cacheField name="Khách hàng" numFmtId="0">
      <sharedItems containsMixedTypes="1" containsNumber="1" containsInteger="1" minValue="0" maxValue="0"/>
    </cacheField>
    <cacheField name="Giá bán niêm yết" numFmtId="164">
      <sharedItems containsSemiMixedTypes="0" containsString="0" containsNumber="1" containsInteger="1" minValue="0" maxValue="500000"/>
    </cacheField>
    <cacheField name="Thành tiền niêm yết" numFmtId="164">
      <sharedItems containsSemiMixedTypes="0" containsString="0" containsNumber="1" containsInteger="1" minValue="0" maxValue="24000000"/>
    </cacheField>
    <cacheField name="Chương trình" numFmtId="0">
      <sharedItems containsNonDate="0" containsString="0" containsBlank="1"/>
    </cacheField>
    <cacheField name="Tỷ lệ CK" numFmtId="165">
      <sharedItems containsSemiMixedTypes="0" containsString="0" containsNumber="1" containsInteger="1" minValue="0" maxValue="0"/>
    </cacheField>
    <cacheField name="Giá trị CK" numFmtId="164">
      <sharedItems containsMixedTypes="1" containsNumber="1" containsInteger="1" minValue="0" maxValue="0"/>
    </cacheField>
    <cacheField name="Giá trị bán trước VAT" numFmtId="164">
      <sharedItems containsSemiMixedTypes="0" containsString="0" containsNumber="1" containsInteger="1" minValue="0" maxValue="24000000"/>
    </cacheField>
    <cacheField name="VAT" numFmtId="164">
      <sharedItems containsSemiMixedTypes="0" containsString="0" containsNumber="1" containsInteger="1" minValue="0" maxValue="0"/>
    </cacheField>
    <cacheField name="NV Bán hàng" numFmtId="0">
      <sharedItems containsSemiMixedTypes="0" containsString="0" containsNumber="1" containsInteger="1" minValue="0" maxValue="0"/>
    </cacheField>
    <cacheField name="Tỷ lệ hoa hồng" numFmtId="9">
      <sharedItems containsSemiMixedTypes="0" containsString="0" containsNumber="1" containsInteger="1" minValue="0" maxValue="0"/>
    </cacheField>
    <cacheField name="Hoa hồng" numFmtId="164">
      <sharedItems containsSemiMixedTypes="0" containsString="0" containsNumber="1" containsInteger="1" minValue="0" maxValue="0"/>
    </cacheField>
    <cacheField name="Kênh" numFmtId="164">
      <sharedItems containsSemiMixedTypes="0" containsString="0" containsNumber="1" containsInteger="1" minValue="0" maxValue="0"/>
    </cacheField>
    <cacheField name="Tỷ lệ CK kênh" numFmtId="9">
      <sharedItems containsSemiMixedTypes="0" containsString="0" containsNumber="1" containsInteger="1" minValue="0" maxValue="0"/>
    </cacheField>
    <cacheField name="CK kênh" numFmtId="164">
      <sharedItems containsSemiMixedTypes="0" containsString="0" containsNumber="1" containsInteger="1" minValue="0" maxValue="0"/>
    </cacheField>
    <cacheField name="Vận đơn bán" numFmtId="0">
      <sharedItems containsNonDate="0" containsString="0" containsBlank="1"/>
    </cacheField>
    <cacheField name="Add" numFmtId="0">
      <sharedItems containsNonDate="0" containsString="0" containsBlank="1"/>
    </cacheField>
    <cacheField name="Tổng hợp ĐK" numFmtId="0">
      <sharedItems containsSemiMixedTypes="0" containsString="0" containsNumber="1" containsInteger="1" minValue="1" maxValue="1"/>
    </cacheField>
    <cacheField name="ĐK - Phân loại" numFmtId="0">
      <sharedItems containsSemiMixedTypes="0" containsString="0" containsNumber="1" containsInteger="1" minValue="1" maxValue="1"/>
    </cacheField>
    <cacheField name="ĐK - Thời gian" numFmtId="0">
      <sharedItems containsSemiMixedTypes="0" containsString="0" containsNumber="1" containsInteger="1" minValue="1" maxValue="1"/>
    </cacheField>
    <cacheField name="ĐK - Giá trị" numFmtId="0">
      <sharedItems containsSemiMixedTypes="0" containsString="0" containsNumber="1" containsInteger="1" minValue="1" maxValue="1"/>
    </cacheField>
    <cacheField name="ĐK - Số lượng" numFmtId="0">
      <sharedItems containsSemiMixedTypes="0" containsString="0" containsNumber="1" containsInteger="1" minValue="1" maxValue="1"/>
    </cacheField>
    <cacheField name="ĐK - Sinh nhật" numFmtId="0">
      <sharedItems containsSemiMixedTypes="0" containsString="0" containsNumber="1" containsInteger="1" minValue="1" maxValue="1"/>
    </cacheField>
    <cacheField name="ĐK - Ngày mua cuối" numFmtId="0">
      <sharedItems containsSemiMixedTypes="0" containsString="0" containsNumber="1" containsInteger="1" minValue="1" maxValue="1"/>
    </cacheField>
    <cacheField name="Months (Ngày lên đơn)" numFmtId="0" databaseField="0">
      <fieldGroup base="10">
        <rangePr groupBy="months" startDate="1899-12-30T00:00:00" endDate="2025-06-01T00:00:00"/>
        <groupItems count="14">
          <s v="&lt;00-01-00"/>
          <s v="Jan"/>
          <s v="Feb"/>
          <s v="Mar"/>
          <s v="Apr"/>
          <s v="May"/>
          <s v="Jun"/>
          <s v="Jul"/>
          <s v="Aug"/>
          <s v="Sep"/>
          <s v="Oct"/>
          <s v="Nov"/>
          <s v="Dec"/>
          <s v="&gt;01-06-25"/>
        </groupItems>
      </fieldGroup>
    </cacheField>
    <cacheField name="Quarters (Ngày lên đơn)" numFmtId="0" databaseField="0">
      <fieldGroup base="10">
        <rangePr groupBy="quarters" startDate="1899-12-30T00:00:00" endDate="2025-06-01T00:00:00"/>
        <groupItems count="6">
          <s v="&lt;00-01-00"/>
          <s v="Qtr1"/>
          <s v="Qtr2"/>
          <s v="Qtr3"/>
          <s v="Qtr4"/>
          <s v="&gt;01-06-25"/>
        </groupItems>
      </fieldGroup>
    </cacheField>
    <cacheField name="Years (Ngày lên đơn)" numFmtId="0" databaseField="0">
      <fieldGroup base="10">
        <rangePr groupBy="years" startDate="1899-12-30T00:00:00" endDate="2025-06-01T00:00:00"/>
        <groupItems count="128">
          <s v="&lt;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01-06-25"/>
        </groupItems>
      </fieldGroup>
    </cacheField>
    <cacheField name="Days (Ngày xuất nhập)" numFmtId="0" databaseField="0">
      <fieldGroup base="9">
        <rangePr groupBy="days" startDate="2025-03-06T00:00:00" endDate="2025-06-0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xuất nhập)" numFmtId="0" databaseField="0">
      <fieldGroup base="9">
        <rangePr groupBy="months" startDate="2025-03-06T00:00:00" endDate="2025-06-01T00:00:00"/>
        <groupItems count="14">
          <s v="&lt;06-03-25"/>
          <s v="Jan"/>
          <s v="Feb"/>
          <s v="Mar"/>
          <s v="Apr"/>
          <s v="May"/>
          <s v="Jun"/>
          <s v="Jul"/>
          <s v="Aug"/>
          <s v="Sep"/>
          <s v="Oct"/>
          <s v="Nov"/>
          <s v="Dec"/>
          <s v="&gt;01-06-25"/>
        </groupItems>
      </fieldGroup>
    </cacheField>
  </cacheFields>
  <extLst>
    <ext xmlns:x14="http://schemas.microsoft.com/office/spreadsheetml/2009/9/main" uri="{725AE2AE-9491-48be-B2B4-4EB974FC3084}">
      <x14:pivotCacheDefinition pivotCacheId="2067743822"/>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1041669" backgroundQuery="1" createdVersion="3" refreshedVersion="8" minRefreshableVersion="3" recordCount="0" supportSubquery="1" supportAdvancedDrill="1" xr:uid="{77AD8B47-9C10-4204-9D38-721AFAA3DD4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licerData="1" pivotCacheId="1629187186"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3935186" backgroundQuery="1" createdVersion="3" refreshedVersion="8" minRefreshableVersion="3" recordCount="0" supportSubquery="1" supportAdvancedDrill="1" xr:uid="{BEFFA31A-1ECA-4854-98AF-A867E0E7FCE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2028674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7569444" backgroundQuery="1" createdVersion="3" refreshedVersion="8" minRefreshableVersion="3" recordCount="0" supportSubquery="1" supportAdvancedDrill="1" xr:uid="{66240F4F-F180-4B6C-A056-A4B264BE7BA0}">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48668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398148" backgroundQuery="1" createdVersion="3" refreshedVersion="8" minRefreshableVersion="3" recordCount="0" supportSubquery="1" supportAdvancedDrill="1" xr:uid="{0CB38CD6-C1D0-4FD5-99BA-881BB78FDBF4}">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89042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n v="2025"/>
    <n v="10"/>
    <x v="0"/>
    <s v="Một lần"/>
    <d v="2025-07-31T00:00:00"/>
    <d v="1899-12-30T00:00:00"/>
    <d v="2025-10-30T00:00:00"/>
    <n v="0.06"/>
    <n v="100000000"/>
    <n v="100000000"/>
    <n v="500000"/>
    <n v="500000"/>
    <n v="100500000"/>
    <n v="500000"/>
    <x v="0"/>
    <n v="101500000"/>
    <m/>
  </r>
  <r>
    <d v="2025-09-01T00:00:00"/>
    <n v="2025"/>
    <n v="9"/>
    <x v="0"/>
    <s v="Một lần"/>
    <d v="2025-07-31T00:00:00"/>
    <d v="1899-12-30T00:00:00"/>
    <d v="2025-10-30T00:00:00"/>
    <n v="0.06"/>
    <n v="100000000"/>
    <n v="0"/>
    <n v="500000"/>
    <n v="500000"/>
    <n v="500000"/>
    <n v="500000"/>
    <x v="1"/>
    <n v="1000000"/>
    <m/>
  </r>
  <r>
    <d v="2025-08-01T00:00:00"/>
    <n v="2025"/>
    <n v="8"/>
    <x v="0"/>
    <s v="Một lần"/>
    <d v="2025-07-31T00:00:00"/>
    <d v="1899-12-30T00:00:00"/>
    <d v="2025-10-30T00:00:00"/>
    <n v="0.06"/>
    <n v="100000000"/>
    <n v="0"/>
    <n v="500000"/>
    <n v="500000"/>
    <n v="500000"/>
    <n v="500000"/>
    <x v="2"/>
    <n v="500000"/>
    <m/>
  </r>
  <r>
    <d v="2026-12-01T00:00:00"/>
    <n v="2026"/>
    <m/>
    <x v="1"/>
    <s v="Một lần"/>
    <d v="2025-05-15T00:00:00"/>
    <d v="1899-12-30T00:00:00"/>
    <d v="2026-05-15T00:00:00"/>
    <n v="0.08"/>
    <n v="650000000"/>
    <n v="650000000"/>
    <n v="52000000"/>
    <n v="52000000"/>
    <n v="702000000"/>
    <n v="52000000"/>
    <x v="3"/>
    <n v="702000000"/>
    <m/>
  </r>
  <r>
    <d v="2025-09-01T00:00:00"/>
    <n v="2025"/>
    <n v="9"/>
    <x v="2"/>
    <s v="Theo tháng"/>
    <d v="2025-03-02T00:00:00"/>
    <d v="2025-04-02T00:00:00"/>
    <d v="2025-09-01T00:00:00"/>
    <n v="7.0000000000000007E-2"/>
    <n v="33333333.333333343"/>
    <n v="33333333.333333332"/>
    <n v="194444.44444444453"/>
    <n v="194444.44444444453"/>
    <n v="33527777.777777776"/>
    <n v="194444.44444444453"/>
    <x v="4"/>
    <n v="204083333.33333331"/>
    <m/>
  </r>
  <r>
    <d v="2025-08-01T00:00:00"/>
    <n v="2025"/>
    <n v="8"/>
    <x v="2"/>
    <s v="Theo tháng"/>
    <d v="2025-03-02T00:00:00"/>
    <d v="2025-04-02T00:00:00"/>
    <d v="2025-09-01T00:00:00"/>
    <n v="7.0000000000000007E-2"/>
    <n v="66666666.666666672"/>
    <n v="33333333.333333332"/>
    <n v="388888.88888888899"/>
    <n v="388888.88888888899"/>
    <n v="33722222.222222224"/>
    <n v="388888.88888888899"/>
    <x v="5"/>
    <n v="170555555.55555555"/>
    <m/>
  </r>
  <r>
    <d v="2025-07-01T00:00:00"/>
    <n v="2025"/>
    <n v="7"/>
    <x v="2"/>
    <s v="Theo tháng"/>
    <d v="2025-03-02T00:00:00"/>
    <d v="2025-04-02T00:00:00"/>
    <d v="2025-09-01T00:00:00"/>
    <n v="7.0000000000000007E-2"/>
    <n v="100000000"/>
    <n v="33333333.333333332"/>
    <n v="583333.33333333337"/>
    <n v="583333.33333333337"/>
    <n v="33916666.666666664"/>
    <n v="583333.33333333337"/>
    <x v="6"/>
    <n v="136833333.33333331"/>
    <m/>
  </r>
  <r>
    <d v="2025-06-01T00:00:00"/>
    <n v="2025"/>
    <n v="6"/>
    <x v="2"/>
    <s v="Theo tháng"/>
    <d v="2025-03-02T00:00:00"/>
    <d v="2025-04-02T00:00:00"/>
    <d v="2025-09-01T00:00:00"/>
    <n v="7.0000000000000007E-2"/>
    <n v="133333333.33333334"/>
    <n v="33333333.333333332"/>
    <n v="777777.77777777798"/>
    <n v="777777.77777777798"/>
    <n v="34111111.111111112"/>
    <n v="777777.77777777798"/>
    <x v="7"/>
    <n v="102916666.66666666"/>
    <m/>
  </r>
  <r>
    <d v="2025-05-01T00:00:00"/>
    <n v="2025"/>
    <n v="5"/>
    <x v="2"/>
    <s v="Theo tháng"/>
    <d v="2025-03-02T00:00:00"/>
    <d v="2025-04-02T00:00:00"/>
    <d v="2025-09-01T00:00:00"/>
    <n v="7.0000000000000007E-2"/>
    <n v="166666666.66666666"/>
    <n v="33333333.333333332"/>
    <n v="972222.22222222236"/>
    <n v="972222.22222222236"/>
    <n v="34305555.555555552"/>
    <n v="972222.22222222236"/>
    <x v="8"/>
    <n v="68805555.555555552"/>
    <m/>
  </r>
  <r>
    <d v="2025-04-01T00:00:00"/>
    <n v="2025"/>
    <n v="4"/>
    <x v="2"/>
    <s v="Theo tháng"/>
    <d v="2025-03-02T00:00:00"/>
    <d v="2025-04-02T00:00:00"/>
    <d v="2025-09-01T00:00:00"/>
    <n v="7.0000000000000007E-2"/>
    <n v="200000000"/>
    <n v="33333333.333333332"/>
    <n v="1166666.6666666667"/>
    <n v="1166666.6666666667"/>
    <n v="34500000"/>
    <n v="1166666.6666666667"/>
    <x v="9"/>
    <n v="34500000"/>
    <m/>
  </r>
  <r>
    <d v="2027-12-01T00:00:00"/>
    <n v="2027"/>
    <m/>
    <x v="3"/>
    <s v="Theo năm"/>
    <d v="2024-02-24T00:00:00"/>
    <d v="2025-02-24T00:00:00"/>
    <d v="2027-02-25T00:00:00"/>
    <n v="0.1"/>
    <n v="1666666666.6666665"/>
    <n v="1666666666.6666665"/>
    <n v="27777777.777777776"/>
    <n v="2314814.8148148148"/>
    <n v="1694444444.4444442"/>
    <n v="2314814.8148148148"/>
    <x v="10"/>
    <n v="5861111111.1111107"/>
    <m/>
  </r>
  <r>
    <d v="2026-12-01T00:00:00"/>
    <n v="2026"/>
    <m/>
    <x v="3"/>
    <s v="Theo năm"/>
    <d v="2024-02-24T00:00:00"/>
    <d v="2025-02-24T00:00:00"/>
    <d v="2027-02-25T00:00:00"/>
    <n v="0.1"/>
    <n v="3333333333.333333"/>
    <n v="1666666666.6666667"/>
    <n v="333333333.33333331"/>
    <n v="27777777.777777776"/>
    <n v="2000000000"/>
    <n v="27777777.777777776"/>
    <x v="11"/>
    <n v="4166666666.666667"/>
    <m/>
  </r>
  <r>
    <d v="2025-12-01T00:00:00"/>
    <n v="2025"/>
    <m/>
    <x v="3"/>
    <s v="Theo năm"/>
    <d v="2024-02-24T00:00:00"/>
    <d v="2025-02-24T00:00:00"/>
    <d v="2027-02-25T00:00:00"/>
    <n v="0.1"/>
    <n v="5000000000"/>
    <n v="1666666666.6666667"/>
    <n v="500000000"/>
    <n v="41666666.666666664"/>
    <n v="2166666666.666667"/>
    <n v="41666666.666666664"/>
    <x v="12"/>
    <n v="2166666666.66666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m/>
    <m/>
    <n v="350000000"/>
    <d v="2023-09-06T00:00:00"/>
    <n v="10"/>
    <n v="120"/>
    <d v="2023-09-06T00:00:00"/>
    <m/>
    <d v="2033-09-06T00:00:00"/>
    <n v="2916666.6666666665"/>
    <m/>
    <m/>
    <n v="0"/>
    <n v="643"/>
    <n v="61615331.964407936"/>
    <n v="0.17604380561259411"/>
    <n v="288384668.03559208"/>
    <n v="3010"/>
    <m/>
  </r>
  <r>
    <x v="1"/>
    <m/>
    <s v="Văn phòng"/>
    <x v="1"/>
    <m/>
    <m/>
    <n v="25000000"/>
    <d v="2024-02-14T00:00:00"/>
    <n v="3"/>
    <n v="36"/>
    <d v="2024-02-14T00:00:00"/>
    <m/>
    <d v="2027-02-14T00:00:00"/>
    <n v="694444.4444444445"/>
    <m/>
    <m/>
    <n v="0"/>
    <n v="482"/>
    <n v="10997033.994980607"/>
    <n v="0.43988135979922427"/>
    <n v="14002966.005019393"/>
    <n v="614"/>
    <m/>
  </r>
  <r>
    <x v="2"/>
    <m/>
    <s v="Văn phòng"/>
    <x v="2"/>
    <m/>
    <m/>
    <n v="500000000"/>
    <d v="2024-02-14T00:00:00"/>
    <n v="5"/>
    <n v="60"/>
    <d v="2024-04-18T00:00:00"/>
    <m/>
    <d v="2029-04-18T00:00:00"/>
    <n v="8333333.333333333"/>
    <m/>
    <m/>
    <n v="0"/>
    <n v="418"/>
    <n v="114442162.90212183"/>
    <n v="0.22888432580424364"/>
    <n v="385557837.09787816"/>
    <n v="1408"/>
    <m/>
  </r>
  <r>
    <x v="3"/>
    <m/>
    <s v="Bán hàng"/>
    <x v="3"/>
    <m/>
    <m/>
    <n v="1000000000"/>
    <d v="2023-10-24T00:00:00"/>
    <n v="10"/>
    <n v="120"/>
    <d v="2023-10-24T00:00:00"/>
    <m/>
    <d v="2033-10-24T00:00:00"/>
    <n v="8333333.333333333"/>
    <m/>
    <m/>
    <n v="0"/>
    <n v="595"/>
    <n v="162902121.83436003"/>
    <n v="0.16290212183436004"/>
    <n v="837097878.16564"/>
    <n v="3058"/>
    <m/>
  </r>
  <r>
    <x v="4"/>
    <m/>
    <s v="Sản xuất"/>
    <x v="4"/>
    <m/>
    <m/>
    <n v="5000000000"/>
    <d v="2023-09-06T00:00:00"/>
    <n v="20"/>
    <n v="240"/>
    <d v="2023-09-06T00:00:00"/>
    <m/>
    <d v="2043-09-06T00:00:00"/>
    <n v="20833333.333333332"/>
    <m/>
    <m/>
    <n v="0"/>
    <n v="643"/>
    <n v="440109514.03148526"/>
    <n v="8.8021902806297056E-2"/>
    <n v="4559890485.9685144"/>
    <n v="6662"/>
    <m/>
  </r>
  <r>
    <x v="5"/>
    <m/>
    <s v="Sản xuất"/>
    <x v="5"/>
    <m/>
    <m/>
    <n v="3000000000"/>
    <d v="2023-03-12T00:00:00"/>
    <n v="25"/>
    <n v="300"/>
    <d v="2023-03-12T00:00:00"/>
    <m/>
    <d v="2048-03-11T00:00:00"/>
    <n v="10000000"/>
    <m/>
    <m/>
    <n v="0"/>
    <n v="821"/>
    <n v="269733059.54825461"/>
    <n v="8.9911019849418197E-2"/>
    <n v="2730266940.4517455"/>
    <n v="831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n v="51111111.111111104"/>
    <m/>
  </r>
  <r>
    <x v="1"/>
    <n v="2025"/>
    <n v="11"/>
    <n v="51111111.111111104"/>
    <n v="30833333.333333332"/>
    <n v="11250000"/>
    <n v="9027777.777777778"/>
    <n v="51111111.111111104"/>
    <m/>
  </r>
  <r>
    <x v="2"/>
    <n v="2025"/>
    <n v="10"/>
    <n v="51111111.111111104"/>
    <n v="30833333.333333332"/>
    <n v="11250000"/>
    <n v="9027777.777777778"/>
    <n v="51111111.111111104"/>
    <m/>
  </r>
  <r>
    <x v="3"/>
    <n v="2025"/>
    <n v="9"/>
    <n v="51111111.111111104"/>
    <n v="30833333.333333332"/>
    <n v="11250000"/>
    <n v="9027777.777777778"/>
    <n v="51111111.111111104"/>
    <m/>
  </r>
  <r>
    <x v="4"/>
    <n v="2025"/>
    <n v="8"/>
    <n v="51111111.111111104"/>
    <n v="30833333.333333332"/>
    <n v="11250000"/>
    <n v="9027777.777777778"/>
    <n v="51111111.111111104"/>
    <m/>
  </r>
  <r>
    <x v="5"/>
    <n v="2025"/>
    <n v="7"/>
    <n v="51111111.111111104"/>
    <n v="30833333.333333332"/>
    <n v="11250000"/>
    <n v="9027777.777777778"/>
    <n v="51111111.111111104"/>
    <m/>
  </r>
  <r>
    <x v="6"/>
    <n v="2025"/>
    <n v="6"/>
    <n v="51111111.111111104"/>
    <n v="30833333.333333332"/>
    <n v="11250000"/>
    <n v="9027777.777777778"/>
    <n v="51111111.111111104"/>
    <m/>
  </r>
  <r>
    <x v="7"/>
    <n v="2025"/>
    <n v="5"/>
    <n v="51111111.111111104"/>
    <n v="30833333.333333332"/>
    <n v="11250000"/>
    <n v="9027777.777777778"/>
    <n v="51111111.111111104"/>
    <m/>
  </r>
  <r>
    <x v="8"/>
    <n v="2025"/>
    <n v="4"/>
    <n v="51111111.111111104"/>
    <n v="30833333.333333332"/>
    <n v="11250000"/>
    <n v="9027777.777777778"/>
    <n v="51111111.111111104"/>
    <m/>
  </r>
  <r>
    <x v="9"/>
    <n v="2025"/>
    <n v="3"/>
    <n v="51111111.111111104"/>
    <n v="30833333.333333332"/>
    <n v="11250000"/>
    <n v="9027777.777777778"/>
    <n v="51111111.111111104"/>
    <m/>
  </r>
  <r>
    <x v="10"/>
    <n v="2025"/>
    <n v="2"/>
    <n v="51111111.111111104"/>
    <n v="30833333.333333332"/>
    <n v="11250000"/>
    <n v="9027777.777777778"/>
    <n v="51111111.111111104"/>
    <m/>
  </r>
  <r>
    <x v="11"/>
    <n v="2025"/>
    <n v="1"/>
    <n v="51111111.111111104"/>
    <n v="30833333.333333332"/>
    <n v="11250000"/>
    <n v="9027777.777777778"/>
    <n v="51111111.111111104"/>
    <m/>
  </r>
  <r>
    <x v="12"/>
    <n v="2024"/>
    <n v="12"/>
    <n v="51111111.111111104"/>
    <n v="30833333.333333332"/>
    <n v="11250000"/>
    <n v="9027777.777777778"/>
    <n v="51111111.111111104"/>
    <m/>
  </r>
  <r>
    <x v="13"/>
    <n v="2024"/>
    <n v="11"/>
    <n v="51111111.111111104"/>
    <n v="30833333.333333332"/>
    <n v="11250000"/>
    <n v="9027777.777777778"/>
    <n v="51111111.111111104"/>
    <m/>
  </r>
  <r>
    <x v="14"/>
    <n v="2024"/>
    <n v="10"/>
    <n v="51111111.111111104"/>
    <n v="30833333.333333332"/>
    <n v="11250000"/>
    <n v="9027777.777777778"/>
    <n v="51111111.111111104"/>
    <m/>
  </r>
  <r>
    <x v="15"/>
    <n v="2024"/>
    <n v="9"/>
    <n v="51111111.111111104"/>
    <n v="30833333.333333332"/>
    <n v="11250000"/>
    <n v="9027777.777777778"/>
    <n v="51111111.111111104"/>
    <m/>
  </r>
  <r>
    <x v="16"/>
    <n v="2024"/>
    <n v="8"/>
    <n v="51111111.111111104"/>
    <n v="30833333.333333332"/>
    <n v="11250000"/>
    <n v="9027777.777777778"/>
    <n v="51111111.111111104"/>
    <m/>
  </r>
  <r>
    <x v="17"/>
    <n v="2024"/>
    <n v="7"/>
    <n v="51111111.111111104"/>
    <n v="30833333.333333332"/>
    <n v="11250000"/>
    <n v="9027777.777777778"/>
    <n v="51111111.111111104"/>
    <m/>
  </r>
  <r>
    <x v="18"/>
    <n v="2024"/>
    <n v="6"/>
    <n v="51111111.111111104"/>
    <n v="30833333.333333332"/>
    <n v="11250000"/>
    <n v="9027777.777777778"/>
    <n v="51111111.111111104"/>
    <m/>
  </r>
  <r>
    <x v="19"/>
    <n v="2024"/>
    <n v="5"/>
    <n v="51111111.111111104"/>
    <n v="30833333.333333332"/>
    <n v="11250000"/>
    <n v="9027777.777777778"/>
    <n v="51111111.111111104"/>
    <m/>
  </r>
  <r>
    <x v="20"/>
    <n v="2024"/>
    <n v="4"/>
    <n v="42777777.777777776"/>
    <n v="30833333.333333332"/>
    <n v="11250000"/>
    <n v="694444.4444444445"/>
    <n v="42777777.777777776"/>
    <m/>
  </r>
  <r>
    <x v="21"/>
    <n v="2024"/>
    <n v="3"/>
    <n v="42777777.777777776"/>
    <n v="30833333.333333332"/>
    <n v="11250000"/>
    <n v="694444.4444444445"/>
    <n v="42777777.777777776"/>
    <m/>
  </r>
  <r>
    <x v="22"/>
    <n v="2024"/>
    <n v="2"/>
    <n v="42083333.333333328"/>
    <n v="30833333.333333332"/>
    <n v="11250000"/>
    <n v="0"/>
    <n v="42083333.333333328"/>
    <m/>
  </r>
  <r>
    <x v="23"/>
    <n v="2024"/>
    <n v="1"/>
    <n v="42083333.333333328"/>
    <n v="30833333.333333332"/>
    <n v="11250000"/>
    <n v="0"/>
    <n v="42083333.333333328"/>
    <m/>
  </r>
  <r>
    <x v="24"/>
    <n v="2023"/>
    <n v="12"/>
    <n v="42083333.333333328"/>
    <n v="30833333.333333332"/>
    <n v="11250000"/>
    <n v="0"/>
    <n v="42083333.333333328"/>
    <m/>
  </r>
  <r>
    <x v="25"/>
    <n v="2023"/>
    <n v="11"/>
    <n v="42083333.333333328"/>
    <n v="30833333.333333332"/>
    <n v="11250000"/>
    <n v="0"/>
    <n v="42083333.333333328"/>
    <m/>
  </r>
  <r>
    <x v="26"/>
    <n v="2023"/>
    <n v="10"/>
    <n v="33750000"/>
    <n v="30833333.333333332"/>
    <n v="2916666.6666666665"/>
    <n v="0"/>
    <n v="33750000"/>
    <m/>
  </r>
  <r>
    <x v="27"/>
    <n v="2023"/>
    <n v="9"/>
    <n v="10000000"/>
    <n v="10000000"/>
    <n v="0"/>
    <n v="0"/>
    <n v="10000000"/>
    <m/>
  </r>
  <r>
    <x v="28"/>
    <n v="2023"/>
    <n v="8"/>
    <n v="10000000"/>
    <n v="10000000"/>
    <n v="0"/>
    <n v="0"/>
    <n v="10000000"/>
    <m/>
  </r>
  <r>
    <x v="29"/>
    <n v="2023"/>
    <n v="7"/>
    <n v="10000000"/>
    <n v="10000000"/>
    <n v="0"/>
    <n v="0"/>
    <n v="10000000"/>
    <m/>
  </r>
  <r>
    <x v="30"/>
    <n v="2023"/>
    <n v="6"/>
    <n v="10000000"/>
    <n v="10000000"/>
    <n v="0"/>
    <n v="0"/>
    <n v="10000000"/>
    <m/>
  </r>
  <r>
    <x v="31"/>
    <n v="2023"/>
    <n v="5"/>
    <n v="10000000"/>
    <n v="10000000"/>
    <n v="0"/>
    <n v="0"/>
    <n v="10000000"/>
    <m/>
  </r>
  <r>
    <x v="32"/>
    <n v="2023"/>
    <n v="4"/>
    <n v="10000000"/>
    <n v="10000000"/>
    <n v="0"/>
    <n v="0"/>
    <n v="10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3.054347826086957"/>
    <n v="69.163043478260875"/>
    <n v="69"/>
    <n v="2.1956521739130435"/>
    <n v="0.05"/>
    <n v="30"/>
    <n v="0"/>
    <d v="2025-06-20T00:00:00"/>
    <n v="0"/>
    <n v="0"/>
    <m/>
  </r>
  <r>
    <x v="1"/>
    <n v="23.947826086956525"/>
    <n v="71.843478260869574"/>
    <n v="85"/>
    <n v="2.2173913043478262"/>
    <n v="0.08"/>
    <n v="36"/>
    <n v="3"/>
    <d v="2025-06-23T00:00:00"/>
    <n v="0"/>
    <n v="0"/>
    <m/>
  </r>
  <r>
    <x v="2"/>
    <n v="21.641304347826093"/>
    <n v="64.923913043478279"/>
    <n v="22"/>
    <n v="1.9673913043478262"/>
    <n v="0.1"/>
    <n v="11"/>
    <n v="2"/>
    <d v="2025-05-30T00:00:00"/>
    <n v="45.446739130434793"/>
    <n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5"/>
    <s v="TP2"/>
    <m/>
    <x v="0"/>
    <x v="0"/>
    <x v="0"/>
    <n v="20"/>
    <n v="67"/>
    <n v="42"/>
    <n v="45"/>
    <m/>
    <n v="-45"/>
    <n v="67"/>
    <n v="42"/>
    <n v="0"/>
    <n v="0"/>
    <n v="0"/>
    <n v="0"/>
    <n v="0"/>
    <n v="0"/>
    <n v="0"/>
    <m/>
    <m/>
  </r>
  <r>
    <x v="0"/>
    <n v="2025"/>
    <n v="5"/>
    <s v="TP1"/>
    <m/>
    <x v="0"/>
    <x v="1"/>
    <x v="0"/>
    <n v="146"/>
    <n v="11"/>
    <n v="91"/>
    <n v="66"/>
    <m/>
    <n v="-66"/>
    <n v="11"/>
    <n v="91"/>
    <n v="0"/>
    <n v="0"/>
    <n v="0"/>
    <n v="0"/>
    <n v="0"/>
    <n v="0"/>
    <n v="0"/>
    <m/>
    <m/>
  </r>
  <r>
    <x v="0"/>
    <n v="2025"/>
    <n v="5"/>
    <s v="HH1"/>
    <m/>
    <x v="1"/>
    <x v="2"/>
    <x v="0"/>
    <n v="8"/>
    <n v="85"/>
    <n v="24"/>
    <n v="69"/>
    <m/>
    <n v="-69"/>
    <n v="0"/>
    <n v="24"/>
    <n v="1425692.7462686568"/>
    <n v="1425692.7462686568"/>
    <n v="6022420.7462686561"/>
    <n v="0"/>
    <n v="6022420.7462686561"/>
    <n v="0"/>
    <n v="0"/>
    <n v="304294.31268656714"/>
    <m/>
  </r>
  <r>
    <x v="0"/>
    <n v="2025"/>
    <n v="5"/>
    <m/>
    <s v="NL1"/>
    <x v="2"/>
    <x v="3"/>
    <x v="0"/>
    <n v="152"/>
    <n v="51"/>
    <n v="34"/>
    <n v="169"/>
    <m/>
    <n v="-169"/>
    <n v="0"/>
    <n v="57.974358974358971"/>
    <n v="3369423.3521961868"/>
    <n v="5745298.7928473447"/>
    <n v="17950111.717979252"/>
    <n v="7075199.2432366535"/>
    <n v="25025310.961215906"/>
    <n v="0"/>
    <n v="0"/>
    <n v="1585928.3"/>
    <m/>
  </r>
  <r>
    <x v="0"/>
    <n v="2025"/>
    <n v="5"/>
    <m/>
    <s v="NL2"/>
    <x v="2"/>
    <x v="4"/>
    <x v="0"/>
    <n v="75"/>
    <n v="56"/>
    <n v="43"/>
    <n v="88"/>
    <m/>
    <n v="-88"/>
    <n v="0"/>
    <n v="73.320512820512818"/>
    <n v="5136984.3031758713"/>
    <n v="8759216.8246460371"/>
    <n v="11359793.07419889"/>
    <n v="5766654.0791409761"/>
    <n v="17126447.153339867"/>
    <n v="0"/>
    <n v="0"/>
    <n v="1830850.8074074076"/>
    <m/>
  </r>
  <r>
    <x v="1"/>
    <n v="2025"/>
    <n v="4"/>
    <s v="TP2"/>
    <m/>
    <x v="0"/>
    <x v="0"/>
    <x v="0"/>
    <n v="35"/>
    <n v="45"/>
    <n v="60"/>
    <n v="20"/>
    <m/>
    <n v="-20"/>
    <n v="45"/>
    <n v="60"/>
    <n v="0"/>
    <n v="0"/>
    <n v="0"/>
    <n v="0"/>
    <n v="0"/>
    <n v="0"/>
    <n v="0"/>
    <m/>
    <m/>
  </r>
  <r>
    <x v="1"/>
    <n v="2025"/>
    <n v="4"/>
    <s v="TP1"/>
    <m/>
    <x v="0"/>
    <x v="1"/>
    <x v="0"/>
    <n v="106"/>
    <n v="139"/>
    <n v="99"/>
    <n v="146"/>
    <m/>
    <n v="-146"/>
    <n v="139"/>
    <n v="99"/>
    <n v="0"/>
    <n v="0"/>
    <n v="0"/>
    <n v="0"/>
    <n v="0"/>
    <n v="0"/>
    <n v="0"/>
    <m/>
    <m/>
  </r>
  <r>
    <x v="1"/>
    <n v="2025"/>
    <n v="4"/>
    <s v="HH1"/>
    <m/>
    <x v="1"/>
    <x v="2"/>
    <x v="0"/>
    <n v="103"/>
    <n v="13"/>
    <n v="108"/>
    <n v="8"/>
    <m/>
    <n v="-8"/>
    <n v="0"/>
    <n v="108"/>
    <n v="9734331.7611940298"/>
    <n v="9734331.7611940298"/>
    <n v="280105.49253731407"/>
    <n v="0"/>
    <n v="280105.49253731407"/>
    <n v="0"/>
    <n v="0"/>
    <m/>
    <m/>
  </r>
  <r>
    <x v="1"/>
    <n v="2025"/>
    <n v="4"/>
    <m/>
    <s v="NL1"/>
    <x v="2"/>
    <x v="3"/>
    <x v="0"/>
    <n v="171"/>
    <n v="15"/>
    <n v="34"/>
    <n v="152"/>
    <m/>
    <n v="-152"/>
    <n v="0"/>
    <n v="29.380434782608695"/>
    <n v="3480319.9298245613"/>
    <n v="3007450.3741418766"/>
    <n v="14971777.070175439"/>
    <n v="9451074.6838878132"/>
    <n v="24422851.754063252"/>
    <n v="0"/>
    <n v="0"/>
    <n v="3878156.8210526318"/>
    <m/>
  </r>
  <r>
    <x v="1"/>
    <n v="2025"/>
    <n v="4"/>
    <m/>
    <s v="NL2"/>
    <x v="2"/>
    <x v="4"/>
    <x v="0"/>
    <n v="138"/>
    <n v="48"/>
    <n v="111"/>
    <n v="75"/>
    <m/>
    <n v="-75"/>
    <n v="0"/>
    <n v="95.918478260869563"/>
    <n v="15397513.696699314"/>
    <n v="13305460.205299949"/>
    <n v="9375573.3773747608"/>
    <n v="9388886.6006111391"/>
    <n v="18764459.9779859"/>
    <n v="0"/>
    <n v="0"/>
    <n v="994140.11321242829"/>
    <m/>
  </r>
  <r>
    <x v="2"/>
    <n v="2025"/>
    <n v="3"/>
    <s v="TP2"/>
    <m/>
    <x v="0"/>
    <x v="0"/>
    <x v="0"/>
    <n v="0"/>
    <n v="114"/>
    <n v="79"/>
    <n v="35"/>
    <m/>
    <n v="-35"/>
    <n v="114"/>
    <n v="79"/>
    <n v="0"/>
    <n v="0"/>
    <n v="0"/>
    <n v="0"/>
    <n v="0"/>
    <n v="0"/>
    <n v="0"/>
    <m/>
    <m/>
  </r>
  <r>
    <x v="2"/>
    <n v="2025"/>
    <n v="3"/>
    <s v="TP1"/>
    <m/>
    <x v="0"/>
    <x v="1"/>
    <x v="0"/>
    <n v="0"/>
    <n v="120"/>
    <n v="14"/>
    <n v="106"/>
    <m/>
    <n v="-106"/>
    <n v="120"/>
    <n v="14"/>
    <n v="0"/>
    <n v="0"/>
    <n v="0"/>
    <n v="0"/>
    <n v="0"/>
    <n v="0"/>
    <n v="0"/>
    <m/>
    <m/>
  </r>
  <r>
    <x v="2"/>
    <n v="2025"/>
    <n v="3"/>
    <s v="HH1"/>
    <m/>
    <x v="1"/>
    <x v="2"/>
    <x v="0"/>
    <n v="0"/>
    <n v="173"/>
    <n v="70"/>
    <n v="103"/>
    <m/>
    <n v="-103"/>
    <n v="0"/>
    <n v="70"/>
    <n v="5914113.746268657"/>
    <n v="5914113.746268657"/>
    <n v="9283668.2537313439"/>
    <n v="0"/>
    <n v="9283668.2537313439"/>
    <n v="0"/>
    <n v="0"/>
    <n v="71284.637313432802"/>
    <m/>
  </r>
  <r>
    <x v="2"/>
    <n v="2025"/>
    <n v="3"/>
    <m/>
    <s v="NL1"/>
    <x v="2"/>
    <x v="3"/>
    <x v="0"/>
    <n v="0"/>
    <n v="320"/>
    <n v="149"/>
    <n v="171"/>
    <m/>
    <n v="-171"/>
    <n v="0"/>
    <n v="59.217948717948715"/>
    <n v="14900000"/>
    <n v="5921794.871794872"/>
    <n v="17503962"/>
    <n v="8978205.128205128"/>
    <n v="26482167.128205128"/>
    <n v="0"/>
    <n v="0"/>
    <n v="5461230.0948885884"/>
    <m/>
  </r>
  <r>
    <x v="2"/>
    <n v="2025"/>
    <n v="3"/>
    <m/>
    <s v="NL2"/>
    <x v="2"/>
    <x v="4"/>
    <x v="0"/>
    <n v="0"/>
    <n v="220"/>
    <n v="82"/>
    <n v="138"/>
    <m/>
    <n v="-138"/>
    <n v="0"/>
    <n v="32.589743589743591"/>
    <n v="12109637.925925925"/>
    <n v="4812804.8167141499"/>
    <n v="19516926.074074075"/>
    <n v="7296833.1092117764"/>
    <n v="26813759.183285851"/>
    <n v="0"/>
    <n v="0"/>
    <n v="719490.9685497226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n v="100000"/>
    <m/>
  </r>
  <r>
    <x v="0"/>
    <n v="2025"/>
    <n v="5"/>
    <x v="1"/>
    <n v="200000"/>
    <m/>
  </r>
  <r>
    <x v="1"/>
    <n v="2025"/>
    <n v="4"/>
    <x v="0"/>
    <n v="100000"/>
    <m/>
  </r>
  <r>
    <x v="1"/>
    <n v="2025"/>
    <n v="4"/>
    <x v="1"/>
    <n v="200000"/>
    <m/>
  </r>
  <r>
    <x v="2"/>
    <n v="2025"/>
    <n v="3"/>
    <x v="0"/>
    <n v="200000"/>
    <m/>
  </r>
  <r>
    <x v="2"/>
    <n v="2025"/>
    <n v="3"/>
    <x v="1"/>
    <n v="100000"/>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025"/>
    <n v="3"/>
    <n v="25000000"/>
    <n v="27200000"/>
    <n v="-8.8000000000000078E-2"/>
    <m/>
  </r>
  <r>
    <x v="1"/>
    <n v="2025"/>
    <n v="4"/>
    <n v="20000000"/>
    <n v="18730437.570594341"/>
    <n v="6.3478121470282978E-2"/>
    <m/>
  </r>
  <r>
    <x v="2"/>
    <n v="2025"/>
    <n v="5"/>
    <n v="10000000"/>
    <n v="8488470.3856612295"/>
    <n v="0.15115296143387702"/>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0"/>
    <n v="100000"/>
    <n v="169"/>
    <n v="746.89799240368961"/>
    <n v="74689799.240368962"/>
    <m/>
  </r>
  <r>
    <x v="1"/>
    <m/>
    <n v="0"/>
    <n v="200000"/>
    <n v="88"/>
    <n v="264.68583830710799"/>
    <n v="52937167.661421597"/>
    <m/>
  </r>
  <r>
    <x v="2"/>
    <s v="Chi phí tiện ích - Năng lượng"/>
    <n v="0"/>
    <n v="3000"/>
    <n v="0"/>
    <n v="412.85946825827455"/>
    <n v="1238578.4047748237"/>
    <m/>
  </r>
  <r>
    <x v="2"/>
    <s v="Chi phí tiện ích - Cấp thoát nước"/>
    <n v="0"/>
    <n v="20000"/>
    <n v="0"/>
    <n v="412.85946825827455"/>
    <n v="8257189.3651654907"/>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0"/>
    <n v="200"/>
    <s v="NL1"/>
    <m/>
    <x v="0"/>
    <n v="0"/>
    <n v="2"/>
    <n v="0.05"/>
    <n v="421.0526315789474"/>
    <n v="100000"/>
    <n v="42105263.157894738"/>
    <n v="210526.31578947368"/>
    <m/>
  </r>
  <r>
    <x v="0"/>
    <n v="0"/>
    <n v="200"/>
    <s v="NL2"/>
    <m/>
    <x v="1"/>
    <n v="0"/>
    <n v="0.5"/>
    <n v="0.05"/>
    <n v="105.26315789473685"/>
    <n v="200000"/>
    <n v="21052631.578947369"/>
    <n v="105263.15789473684"/>
    <m/>
  </r>
  <r>
    <x v="0"/>
    <n v="0"/>
    <n v="200"/>
    <m/>
    <s v="Chi phí tiện ích - Năng lượng"/>
    <x v="2"/>
    <s v="kWh"/>
    <n v="1.3"/>
    <n v="0.05"/>
    <n v="273.68421052631578"/>
    <n v="3000"/>
    <n v="821052.6315789473"/>
    <n v="4105.2631578947367"/>
    <m/>
  </r>
  <r>
    <x v="1"/>
    <n v="0"/>
    <n v="300"/>
    <s v="NL1"/>
    <m/>
    <x v="0"/>
    <n v="0"/>
    <n v="1.6"/>
    <n v="0.03"/>
    <n v="494.84536082474227"/>
    <n v="100000"/>
    <n v="49484536.082474224"/>
    <n v="164948.45360824742"/>
    <m/>
  </r>
  <r>
    <x v="1"/>
    <n v="0"/>
    <n v="300"/>
    <s v="NL2"/>
    <m/>
    <x v="1"/>
    <n v="0"/>
    <n v="0.8"/>
    <n v="0.03"/>
    <n v="247.42268041237114"/>
    <n v="200000"/>
    <n v="49484536.082474224"/>
    <n v="164948.45360824742"/>
    <m/>
  </r>
  <r>
    <x v="1"/>
    <n v="0"/>
    <n v="300"/>
    <m/>
    <s v="Chi phí tiện ích - Cấp thoát nước"/>
    <x v="3"/>
    <s v="Lit"/>
    <n v="0.45"/>
    <n v="0.03"/>
    <n v="139.17525773195877"/>
    <n v="20000"/>
    <n v="2783505.1546391752"/>
    <n v="9278.350515463917"/>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TP2"/>
    <m/>
    <x v="0"/>
    <n v="22"/>
    <n v="45"/>
    <n v="0"/>
    <n v="0"/>
    <n v="0"/>
    <n v="0"/>
    <x v="0"/>
    <x v="0"/>
    <n v="1"/>
    <s v=""/>
    <s v="Nhập"/>
    <s v="Kho1"/>
    <n v="23"/>
    <x v="0"/>
    <x v="0"/>
    <m/>
    <n v="0"/>
    <n v="0"/>
    <n v="0"/>
    <m/>
    <n v="0"/>
    <n v="0"/>
    <n v="0"/>
    <m/>
    <n v="0"/>
    <e v="#DIV/0!"/>
    <n v="0"/>
    <n v="0"/>
    <n v="0"/>
    <n v="0"/>
    <n v="0"/>
    <n v="0"/>
    <n v="0"/>
    <n v="0"/>
    <m/>
    <m/>
    <n v="1"/>
    <n v="1"/>
    <n v="1"/>
    <n v="1"/>
    <n v="1"/>
    <n v="1"/>
    <n v="1"/>
  </r>
  <r>
    <s v="TP1"/>
    <m/>
    <x v="1"/>
    <n v="85"/>
    <n v="66"/>
    <n v="0"/>
    <n v="0"/>
    <n v="0"/>
    <n v="0"/>
    <x v="0"/>
    <x v="1"/>
    <n v="5"/>
    <n v="0"/>
    <s v="Xuất"/>
    <s v="Kho1"/>
    <n v="19"/>
    <x v="0"/>
    <x v="0"/>
    <m/>
    <n v="0"/>
    <n v="0"/>
    <n v="0"/>
    <s v="BAN-KH3-250531-"/>
    <s v="KH3"/>
    <n v="300000"/>
    <n v="5700000"/>
    <m/>
    <n v="0"/>
    <n v="0"/>
    <n v="5700000"/>
    <n v="0"/>
    <n v="0"/>
    <n v="0"/>
    <n v="0"/>
    <n v="0"/>
    <n v="0"/>
    <n v="0"/>
    <m/>
    <m/>
    <n v="1"/>
    <n v="1"/>
    <n v="1"/>
    <n v="1"/>
    <n v="1"/>
    <n v="1"/>
    <n v="1"/>
  </r>
  <r>
    <m/>
    <s v="NL1"/>
    <x v="2"/>
    <n v="176"/>
    <n v="169"/>
    <n v="18693607.469611529"/>
    <n v="17950111.717979252"/>
    <n v="106213.67880461096"/>
    <n v="106213.67880461096"/>
    <x v="1"/>
    <x v="0"/>
    <n v="1"/>
    <s v=""/>
    <s v="Xuất"/>
    <s v="Kho1"/>
    <n v="7"/>
    <x v="0"/>
    <x v="0"/>
    <m/>
    <n v="743495.75163227669"/>
    <n v="0"/>
    <n v="0"/>
    <m/>
    <n v="0"/>
    <n v="0"/>
    <n v="0"/>
    <m/>
    <n v="0"/>
    <e v="#DIV/0!"/>
    <n v="0"/>
    <n v="0"/>
    <n v="0"/>
    <n v="0"/>
    <n v="0"/>
    <n v="0"/>
    <n v="0"/>
    <n v="0"/>
    <m/>
    <m/>
    <n v="1"/>
    <n v="1"/>
    <n v="1"/>
    <n v="1"/>
    <n v="1"/>
    <n v="1"/>
    <n v="1"/>
  </r>
  <r>
    <s v="TP1"/>
    <m/>
    <x v="1"/>
    <n v="79"/>
    <n v="85"/>
    <n v="0"/>
    <n v="0"/>
    <n v="0"/>
    <n v="0"/>
    <x v="2"/>
    <x v="0"/>
    <n v="1"/>
    <s v=""/>
    <s v="Nhập"/>
    <s v="Kho1"/>
    <n v="6"/>
    <x v="0"/>
    <x v="0"/>
    <m/>
    <n v="0"/>
    <n v="0"/>
    <n v="0"/>
    <m/>
    <n v="0"/>
    <n v="0"/>
    <n v="0"/>
    <m/>
    <n v="0"/>
    <e v="#DIV/0!"/>
    <n v="0"/>
    <n v="0"/>
    <n v="0"/>
    <n v="0"/>
    <n v="0"/>
    <n v="0"/>
    <n v="0"/>
    <n v="0"/>
    <m/>
    <m/>
    <n v="1"/>
    <n v="1"/>
    <n v="1"/>
    <n v="1"/>
    <n v="1"/>
    <n v="1"/>
    <n v="1"/>
  </r>
  <r>
    <m/>
    <s v="NL2"/>
    <x v="3"/>
    <n v="80"/>
    <n v="60"/>
    <n v="9523808.4343535677"/>
    <n v="7142856.3257651776"/>
    <n v="119047.60542941959"/>
    <n v="119047.60542941962"/>
    <x v="3"/>
    <x v="0"/>
    <n v="1"/>
    <s v=""/>
    <s v="Xuất"/>
    <s v="Kho1"/>
    <n v="20"/>
    <x v="0"/>
    <x v="0"/>
    <m/>
    <n v="2380952.1085883919"/>
    <n v="0"/>
    <n v="0"/>
    <m/>
    <n v="0"/>
    <n v="0"/>
    <n v="0"/>
    <m/>
    <n v="0"/>
    <e v="#DIV/0!"/>
    <n v="0"/>
    <n v="0"/>
    <n v="0"/>
    <n v="0"/>
    <n v="0"/>
    <n v="0"/>
    <n v="0"/>
    <n v="0"/>
    <m/>
    <m/>
    <n v="1"/>
    <n v="1"/>
    <n v="1"/>
    <n v="1"/>
    <n v="1"/>
    <n v="1"/>
    <n v="1"/>
  </r>
  <r>
    <m/>
    <s v="NL2"/>
    <x v="3"/>
    <n v="60"/>
    <n v="88"/>
    <n v="7142856.3257651776"/>
    <n v="11334764.325765178"/>
    <n v="119047.60542941962"/>
    <n v="128804.14006551338"/>
    <x v="1"/>
    <x v="2"/>
    <n v="5"/>
    <n v="2"/>
    <s v="Nhập"/>
    <s v="Kho1"/>
    <n v="28"/>
    <x v="1"/>
    <x v="1"/>
    <n v="149711"/>
    <n v="4191908"/>
    <n v="0"/>
    <n v="0"/>
    <m/>
    <n v="0"/>
    <n v="0"/>
    <n v="0"/>
    <m/>
    <n v="0"/>
    <e v="#DIV/0!"/>
    <n v="0"/>
    <n v="0"/>
    <n v="0"/>
    <n v="0"/>
    <n v="0"/>
    <n v="0"/>
    <n v="0"/>
    <n v="0"/>
    <m/>
    <m/>
    <n v="1"/>
    <n v="1"/>
    <n v="1"/>
    <n v="1"/>
    <n v="1"/>
    <n v="1"/>
    <n v="1"/>
  </r>
  <r>
    <s v="HH1"/>
    <m/>
    <x v="4"/>
    <n v="37"/>
    <n v="69"/>
    <n v="2752212.7462686561"/>
    <n v="6022420.7462686561"/>
    <n v="74384.128277531243"/>
    <n v="87281.460090850087"/>
    <x v="3"/>
    <x v="3"/>
    <n v="5"/>
    <n v="1"/>
    <s v="Nhập"/>
    <s v="Kho1"/>
    <n v="32"/>
    <x v="2"/>
    <x v="2"/>
    <n v="102194"/>
    <n v="3270208"/>
    <n v="0"/>
    <n v="0"/>
    <m/>
    <n v="0"/>
    <n v="0"/>
    <n v="0"/>
    <m/>
    <n v="0"/>
    <e v="#DIV/0!"/>
    <n v="0"/>
    <n v="0"/>
    <n v="0"/>
    <n v="0"/>
    <n v="0"/>
    <n v="0"/>
    <n v="0"/>
    <n v="0"/>
    <m/>
    <m/>
    <n v="1"/>
    <n v="1"/>
    <n v="1"/>
    <n v="1"/>
    <n v="1"/>
    <n v="1"/>
    <n v="1"/>
  </r>
  <r>
    <m/>
    <s v="NL2"/>
    <x v="3"/>
    <n v="103"/>
    <n v="80"/>
    <n v="12261903.35923022"/>
    <n v="9523808.4343535677"/>
    <n v="119047.60542941962"/>
    <n v="119047.60542941959"/>
    <x v="4"/>
    <x v="0"/>
    <n v="1"/>
    <s v=""/>
    <s v="Xuất"/>
    <s v="Kho1"/>
    <n v="23"/>
    <x v="0"/>
    <x v="0"/>
    <m/>
    <n v="2738094.9248766513"/>
    <n v="0"/>
    <n v="0"/>
    <m/>
    <n v="0"/>
    <n v="0"/>
    <n v="0"/>
    <m/>
    <n v="0"/>
    <e v="#DIV/0!"/>
    <n v="0"/>
    <n v="0"/>
    <n v="0"/>
    <n v="0"/>
    <n v="0"/>
    <n v="0"/>
    <n v="0"/>
    <n v="0"/>
    <m/>
    <m/>
    <n v="1"/>
    <n v="1"/>
    <n v="1"/>
    <n v="1"/>
    <n v="1"/>
    <n v="1"/>
    <n v="1"/>
  </r>
  <r>
    <s v="HH1"/>
    <m/>
    <x v="4"/>
    <n v="24"/>
    <n v="37"/>
    <n v="1425692.7462686561"/>
    <n v="2752212.7462686561"/>
    <n v="59403.864427860673"/>
    <n v="74384.128277531243"/>
    <x v="5"/>
    <x v="4"/>
    <n v="5"/>
    <n v="0"/>
    <s v="Nhập"/>
    <s v="Kho1"/>
    <n v="13"/>
    <x v="3"/>
    <x v="3"/>
    <n v="102040"/>
    <n v="1326520"/>
    <n v="0"/>
    <n v="0"/>
    <m/>
    <n v="0"/>
    <n v="0"/>
    <n v="0"/>
    <m/>
    <n v="0"/>
    <e v="#DIV/0!"/>
    <n v="0"/>
    <n v="0"/>
    <n v="0"/>
    <n v="0"/>
    <n v="0"/>
    <n v="0"/>
    <n v="0"/>
    <n v="0"/>
    <m/>
    <m/>
    <n v="1"/>
    <n v="1"/>
    <n v="1"/>
    <n v="1"/>
    <n v="1"/>
    <n v="1"/>
    <n v="1"/>
  </r>
  <r>
    <m/>
    <s v="NL2"/>
    <x v="3"/>
    <n v="79"/>
    <n v="103"/>
    <n v="9873231.3592302203"/>
    <n v="12261903.35923022"/>
    <n v="124977.61214215468"/>
    <n v="119047.60542941962"/>
    <x v="5"/>
    <x v="5"/>
    <n v="5"/>
    <n v="2"/>
    <s v="Nhập"/>
    <s v="Kho1"/>
    <n v="24"/>
    <x v="4"/>
    <x v="2"/>
    <n v="99528"/>
    <n v="2388672"/>
    <n v="0"/>
    <n v="0"/>
    <m/>
    <n v="0"/>
    <n v="0"/>
    <n v="0"/>
    <m/>
    <n v="0"/>
    <e v="#DIV/0!"/>
    <n v="0"/>
    <n v="0"/>
    <n v="0"/>
    <n v="0"/>
    <n v="0"/>
    <n v="0"/>
    <n v="0"/>
    <n v="0"/>
    <m/>
    <m/>
    <n v="1"/>
    <n v="1"/>
    <n v="1"/>
    <n v="1"/>
    <n v="1"/>
    <n v="1"/>
    <n v="1"/>
  </r>
  <r>
    <m/>
    <s v="NL1"/>
    <x v="2"/>
    <n v="141"/>
    <n v="176"/>
    <n v="13713177.469611529"/>
    <n v="18693607.469611529"/>
    <n v="97256.577798663333"/>
    <n v="106213.67880461096"/>
    <x v="6"/>
    <x v="6"/>
    <n v="5"/>
    <n v="2"/>
    <s v="Nhập"/>
    <s v="Kho1"/>
    <n v="35"/>
    <x v="5"/>
    <x v="2"/>
    <n v="142298"/>
    <n v="4980430"/>
    <n v="0"/>
    <n v="0"/>
    <m/>
    <n v="0"/>
    <n v="0"/>
    <n v="0"/>
    <m/>
    <n v="0"/>
    <e v="#DIV/0!"/>
    <n v="0"/>
    <n v="0"/>
    <n v="0"/>
    <n v="0"/>
    <n v="0"/>
    <n v="0"/>
    <n v="0"/>
    <n v="0"/>
    <m/>
    <m/>
    <n v="1"/>
    <n v="1"/>
    <n v="1"/>
    <n v="1"/>
    <n v="1"/>
    <n v="1"/>
    <n v="1"/>
  </r>
  <r>
    <s v="TP1"/>
    <m/>
    <x v="1"/>
    <n v="113"/>
    <n v="79"/>
    <n v="0"/>
    <n v="0"/>
    <n v="0"/>
    <n v="0"/>
    <x v="7"/>
    <x v="7"/>
    <n v="5"/>
    <n v="0"/>
    <s v="Xuất"/>
    <s v="Kho1"/>
    <n v="34"/>
    <x v="0"/>
    <x v="0"/>
    <m/>
    <n v="0"/>
    <n v="0"/>
    <n v="0"/>
    <s v="BAN-KH1-250519-"/>
    <s v="KH1"/>
    <n v="300000"/>
    <n v="10200000"/>
    <m/>
    <n v="0"/>
    <n v="0"/>
    <n v="10200000"/>
    <n v="0"/>
    <n v="0"/>
    <n v="0"/>
    <n v="0"/>
    <n v="0"/>
    <n v="0"/>
    <n v="0"/>
    <m/>
    <m/>
    <n v="1"/>
    <n v="1"/>
    <n v="1"/>
    <n v="1"/>
    <n v="1"/>
    <n v="1"/>
    <n v="1"/>
  </r>
  <r>
    <s v="HH1"/>
    <m/>
    <x v="4"/>
    <n v="46"/>
    <n v="24"/>
    <n v="2732577.7636815924"/>
    <n v="1425692.7462686561"/>
    <n v="59403.864427860703"/>
    <n v="59403.864427860673"/>
    <x v="8"/>
    <x v="8"/>
    <n v="5"/>
    <n v="0"/>
    <s v="Xuất"/>
    <s v="Kho1"/>
    <n v="22"/>
    <x v="0"/>
    <x v="0"/>
    <m/>
    <n v="1306885.0174129354"/>
    <n v="0"/>
    <n v="0"/>
    <s v="BAN-KH1-250516-"/>
    <s v="KH1"/>
    <n v="100000"/>
    <n v="2200000"/>
    <m/>
    <n v="0"/>
    <n v="0"/>
    <n v="2200000"/>
    <n v="0"/>
    <n v="0"/>
    <n v="0"/>
    <n v="0"/>
    <n v="0"/>
    <n v="0"/>
    <n v="0"/>
    <m/>
    <m/>
    <n v="1"/>
    <n v="1"/>
    <n v="1"/>
    <n v="1"/>
    <n v="1"/>
    <n v="1"/>
    <n v="1"/>
  </r>
  <r>
    <s v="HH1"/>
    <m/>
    <x v="4"/>
    <n v="48"/>
    <n v="46"/>
    <n v="2851385.4925373141"/>
    <n v="2732577.7636815924"/>
    <n v="59403.86442786071"/>
    <n v="59403.864427860703"/>
    <x v="9"/>
    <x v="9"/>
    <n v="5"/>
    <n v="0"/>
    <s v="Xuất"/>
    <s v="Kho1"/>
    <n v="2"/>
    <x v="0"/>
    <x v="0"/>
    <m/>
    <n v="118807.72885572142"/>
    <n v="0"/>
    <n v="0"/>
    <s v="BAN-KH2-250515-"/>
    <s v="KH2"/>
    <n v="100000"/>
    <n v="200000"/>
    <m/>
    <n v="0"/>
    <n v="0"/>
    <n v="200000"/>
    <n v="0"/>
    <n v="0"/>
    <n v="0"/>
    <n v="0"/>
    <n v="0"/>
    <n v="0"/>
    <n v="0"/>
    <m/>
    <m/>
    <n v="1"/>
    <n v="1"/>
    <n v="1"/>
    <n v="1"/>
    <n v="1"/>
    <n v="1"/>
    <n v="1"/>
  </r>
  <r>
    <s v="TP2"/>
    <m/>
    <x v="0"/>
    <n v="7"/>
    <n v="22"/>
    <n v="0"/>
    <n v="0"/>
    <n v="0"/>
    <n v="0"/>
    <x v="10"/>
    <x v="0"/>
    <n v="1"/>
    <s v=""/>
    <s v="Nhập"/>
    <s v="Kho1"/>
    <n v="15"/>
    <x v="0"/>
    <x v="0"/>
    <m/>
    <n v="0"/>
    <n v="0"/>
    <n v="0"/>
    <m/>
    <n v="0"/>
    <n v="0"/>
    <n v="0"/>
    <m/>
    <n v="0"/>
    <e v="#DIV/0!"/>
    <n v="0"/>
    <n v="0"/>
    <n v="0"/>
    <n v="0"/>
    <n v="0"/>
    <n v="0"/>
    <n v="0"/>
    <n v="0"/>
    <m/>
    <m/>
    <n v="1"/>
    <n v="1"/>
    <n v="1"/>
    <n v="1"/>
    <n v="1"/>
    <n v="1"/>
    <n v="1"/>
  </r>
  <r>
    <m/>
    <s v="NL1"/>
    <x v="2"/>
    <n v="168"/>
    <n v="141"/>
    <n v="16339105.070175439"/>
    <n v="13713177.469611529"/>
    <n v="97256.577798663333"/>
    <n v="97256.577798663333"/>
    <x v="11"/>
    <x v="0"/>
    <n v="1"/>
    <s v=""/>
    <s v="Xuất"/>
    <s v="Kho1"/>
    <n v="27"/>
    <x v="0"/>
    <x v="0"/>
    <m/>
    <n v="2625927.6005639099"/>
    <n v="0"/>
    <n v="0"/>
    <m/>
    <n v="0"/>
    <n v="0"/>
    <n v="0"/>
    <m/>
    <n v="0"/>
    <e v="#DIV/0!"/>
    <n v="0"/>
    <n v="0"/>
    <n v="0"/>
    <n v="0"/>
    <n v="0"/>
    <n v="0"/>
    <n v="0"/>
    <n v="0"/>
    <m/>
    <m/>
    <n v="1"/>
    <n v="1"/>
    <n v="1"/>
    <n v="1"/>
    <n v="1"/>
    <n v="1"/>
    <n v="1"/>
  </r>
  <r>
    <m/>
    <s v="NL2"/>
    <x v="3"/>
    <n v="75"/>
    <n v="79"/>
    <n v="9332607.3592302203"/>
    <n v="9873231.3592302203"/>
    <n v="124434.76478973628"/>
    <n v="124977.61214215468"/>
    <x v="10"/>
    <x v="10"/>
    <n v="5"/>
    <n v="1"/>
    <s v="Nhập"/>
    <s v="Kho1"/>
    <n v="4"/>
    <x v="6"/>
    <x v="2"/>
    <n v="135156"/>
    <n v="540624"/>
    <n v="0"/>
    <n v="0"/>
    <m/>
    <n v="0"/>
    <n v="0"/>
    <n v="0"/>
    <m/>
    <n v="0"/>
    <e v="#DIV/0!"/>
    <n v="0"/>
    <n v="0"/>
    <n v="0"/>
    <n v="0"/>
    <n v="0"/>
    <n v="0"/>
    <n v="0"/>
    <n v="0"/>
    <m/>
    <m/>
    <n v="1"/>
    <n v="1"/>
    <n v="1"/>
    <n v="1"/>
    <n v="1"/>
    <n v="1"/>
    <n v="1"/>
  </r>
  <r>
    <s v="TP1"/>
    <m/>
    <x v="1"/>
    <n v="135"/>
    <n v="113"/>
    <n v="0"/>
    <n v="0"/>
    <n v="0"/>
    <n v="0"/>
    <x v="12"/>
    <x v="11"/>
    <n v="5"/>
    <n v="0"/>
    <s v="Xuất"/>
    <s v="Kho1"/>
    <n v="22"/>
    <x v="0"/>
    <x v="0"/>
    <m/>
    <n v="0"/>
    <n v="0"/>
    <n v="0"/>
    <s v="BAN-KH1-250509-"/>
    <s v="KH1"/>
    <n v="300000"/>
    <n v="6600000"/>
    <m/>
    <n v="0"/>
    <n v="0"/>
    <n v="6600000"/>
    <n v="0"/>
    <n v="0"/>
    <n v="0"/>
    <n v="0"/>
    <n v="0"/>
    <n v="0"/>
    <n v="0"/>
    <m/>
    <m/>
    <n v="1"/>
    <n v="1"/>
    <n v="1"/>
    <n v="1"/>
    <n v="1"/>
    <n v="1"/>
    <n v="1"/>
  </r>
  <r>
    <s v="TP2"/>
    <m/>
    <x v="0"/>
    <n v="15"/>
    <n v="7"/>
    <n v="0"/>
    <n v="0"/>
    <n v="0"/>
    <n v="0"/>
    <x v="12"/>
    <x v="11"/>
    <n v="5"/>
    <n v="0"/>
    <s v="Xuất"/>
    <s v="Kho1"/>
    <n v="8"/>
    <x v="0"/>
    <x v="0"/>
    <m/>
    <n v="0"/>
    <n v="0"/>
    <n v="0"/>
    <s v="BAN-KH1-250509-"/>
    <s v="KH1"/>
    <n v="500000"/>
    <n v="4000000"/>
    <m/>
    <n v="0"/>
    <n v="0"/>
    <n v="4000000"/>
    <n v="0"/>
    <n v="0"/>
    <n v="0"/>
    <n v="0"/>
    <n v="0"/>
    <n v="0"/>
    <n v="0"/>
    <m/>
    <m/>
    <n v="1"/>
    <n v="1"/>
    <n v="1"/>
    <n v="1"/>
    <n v="1"/>
    <n v="1"/>
    <n v="1"/>
  </r>
  <r>
    <s v="TP2"/>
    <m/>
    <x v="0"/>
    <n v="49"/>
    <n v="15"/>
    <n v="0"/>
    <n v="0"/>
    <n v="0"/>
    <n v="0"/>
    <x v="13"/>
    <x v="12"/>
    <n v="5"/>
    <n v="0"/>
    <s v="Xuất"/>
    <s v="Kho1"/>
    <n v="34"/>
    <x v="0"/>
    <x v="0"/>
    <m/>
    <n v="0"/>
    <n v="0"/>
    <n v="0"/>
    <s v="BAN-KH1-250507-"/>
    <s v="KH1"/>
    <n v="500000"/>
    <n v="17000000"/>
    <m/>
    <n v="0"/>
    <n v="0"/>
    <n v="17000000"/>
    <n v="0"/>
    <n v="0"/>
    <n v="0"/>
    <n v="0"/>
    <n v="0"/>
    <n v="0"/>
    <n v="0"/>
    <m/>
    <m/>
    <n v="1"/>
    <n v="1"/>
    <n v="1"/>
    <n v="1"/>
    <n v="1"/>
    <n v="1"/>
    <n v="1"/>
  </r>
  <r>
    <s v="HH1"/>
    <m/>
    <x v="4"/>
    <n v="8"/>
    <n v="48"/>
    <n v="280105.49253731407"/>
    <n v="2851385.4925373141"/>
    <n v="35013.186567164259"/>
    <n v="59403.86442786071"/>
    <x v="13"/>
    <x v="13"/>
    <n v="5"/>
    <n v="2"/>
    <s v="Nhập"/>
    <s v="Kho1"/>
    <n v="40"/>
    <x v="7"/>
    <x v="1"/>
    <n v="64282"/>
    <n v="2571280"/>
    <n v="0"/>
    <n v="0"/>
    <m/>
    <n v="0"/>
    <n v="0"/>
    <n v="0"/>
    <m/>
    <n v="0"/>
    <e v="#DIV/0!"/>
    <n v="0"/>
    <n v="0"/>
    <n v="0"/>
    <n v="0"/>
    <n v="0"/>
    <n v="0"/>
    <n v="0"/>
    <n v="0"/>
    <m/>
    <m/>
    <n v="1"/>
    <n v="1"/>
    <n v="1"/>
    <n v="1"/>
    <n v="1"/>
    <n v="1"/>
    <n v="1"/>
  </r>
  <r>
    <s v="TP1"/>
    <m/>
    <x v="1"/>
    <n v="130"/>
    <n v="135"/>
    <n v="0"/>
    <n v="0"/>
    <n v="0"/>
    <n v="0"/>
    <x v="14"/>
    <x v="0"/>
    <n v="1"/>
    <s v=""/>
    <s v="Nhập"/>
    <s v="Kho1"/>
    <n v="5"/>
    <x v="0"/>
    <x v="0"/>
    <m/>
    <n v="0"/>
    <n v="0"/>
    <n v="0"/>
    <m/>
    <n v="0"/>
    <n v="0"/>
    <n v="0"/>
    <m/>
    <n v="0"/>
    <e v="#DIV/0!"/>
    <n v="0"/>
    <n v="0"/>
    <n v="0"/>
    <n v="0"/>
    <n v="0"/>
    <n v="0"/>
    <n v="0"/>
    <n v="0"/>
    <m/>
    <m/>
    <n v="1"/>
    <n v="1"/>
    <n v="1"/>
    <n v="1"/>
    <n v="1"/>
    <n v="1"/>
    <n v="1"/>
  </r>
  <r>
    <s v="TP1"/>
    <m/>
    <x v="1"/>
    <n v="146"/>
    <n v="130"/>
    <n v="0"/>
    <n v="0"/>
    <n v="0"/>
    <n v="0"/>
    <x v="15"/>
    <x v="14"/>
    <n v="5"/>
    <n v="0"/>
    <s v="Xuất"/>
    <s v="Kho1"/>
    <n v="16"/>
    <x v="0"/>
    <x v="0"/>
    <m/>
    <n v="0"/>
    <n v="0"/>
    <n v="0"/>
    <s v="BAN-KH2-250502-"/>
    <s v="KH2"/>
    <n v="300000"/>
    <n v="4800000"/>
    <m/>
    <n v="0"/>
    <n v="0"/>
    <n v="4800000"/>
    <n v="0"/>
    <n v="0"/>
    <n v="0"/>
    <n v="0"/>
    <n v="0"/>
    <n v="0"/>
    <n v="0"/>
    <m/>
    <m/>
    <n v="1"/>
    <n v="1"/>
    <n v="1"/>
    <n v="1"/>
    <n v="1"/>
    <n v="1"/>
    <n v="1"/>
  </r>
  <r>
    <s v="TP2"/>
    <m/>
    <x v="0"/>
    <n v="20"/>
    <n v="49"/>
    <n v="0"/>
    <n v="0"/>
    <n v="0"/>
    <n v="0"/>
    <x v="16"/>
    <x v="0"/>
    <n v="1"/>
    <s v=""/>
    <s v="Nhập"/>
    <s v="Kho1"/>
    <n v="29"/>
    <x v="0"/>
    <x v="0"/>
    <m/>
    <n v="0"/>
    <n v="0"/>
    <n v="0"/>
    <m/>
    <n v="0"/>
    <n v="0"/>
    <n v="0"/>
    <m/>
    <n v="0"/>
    <e v="#DIV/0!"/>
    <n v="0"/>
    <n v="0"/>
    <n v="0"/>
    <n v="0"/>
    <n v="0"/>
    <n v="0"/>
    <n v="0"/>
    <n v="0"/>
    <m/>
    <m/>
    <n v="1"/>
    <n v="1"/>
    <n v="1"/>
    <n v="1"/>
    <n v="1"/>
    <n v="1"/>
    <n v="1"/>
  </r>
  <r>
    <m/>
    <s v="NL1"/>
    <x v="2"/>
    <n v="152"/>
    <n v="168"/>
    <n v="14971777.070175439"/>
    <n v="16339105.070175439"/>
    <n v="98498.533356417363"/>
    <n v="97256.577798663333"/>
    <x v="15"/>
    <x v="15"/>
    <n v="5"/>
    <n v="1"/>
    <s v="Nhập"/>
    <s v="Kho1"/>
    <n v="16"/>
    <x v="8"/>
    <x v="2"/>
    <n v="85458"/>
    <n v="1367328"/>
    <n v="0"/>
    <n v="0"/>
    <m/>
    <n v="0"/>
    <n v="0"/>
    <n v="0"/>
    <m/>
    <n v="0"/>
    <e v="#DIV/0!"/>
    <n v="0"/>
    <n v="0"/>
    <n v="0"/>
    <n v="0"/>
    <n v="0"/>
    <n v="0"/>
    <n v="0"/>
    <n v="0"/>
    <m/>
    <m/>
    <n v="1"/>
    <n v="1"/>
    <n v="1"/>
    <n v="1"/>
    <n v="1"/>
    <n v="1"/>
    <n v="1"/>
  </r>
  <r>
    <s v="TP2"/>
    <m/>
    <x v="0"/>
    <n v="59"/>
    <n v="20"/>
    <n v="0"/>
    <n v="0"/>
    <n v="0"/>
    <n v="0"/>
    <x v="17"/>
    <x v="16"/>
    <n v="4"/>
    <n v="0"/>
    <s v="Xuất"/>
    <s v="Kho1"/>
    <n v="39"/>
    <x v="0"/>
    <x v="0"/>
    <m/>
    <n v="0"/>
    <n v="0"/>
    <n v="0"/>
    <s v="BAN-KH3-250430-"/>
    <s v="KH3"/>
    <n v="500000"/>
    <n v="19500000"/>
    <m/>
    <n v="0"/>
    <n v="0"/>
    <n v="19500000"/>
    <n v="0"/>
    <n v="0"/>
    <n v="0"/>
    <n v="0"/>
    <n v="0"/>
    <n v="0"/>
    <n v="0"/>
    <m/>
    <m/>
    <n v="1"/>
    <n v="1"/>
    <n v="1"/>
    <n v="1"/>
    <n v="1"/>
    <n v="1"/>
    <n v="1"/>
  </r>
  <r>
    <s v="TP2"/>
    <m/>
    <x v="0"/>
    <n v="80"/>
    <n v="59"/>
    <n v="0"/>
    <n v="0"/>
    <n v="0"/>
    <n v="0"/>
    <x v="18"/>
    <x v="17"/>
    <n v="4"/>
    <n v="0"/>
    <s v="Xuất"/>
    <s v="Kho1"/>
    <n v="21"/>
    <x v="0"/>
    <x v="0"/>
    <m/>
    <n v="0"/>
    <n v="0"/>
    <n v="0"/>
    <s v="BAN-KH3-250429-"/>
    <s v="KH3"/>
    <n v="500000"/>
    <n v="10500000"/>
    <m/>
    <n v="0"/>
    <n v="0"/>
    <n v="10500000"/>
    <n v="0"/>
    <n v="0"/>
    <n v="0"/>
    <n v="0"/>
    <n v="0"/>
    <n v="0"/>
    <n v="0"/>
    <m/>
    <m/>
    <n v="1"/>
    <n v="1"/>
    <n v="1"/>
    <n v="1"/>
    <n v="1"/>
    <n v="1"/>
    <n v="1"/>
  </r>
  <r>
    <m/>
    <s v="NL1"/>
    <x v="2"/>
    <n v="137"/>
    <n v="152"/>
    <n v="14023642.070175439"/>
    <n v="14971777.070175439"/>
    <n v="102362.35087719299"/>
    <n v="98498.533356417363"/>
    <x v="19"/>
    <x v="18"/>
    <n v="4"/>
    <n v="0"/>
    <s v="Nhập"/>
    <s v="Kho1"/>
    <n v="15"/>
    <x v="9"/>
    <x v="1"/>
    <n v="63209"/>
    <n v="948135"/>
    <n v="0"/>
    <n v="0"/>
    <m/>
    <n v="0"/>
    <n v="0"/>
    <n v="0"/>
    <m/>
    <n v="0"/>
    <e v="#DIV/0!"/>
    <n v="0"/>
    <n v="0"/>
    <n v="0"/>
    <n v="0"/>
    <n v="0"/>
    <n v="0"/>
    <n v="0"/>
    <n v="0"/>
    <m/>
    <m/>
    <n v="1"/>
    <n v="1"/>
    <n v="1"/>
    <n v="1"/>
    <n v="1"/>
    <n v="1"/>
    <n v="1"/>
  </r>
  <r>
    <s v="TP1"/>
    <m/>
    <x v="1"/>
    <n v="174"/>
    <n v="146"/>
    <n v="0"/>
    <n v="0"/>
    <n v="0"/>
    <n v="0"/>
    <x v="20"/>
    <x v="19"/>
    <n v="4"/>
    <n v="0"/>
    <s v="Xuất"/>
    <s v="Kho1"/>
    <n v="28"/>
    <x v="0"/>
    <x v="0"/>
    <m/>
    <n v="0"/>
    <n v="0"/>
    <n v="0"/>
    <s v="BAN-KH2-250427-"/>
    <s v="KH2"/>
    <n v="300000"/>
    <n v="8400000"/>
    <m/>
    <n v="0"/>
    <n v="0"/>
    <n v="8400000"/>
    <n v="0"/>
    <n v="0"/>
    <n v="0"/>
    <n v="0"/>
    <n v="0"/>
    <n v="0"/>
    <n v="0"/>
    <m/>
    <m/>
    <n v="1"/>
    <n v="1"/>
    <n v="1"/>
    <n v="1"/>
    <n v="1"/>
    <n v="1"/>
    <n v="1"/>
  </r>
  <r>
    <m/>
    <s v="NL1"/>
    <x v="2"/>
    <n v="171"/>
    <n v="137"/>
    <n v="17503962"/>
    <n v="14023642.070175439"/>
    <n v="102362.35087719298"/>
    <n v="102362.35087719299"/>
    <x v="20"/>
    <x v="0"/>
    <n v="1"/>
    <s v=""/>
    <s v="Xuất"/>
    <s v="Kho1"/>
    <n v="34"/>
    <x v="0"/>
    <x v="0"/>
    <m/>
    <n v="3480319.9298245613"/>
    <n v="0"/>
    <n v="0"/>
    <m/>
    <n v="0"/>
    <n v="0"/>
    <n v="0"/>
    <m/>
    <n v="0"/>
    <e v="#DIV/0!"/>
    <n v="0"/>
    <n v="0"/>
    <n v="0"/>
    <n v="0"/>
    <n v="0"/>
    <n v="0"/>
    <n v="0"/>
    <n v="0"/>
    <m/>
    <m/>
    <n v="1"/>
    <n v="1"/>
    <n v="1"/>
    <n v="1"/>
    <n v="1"/>
    <n v="1"/>
    <n v="1"/>
  </r>
  <r>
    <s v="TP1"/>
    <m/>
    <x v="1"/>
    <n v="142"/>
    <n v="174"/>
    <n v="0"/>
    <n v="0"/>
    <n v="0"/>
    <n v="0"/>
    <x v="21"/>
    <x v="0"/>
    <n v="1"/>
    <s v=""/>
    <s v="Nhập"/>
    <s v="Kho1"/>
    <n v="32"/>
    <x v="0"/>
    <x v="0"/>
    <m/>
    <n v="0"/>
    <n v="0"/>
    <n v="0"/>
    <m/>
    <n v="0"/>
    <n v="0"/>
    <n v="0"/>
    <m/>
    <n v="0"/>
    <e v="#DIV/0!"/>
    <n v="0"/>
    <n v="0"/>
    <n v="0"/>
    <n v="0"/>
    <n v="0"/>
    <n v="0"/>
    <n v="0"/>
    <n v="0"/>
    <m/>
    <m/>
    <n v="1"/>
    <n v="1"/>
    <n v="1"/>
    <n v="1"/>
    <n v="1"/>
    <n v="1"/>
    <n v="1"/>
  </r>
  <r>
    <s v="TP1"/>
    <m/>
    <x v="1"/>
    <n v="121"/>
    <n v="142"/>
    <n v="0"/>
    <n v="0"/>
    <n v="0"/>
    <n v="0"/>
    <x v="22"/>
    <x v="0"/>
    <n v="1"/>
    <s v=""/>
    <s v="Nhập"/>
    <s v="Kho1"/>
    <n v="21"/>
    <x v="0"/>
    <x v="0"/>
    <m/>
    <n v="0"/>
    <n v="0"/>
    <n v="0"/>
    <m/>
    <n v="0"/>
    <n v="0"/>
    <n v="0"/>
    <m/>
    <n v="0"/>
    <e v="#DIV/0!"/>
    <n v="0"/>
    <n v="0"/>
    <n v="0"/>
    <n v="0"/>
    <n v="0"/>
    <n v="0"/>
    <n v="0"/>
    <n v="0"/>
    <m/>
    <m/>
    <n v="1"/>
    <n v="1"/>
    <n v="1"/>
    <n v="1"/>
    <n v="1"/>
    <n v="1"/>
    <n v="1"/>
  </r>
  <r>
    <m/>
    <s v="NL2"/>
    <x v="3"/>
    <n v="61"/>
    <n v="50"/>
    <n v="6906093.4782608673"/>
    <n v="5660732.3592302203"/>
    <n v="113214.64718460439"/>
    <n v="113214.6471846044"/>
    <x v="22"/>
    <x v="0"/>
    <n v="1"/>
    <s v=""/>
    <s v="Xuất"/>
    <s v="Kho1"/>
    <n v="11"/>
    <x v="0"/>
    <x v="0"/>
    <m/>
    <n v="1245361.1190306481"/>
    <n v="0"/>
    <n v="0"/>
    <m/>
    <n v="0"/>
    <n v="0"/>
    <n v="0"/>
    <m/>
    <n v="0"/>
    <e v="#DIV/0!"/>
    <n v="0"/>
    <n v="0"/>
    <n v="0"/>
    <n v="0"/>
    <n v="0"/>
    <n v="0"/>
    <n v="0"/>
    <n v="0"/>
    <m/>
    <m/>
    <n v="1"/>
    <n v="1"/>
    <n v="1"/>
    <n v="1"/>
    <n v="1"/>
    <n v="1"/>
    <n v="1"/>
  </r>
  <r>
    <m/>
    <s v="NL2"/>
    <x v="3"/>
    <n v="50"/>
    <n v="75"/>
    <n v="5660732.3592302203"/>
    <n v="9332607.3592302203"/>
    <n v="113214.6471846044"/>
    <n v="124434.76478973628"/>
    <x v="19"/>
    <x v="20"/>
    <n v="4"/>
    <n v="3"/>
    <s v="Nhập"/>
    <s v="Kho1"/>
    <n v="25"/>
    <x v="10"/>
    <x v="2"/>
    <n v="146875"/>
    <n v="3671875"/>
    <n v="0"/>
    <n v="0"/>
    <m/>
    <n v="0"/>
    <n v="0"/>
    <n v="0"/>
    <m/>
    <n v="0"/>
    <e v="#DIV/0!"/>
    <n v="0"/>
    <n v="0"/>
    <n v="0"/>
    <n v="0"/>
    <n v="0"/>
    <n v="0"/>
    <n v="0"/>
    <n v="0"/>
    <m/>
    <m/>
    <n v="1"/>
    <n v="1"/>
    <n v="1"/>
    <n v="1"/>
    <n v="1"/>
    <n v="1"/>
    <n v="1"/>
  </r>
  <r>
    <s v="TP1"/>
    <m/>
    <x v="1"/>
    <n v="139"/>
    <n v="121"/>
    <n v="0"/>
    <n v="0"/>
    <n v="0"/>
    <n v="0"/>
    <x v="23"/>
    <x v="21"/>
    <n v="4"/>
    <n v="0"/>
    <s v="Xuất"/>
    <s v="Kho1"/>
    <n v="18"/>
    <x v="0"/>
    <x v="0"/>
    <m/>
    <n v="0"/>
    <n v="0"/>
    <n v="0"/>
    <s v="BAN-KH2-250424-"/>
    <s v="KH2"/>
    <n v="300000"/>
    <n v="5400000"/>
    <m/>
    <n v="0"/>
    <n v="0"/>
    <n v="5400000"/>
    <n v="0"/>
    <n v="0"/>
    <n v="0"/>
    <n v="0"/>
    <n v="0"/>
    <n v="0"/>
    <n v="0"/>
    <m/>
    <m/>
    <n v="1"/>
    <n v="1"/>
    <n v="1"/>
    <n v="1"/>
    <n v="1"/>
    <n v="1"/>
    <n v="1"/>
  </r>
  <r>
    <m/>
    <s v="NL2"/>
    <x v="3"/>
    <n v="38"/>
    <n v="61"/>
    <n v="5321807.4782608673"/>
    <n v="6906093.4782608673"/>
    <n v="140047.56521739124"/>
    <n v="113214.64718460439"/>
    <x v="24"/>
    <x v="22"/>
    <n v="4"/>
    <n v="2"/>
    <s v="Nhập"/>
    <s v="Kho1"/>
    <n v="23"/>
    <x v="11"/>
    <x v="3"/>
    <n v="68882"/>
    <n v="1584286"/>
    <n v="0"/>
    <n v="0"/>
    <m/>
    <n v="0"/>
    <n v="0"/>
    <n v="0"/>
    <m/>
    <n v="0"/>
    <e v="#DIV/0!"/>
    <n v="0"/>
    <n v="0"/>
    <n v="0"/>
    <n v="0"/>
    <n v="0"/>
    <n v="0"/>
    <n v="0"/>
    <n v="0"/>
    <m/>
    <m/>
    <n v="1"/>
    <n v="1"/>
    <n v="1"/>
    <n v="1"/>
    <n v="1"/>
    <n v="1"/>
    <n v="1"/>
  </r>
  <r>
    <s v="HH1"/>
    <m/>
    <x v="4"/>
    <n v="-5"/>
    <n v="8"/>
    <n v="-450663.50746268593"/>
    <n v="280105.49253731407"/>
    <n v="90132.701492537191"/>
    <n v="35013.186567164259"/>
    <x v="25"/>
    <x v="23"/>
    <n v="4"/>
    <n v="1"/>
    <s v="Nhập"/>
    <s v="Kho1"/>
    <n v="13"/>
    <x v="12"/>
    <x v="1"/>
    <n v="56213"/>
    <n v="730769"/>
    <n v="0"/>
    <n v="0"/>
    <m/>
    <n v="0"/>
    <n v="0"/>
    <n v="0"/>
    <m/>
    <n v="0"/>
    <e v="#DIV/0!"/>
    <n v="0"/>
    <n v="0"/>
    <n v="0"/>
    <n v="0"/>
    <n v="0"/>
    <n v="0"/>
    <n v="0"/>
    <n v="0"/>
    <m/>
    <m/>
    <n v="1"/>
    <n v="1"/>
    <n v="1"/>
    <n v="1"/>
    <n v="1"/>
    <n v="1"/>
    <n v="1"/>
  </r>
  <r>
    <s v="HH1"/>
    <m/>
    <x v="4"/>
    <n v="18"/>
    <n v="-5"/>
    <n v="1622388.6268656738"/>
    <n v="-450663.50746268593"/>
    <n v="90132.701492537439"/>
    <n v="90132.701492537191"/>
    <x v="26"/>
    <x v="23"/>
    <n v="4"/>
    <n v="0"/>
    <s v="Xuất"/>
    <s v="Kho1"/>
    <n v="23"/>
    <x v="0"/>
    <x v="0"/>
    <m/>
    <n v="2073052.1343283611"/>
    <n v="0"/>
    <n v="0"/>
    <s v="BAN-KH3-250417-"/>
    <s v="KH3"/>
    <n v="100000"/>
    <n v="2300000"/>
    <m/>
    <n v="0"/>
    <n v="0"/>
    <n v="2300000"/>
    <n v="0"/>
    <n v="0"/>
    <n v="0"/>
    <n v="0"/>
    <n v="0"/>
    <n v="0"/>
    <n v="0"/>
    <m/>
    <m/>
    <n v="1"/>
    <n v="1"/>
    <n v="1"/>
    <n v="1"/>
    <n v="1"/>
    <n v="1"/>
    <n v="1"/>
  </r>
  <r>
    <s v="TP1"/>
    <m/>
    <x v="1"/>
    <n v="150"/>
    <n v="139"/>
    <n v="0"/>
    <n v="0"/>
    <n v="0"/>
    <n v="0"/>
    <x v="27"/>
    <x v="24"/>
    <n v="4"/>
    <n v="0"/>
    <s v="Xuất"/>
    <s v="Kho1"/>
    <n v="11"/>
    <x v="0"/>
    <x v="0"/>
    <m/>
    <n v="0"/>
    <n v="0"/>
    <n v="0"/>
    <s v="BAN-KH2-250415-"/>
    <s v="KH2"/>
    <n v="300000"/>
    <n v="3300000"/>
    <m/>
    <n v="0"/>
    <n v="0"/>
    <n v="3300000"/>
    <n v="0"/>
    <n v="0"/>
    <n v="0"/>
    <n v="0"/>
    <n v="0"/>
    <n v="0"/>
    <n v="0"/>
    <m/>
    <m/>
    <n v="1"/>
    <n v="1"/>
    <n v="1"/>
    <n v="1"/>
    <n v="1"/>
    <n v="1"/>
    <n v="1"/>
  </r>
  <r>
    <s v="HH1"/>
    <m/>
    <x v="4"/>
    <n v="57"/>
    <n v="18"/>
    <n v="5137563.9850746244"/>
    <n v="1622388.6268656738"/>
    <n v="90132.701492537264"/>
    <n v="90132.701492537439"/>
    <x v="28"/>
    <x v="25"/>
    <n v="4"/>
    <n v="0"/>
    <s v="Xuất"/>
    <s v="Kho1"/>
    <n v="39"/>
    <x v="0"/>
    <x v="0"/>
    <m/>
    <n v="3515175.3582089534"/>
    <n v="0"/>
    <n v="0"/>
    <s v="BAN-KH2-250414-"/>
    <s v="KH2"/>
    <n v="100000"/>
    <n v="3900000"/>
    <m/>
    <n v="0"/>
    <n v="0"/>
    <n v="3900000"/>
    <n v="0"/>
    <n v="0"/>
    <n v="0"/>
    <n v="0"/>
    <n v="0"/>
    <n v="0"/>
    <n v="0"/>
    <m/>
    <m/>
    <n v="1"/>
    <n v="1"/>
    <n v="1"/>
    <n v="1"/>
    <n v="1"/>
    <n v="1"/>
    <n v="1"/>
  </r>
  <r>
    <m/>
    <s v="NL2"/>
    <x v="3"/>
    <n v="73"/>
    <n v="38"/>
    <n v="10223472.260869566"/>
    <n v="5321807.4782608673"/>
    <n v="140047.56521739133"/>
    <n v="140047.56521739124"/>
    <x v="28"/>
    <x v="0"/>
    <n v="1"/>
    <s v=""/>
    <s v="Xuất"/>
    <s v="Kho1"/>
    <n v="35"/>
    <x v="0"/>
    <x v="0"/>
    <m/>
    <n v="4901664.7826086963"/>
    <n v="0"/>
    <n v="0"/>
    <m/>
    <n v="0"/>
    <n v="0"/>
    <n v="0"/>
    <m/>
    <n v="0"/>
    <e v="#DIV/0!"/>
    <n v="0"/>
    <n v="0"/>
    <n v="0"/>
    <n v="0"/>
    <n v="0"/>
    <n v="0"/>
    <n v="0"/>
    <n v="0"/>
    <m/>
    <m/>
    <n v="1"/>
    <n v="1"/>
    <n v="1"/>
    <n v="1"/>
    <n v="1"/>
    <n v="1"/>
    <n v="1"/>
  </r>
  <r>
    <s v="TP2"/>
    <m/>
    <x v="0"/>
    <n v="35"/>
    <n v="80"/>
    <n v="0"/>
    <n v="0"/>
    <n v="0"/>
    <n v="0"/>
    <x v="29"/>
    <x v="0"/>
    <n v="1"/>
    <s v=""/>
    <s v="Nhập"/>
    <s v="Kho1"/>
    <n v="45"/>
    <x v="0"/>
    <x v="0"/>
    <m/>
    <n v="0"/>
    <n v="0"/>
    <n v="0"/>
    <m/>
    <n v="0"/>
    <n v="0"/>
    <n v="0"/>
    <m/>
    <n v="0"/>
    <e v="#DIV/0!"/>
    <n v="0"/>
    <n v="0"/>
    <n v="0"/>
    <n v="0"/>
    <n v="0"/>
    <n v="0"/>
    <n v="0"/>
    <n v="0"/>
    <m/>
    <m/>
    <n v="1"/>
    <n v="1"/>
    <n v="1"/>
    <n v="1"/>
    <n v="1"/>
    <n v="1"/>
    <n v="1"/>
  </r>
  <r>
    <s v="HH1"/>
    <m/>
    <x v="4"/>
    <n v="84"/>
    <n v="57"/>
    <n v="7571146.9253731333"/>
    <n v="5137563.9850746244"/>
    <n v="90132.701492537308"/>
    <n v="90132.701492537264"/>
    <x v="30"/>
    <x v="26"/>
    <n v="4"/>
    <n v="0"/>
    <s v="Xuất"/>
    <s v="Kho1"/>
    <n v="27"/>
    <x v="0"/>
    <x v="0"/>
    <m/>
    <n v="2433582.9402985075"/>
    <n v="0"/>
    <n v="0"/>
    <s v="BAN-KH1-250411-"/>
    <s v="KH1"/>
    <n v="100000"/>
    <n v="2700000"/>
    <m/>
    <n v="0"/>
    <n v="0"/>
    <n v="2700000"/>
    <n v="0"/>
    <n v="0"/>
    <n v="0"/>
    <n v="0"/>
    <n v="0"/>
    <n v="0"/>
    <n v="0"/>
    <m/>
    <m/>
    <n v="1"/>
    <n v="1"/>
    <n v="1"/>
    <n v="1"/>
    <n v="1"/>
    <n v="1"/>
    <n v="1"/>
  </r>
  <r>
    <s v="TP1"/>
    <m/>
    <x v="1"/>
    <n v="136"/>
    <n v="150"/>
    <n v="0"/>
    <n v="0"/>
    <n v="0"/>
    <n v="0"/>
    <x v="31"/>
    <x v="27"/>
    <n v="4"/>
    <n v="0"/>
    <s v="Xuất"/>
    <s v="Kho1"/>
    <n v="14"/>
    <x v="0"/>
    <x v="0"/>
    <m/>
    <n v="0"/>
    <n v="0"/>
    <n v="0"/>
    <s v="BAN-KH3-250409-"/>
    <s v="KH3"/>
    <n v="300000"/>
    <n v="4200000"/>
    <m/>
    <n v="0"/>
    <n v="0"/>
    <n v="4200000"/>
    <n v="0"/>
    <n v="0"/>
    <n v="0"/>
    <n v="0"/>
    <n v="0"/>
    <n v="0"/>
    <n v="0"/>
    <m/>
    <m/>
    <n v="1"/>
    <n v="1"/>
    <n v="1"/>
    <n v="1"/>
    <n v="1"/>
    <n v="1"/>
    <n v="1"/>
  </r>
  <r>
    <s v="TP1"/>
    <m/>
    <x v="1"/>
    <n v="136"/>
    <n v="150"/>
    <n v="0"/>
    <n v="0"/>
    <n v="0"/>
    <n v="0"/>
    <x v="31"/>
    <x v="0"/>
    <n v="1"/>
    <s v=""/>
    <s v="Nhập"/>
    <s v="Kho1"/>
    <n v="28"/>
    <x v="0"/>
    <x v="0"/>
    <m/>
    <n v="0"/>
    <n v="0"/>
    <n v="0"/>
    <m/>
    <n v="0"/>
    <n v="0"/>
    <n v="0"/>
    <m/>
    <n v="0"/>
    <e v="#DIV/0!"/>
    <n v="0"/>
    <n v="0"/>
    <n v="0"/>
    <n v="0"/>
    <n v="0"/>
    <n v="0"/>
    <n v="0"/>
    <n v="0"/>
    <m/>
    <m/>
    <n v="1"/>
    <n v="1"/>
    <n v="1"/>
    <n v="1"/>
    <n v="1"/>
    <n v="1"/>
    <n v="1"/>
  </r>
  <r>
    <s v="HH1"/>
    <m/>
    <x v="4"/>
    <n v="103"/>
    <n v="84"/>
    <n v="9283668.2537313439"/>
    <n v="7571146.9253731333"/>
    <n v="90132.701492537322"/>
    <n v="90132.701492537308"/>
    <x v="32"/>
    <x v="28"/>
    <n v="4"/>
    <n v="0"/>
    <s v="Xuất"/>
    <s v="Kho1"/>
    <n v="19"/>
    <x v="0"/>
    <x v="0"/>
    <m/>
    <n v="1712521.3283582092"/>
    <n v="0"/>
    <n v="0"/>
    <s v="BAN-KH2-250408-"/>
    <s v="KH2"/>
    <n v="100000"/>
    <n v="1900000"/>
    <m/>
    <n v="0"/>
    <n v="0"/>
    <n v="1900000"/>
    <n v="0"/>
    <n v="0"/>
    <n v="0"/>
    <n v="0"/>
    <n v="0"/>
    <n v="0"/>
    <n v="0"/>
    <m/>
    <m/>
    <n v="1"/>
    <n v="1"/>
    <n v="1"/>
    <n v="1"/>
    <n v="1"/>
    <n v="1"/>
    <n v="1"/>
  </r>
  <r>
    <m/>
    <s v="NL2"/>
    <x v="3"/>
    <n v="88"/>
    <n v="73"/>
    <n v="12324185.739130437"/>
    <n v="10223472.260869566"/>
    <n v="140047.56521739133"/>
    <n v="140047.56521739133"/>
    <x v="32"/>
    <x v="0"/>
    <n v="1"/>
    <s v=""/>
    <s v="Xuất"/>
    <s v="Kho1"/>
    <n v="15"/>
    <x v="0"/>
    <x v="0"/>
    <m/>
    <n v="2100713.4782608701"/>
    <n v="0"/>
    <n v="0"/>
    <m/>
    <n v="0"/>
    <n v="0"/>
    <n v="0"/>
    <m/>
    <n v="0"/>
    <e v="#DIV/0!"/>
    <n v="0"/>
    <n v="0"/>
    <n v="0"/>
    <n v="0"/>
    <n v="0"/>
    <n v="0"/>
    <n v="0"/>
    <n v="0"/>
    <m/>
    <m/>
    <n v="1"/>
    <n v="1"/>
    <n v="1"/>
    <n v="1"/>
    <n v="1"/>
    <n v="1"/>
    <n v="1"/>
  </r>
  <r>
    <s v="TP1"/>
    <m/>
    <x v="1"/>
    <n v="106"/>
    <n v="136"/>
    <n v="0"/>
    <n v="0"/>
    <n v="0"/>
    <n v="0"/>
    <x v="33"/>
    <x v="0"/>
    <n v="1"/>
    <s v=""/>
    <s v="Nhập"/>
    <s v="Kho1"/>
    <n v="30"/>
    <x v="0"/>
    <x v="0"/>
    <m/>
    <n v="0"/>
    <n v="0"/>
    <n v="0"/>
    <m/>
    <n v="0"/>
    <n v="0"/>
    <n v="0"/>
    <m/>
    <n v="0"/>
    <e v="#DIV/0!"/>
    <n v="0"/>
    <n v="0"/>
    <n v="0"/>
    <n v="0"/>
    <n v="0"/>
    <n v="0"/>
    <n v="0"/>
    <n v="0"/>
    <m/>
    <m/>
    <n v="1"/>
    <n v="1"/>
    <n v="1"/>
    <n v="1"/>
    <n v="1"/>
    <n v="1"/>
    <n v="1"/>
  </r>
  <r>
    <s v="TP1"/>
    <m/>
    <x v="1"/>
    <n v="78"/>
    <n v="106"/>
    <n v="0"/>
    <n v="0"/>
    <n v="0"/>
    <n v="0"/>
    <x v="34"/>
    <x v="0"/>
    <n v="1"/>
    <s v=""/>
    <s v="Nhập"/>
    <s v="Kho1"/>
    <n v="28"/>
    <x v="0"/>
    <x v="0"/>
    <m/>
    <n v="0"/>
    <n v="0"/>
    <n v="0"/>
    <m/>
    <n v="0"/>
    <n v="0"/>
    <n v="0"/>
    <m/>
    <n v="0"/>
    <e v="#DIV/0!"/>
    <n v="0"/>
    <n v="0"/>
    <n v="0"/>
    <n v="0"/>
    <n v="0"/>
    <n v="0"/>
    <n v="0"/>
    <n v="0"/>
    <m/>
    <m/>
    <n v="1"/>
    <n v="1"/>
    <n v="1"/>
    <n v="1"/>
    <n v="1"/>
    <n v="1"/>
    <n v="1"/>
  </r>
  <r>
    <m/>
    <s v="NL2"/>
    <x v="3"/>
    <n v="138"/>
    <n v="88"/>
    <n v="19326564"/>
    <n v="12324185.739130437"/>
    <n v="140047.5652173913"/>
    <n v="140047.56521739133"/>
    <x v="35"/>
    <x v="0"/>
    <n v="1"/>
    <s v=""/>
    <s v="Xuất"/>
    <s v="Kho1"/>
    <n v="50"/>
    <x v="0"/>
    <x v="0"/>
    <m/>
    <n v="7002378.2608695645"/>
    <n v="0"/>
    <n v="0"/>
    <m/>
    <n v="0"/>
    <n v="0"/>
    <n v="0"/>
    <m/>
    <n v="0"/>
    <e v="#DIV/0!"/>
    <n v="0"/>
    <n v="0"/>
    <n v="0"/>
    <n v="0"/>
    <n v="0"/>
    <n v="0"/>
    <n v="0"/>
    <n v="0"/>
    <m/>
    <m/>
    <n v="1"/>
    <n v="1"/>
    <n v="1"/>
    <n v="1"/>
    <n v="1"/>
    <n v="1"/>
    <n v="1"/>
  </r>
  <r>
    <s v="TP1"/>
    <m/>
    <x v="1"/>
    <n v="106"/>
    <n v="78"/>
    <n v="0"/>
    <n v="0"/>
    <n v="0"/>
    <n v="0"/>
    <x v="36"/>
    <x v="29"/>
    <n v="4"/>
    <n v="0"/>
    <s v="Xuất"/>
    <s v="Kho1"/>
    <n v="28"/>
    <x v="0"/>
    <x v="0"/>
    <m/>
    <n v="0"/>
    <n v="0"/>
    <n v="0"/>
    <s v="BAN-KH1-250403-"/>
    <s v="KH1"/>
    <n v="300000"/>
    <n v="8400000"/>
    <m/>
    <n v="0"/>
    <n v="0"/>
    <n v="8400000"/>
    <n v="0"/>
    <n v="0"/>
    <n v="0"/>
    <n v="0"/>
    <n v="0"/>
    <n v="0"/>
    <n v="0"/>
    <m/>
    <m/>
    <n v="1"/>
    <n v="1"/>
    <n v="1"/>
    <n v="1"/>
    <n v="1"/>
    <n v="1"/>
    <n v="1"/>
  </r>
  <r>
    <s v="TP2"/>
    <m/>
    <x v="0"/>
    <n v="66"/>
    <n v="35"/>
    <n v="0"/>
    <n v="0"/>
    <n v="0"/>
    <n v="0"/>
    <x v="37"/>
    <x v="30"/>
    <n v="3"/>
    <n v="0"/>
    <s v="Xuất"/>
    <s v="Kho1"/>
    <n v="31"/>
    <x v="0"/>
    <x v="0"/>
    <m/>
    <n v="0"/>
    <n v="0"/>
    <n v="0"/>
    <s v="BAN-KH2-250330-"/>
    <s v="KH2"/>
    <n v="500000"/>
    <n v="15500000"/>
    <m/>
    <n v="0"/>
    <n v="0"/>
    <n v="15500000"/>
    <n v="0"/>
    <n v="0"/>
    <n v="0"/>
    <n v="0"/>
    <n v="0"/>
    <n v="0"/>
    <n v="0"/>
    <m/>
    <m/>
    <n v="1"/>
    <n v="1"/>
    <n v="1"/>
    <n v="1"/>
    <n v="1"/>
    <n v="1"/>
    <n v="1"/>
  </r>
  <r>
    <m/>
    <s v="NL1"/>
    <x v="2"/>
    <n v="165"/>
    <n v="171"/>
    <n v="16618566"/>
    <n v="17503962"/>
    <n v="100718.58181818182"/>
    <n v="102362.35087719298"/>
    <x v="37"/>
    <x v="31"/>
    <n v="3"/>
    <n v="2"/>
    <s v="Nhập"/>
    <s v="Kho1"/>
    <n v="6"/>
    <x v="13"/>
    <x v="2"/>
    <n v="147566"/>
    <n v="885396"/>
    <n v="0"/>
    <n v="0"/>
    <m/>
    <n v="0"/>
    <n v="0"/>
    <n v="0"/>
    <m/>
    <n v="0"/>
    <e v="#DIV/0!"/>
    <n v="0"/>
    <n v="0"/>
    <n v="0"/>
    <n v="0"/>
    <n v="0"/>
    <n v="0"/>
    <n v="0"/>
    <n v="0"/>
    <m/>
    <m/>
    <n v="1"/>
    <n v="1"/>
    <n v="1"/>
    <n v="1"/>
    <n v="1"/>
    <n v="1"/>
    <n v="1"/>
  </r>
  <r>
    <s v="TP1"/>
    <m/>
    <x v="1"/>
    <n v="120"/>
    <n v="106"/>
    <n v="0"/>
    <n v="0"/>
    <n v="0"/>
    <n v="0"/>
    <x v="38"/>
    <x v="32"/>
    <n v="3"/>
    <n v="0"/>
    <s v="Xuất"/>
    <s v="Kho1"/>
    <n v="14"/>
    <x v="0"/>
    <x v="0"/>
    <m/>
    <n v="0"/>
    <n v="0"/>
    <n v="0"/>
    <s v="BAN-KH1-250327-"/>
    <s v="KH1"/>
    <n v="300000"/>
    <n v="4200000"/>
    <m/>
    <n v="0"/>
    <n v="0"/>
    <n v="4200000"/>
    <n v="0"/>
    <n v="0"/>
    <n v="0"/>
    <n v="0"/>
    <n v="0"/>
    <n v="0"/>
    <n v="0"/>
    <m/>
    <m/>
    <n v="1"/>
    <n v="1"/>
    <n v="1"/>
    <n v="1"/>
    <n v="1"/>
    <n v="1"/>
    <n v="1"/>
  </r>
  <r>
    <s v="TP1"/>
    <m/>
    <x v="1"/>
    <n v="91"/>
    <n v="120"/>
    <n v="0"/>
    <n v="0"/>
    <n v="0"/>
    <n v="0"/>
    <x v="39"/>
    <x v="0"/>
    <n v="1"/>
    <s v=""/>
    <s v="Nhập"/>
    <s v="Kho1"/>
    <n v="29"/>
    <x v="0"/>
    <x v="0"/>
    <m/>
    <n v="0"/>
    <n v="0"/>
    <n v="0"/>
    <m/>
    <n v="0"/>
    <n v="0"/>
    <n v="0"/>
    <m/>
    <n v="0"/>
    <e v="#DIV/0!"/>
    <n v="0"/>
    <n v="0"/>
    <n v="0"/>
    <n v="0"/>
    <n v="0"/>
    <n v="0"/>
    <n v="0"/>
    <n v="0"/>
    <m/>
    <m/>
    <n v="1"/>
    <n v="1"/>
    <n v="1"/>
    <n v="1"/>
    <n v="1"/>
    <n v="1"/>
    <n v="1"/>
  </r>
  <r>
    <s v="TP2"/>
    <m/>
    <x v="0"/>
    <n v="28"/>
    <n v="66"/>
    <n v="0"/>
    <n v="0"/>
    <n v="0"/>
    <n v="0"/>
    <x v="39"/>
    <x v="0"/>
    <n v="1"/>
    <s v=""/>
    <s v="Nhập"/>
    <s v="Kho1"/>
    <n v="38"/>
    <x v="0"/>
    <x v="0"/>
    <m/>
    <n v="0"/>
    <n v="0"/>
    <n v="0"/>
    <m/>
    <n v="0"/>
    <n v="0"/>
    <n v="0"/>
    <m/>
    <n v="0"/>
    <e v="#DIV/0!"/>
    <n v="0"/>
    <n v="0"/>
    <n v="0"/>
    <n v="0"/>
    <n v="0"/>
    <n v="0"/>
    <n v="0"/>
    <n v="0"/>
    <m/>
    <m/>
    <n v="1"/>
    <n v="1"/>
    <n v="1"/>
    <n v="1"/>
    <n v="1"/>
    <n v="1"/>
    <n v="1"/>
  </r>
  <r>
    <s v="HH1"/>
    <m/>
    <x v="4"/>
    <n v="133"/>
    <n v="103"/>
    <n v="11987649.298507463"/>
    <n v="9283668.2537313439"/>
    <n v="90132.701492537322"/>
    <n v="90132.701492537322"/>
    <x v="40"/>
    <x v="33"/>
    <n v="3"/>
    <n v="0"/>
    <s v="Xuất"/>
    <s v="Kho1"/>
    <n v="30"/>
    <x v="0"/>
    <x v="0"/>
    <m/>
    <n v="2703981.0447761198"/>
    <n v="0"/>
    <n v="0"/>
    <s v="BAN-KH3-250325-"/>
    <s v="KH3"/>
    <n v="100000"/>
    <n v="3000000"/>
    <m/>
    <n v="0"/>
    <n v="0"/>
    <n v="3000000"/>
    <n v="0"/>
    <n v="0"/>
    <n v="0"/>
    <n v="0"/>
    <n v="0"/>
    <n v="0"/>
    <n v="0"/>
    <m/>
    <m/>
    <n v="1"/>
    <n v="1"/>
    <n v="1"/>
    <n v="1"/>
    <n v="1"/>
    <n v="1"/>
    <n v="1"/>
  </r>
  <r>
    <m/>
    <s v="NL2"/>
    <x v="3"/>
    <n v="130"/>
    <n v="138"/>
    <n v="18536292"/>
    <n v="19326564"/>
    <n v="142586.86153846153"/>
    <n v="140047.5652173913"/>
    <x v="41"/>
    <x v="34"/>
    <n v="3"/>
    <n v="0"/>
    <s v="Nhập"/>
    <s v="Kho1"/>
    <n v="8"/>
    <x v="14"/>
    <x v="1"/>
    <n v="98784"/>
    <n v="790272"/>
    <n v="0"/>
    <n v="0"/>
    <m/>
    <n v="0"/>
    <n v="0"/>
    <n v="0"/>
    <m/>
    <n v="0"/>
    <e v="#DIV/0!"/>
    <n v="0"/>
    <n v="0"/>
    <n v="0"/>
    <n v="0"/>
    <n v="0"/>
    <n v="0"/>
    <n v="0"/>
    <n v="0"/>
    <m/>
    <m/>
    <n v="1"/>
    <n v="1"/>
    <n v="1"/>
    <n v="1"/>
    <n v="1"/>
    <n v="1"/>
    <n v="1"/>
  </r>
  <r>
    <s v="HH1"/>
    <m/>
    <x v="4"/>
    <n v="134"/>
    <n v="133"/>
    <n v="12077782"/>
    <n v="11987649.298507463"/>
    <n v="90132.701492537308"/>
    <n v="90132.701492537322"/>
    <x v="42"/>
    <x v="35"/>
    <n v="3"/>
    <n v="0"/>
    <s v="Xuất"/>
    <s v="Kho1"/>
    <n v="1"/>
    <x v="0"/>
    <x v="0"/>
    <m/>
    <n v="90132.701492537308"/>
    <n v="0"/>
    <n v="0"/>
    <s v="BAN-KH1-250320-"/>
    <s v="KH1"/>
    <n v="100000"/>
    <n v="100000"/>
    <m/>
    <n v="0"/>
    <n v="0"/>
    <n v="100000"/>
    <n v="0"/>
    <n v="0"/>
    <n v="0"/>
    <n v="0"/>
    <n v="0"/>
    <n v="0"/>
    <n v="0"/>
    <m/>
    <m/>
    <n v="1"/>
    <n v="1"/>
    <n v="1"/>
    <n v="1"/>
    <n v="1"/>
    <n v="1"/>
    <n v="1"/>
  </r>
  <r>
    <s v="TP2"/>
    <m/>
    <x v="0"/>
    <n v="76"/>
    <n v="28"/>
    <n v="0"/>
    <n v="0"/>
    <n v="0"/>
    <n v="0"/>
    <x v="43"/>
    <x v="36"/>
    <n v="3"/>
    <n v="0"/>
    <s v="Xuất"/>
    <s v="Kho1"/>
    <n v="48"/>
    <x v="0"/>
    <x v="0"/>
    <m/>
    <n v="0"/>
    <n v="0"/>
    <n v="0"/>
    <s v="BAN-KH2-250319-"/>
    <s v="KH2"/>
    <n v="500000"/>
    <n v="24000000"/>
    <m/>
    <n v="0"/>
    <n v="0"/>
    <n v="24000000"/>
    <n v="0"/>
    <n v="0"/>
    <n v="0"/>
    <n v="0"/>
    <n v="0"/>
    <n v="0"/>
    <n v="0"/>
    <m/>
    <m/>
    <n v="1"/>
    <n v="1"/>
    <n v="1"/>
    <n v="1"/>
    <n v="1"/>
    <n v="1"/>
    <n v="1"/>
  </r>
  <r>
    <s v="TP1"/>
    <m/>
    <x v="1"/>
    <n v="68"/>
    <n v="91"/>
    <n v="0"/>
    <n v="0"/>
    <n v="0"/>
    <n v="0"/>
    <x v="44"/>
    <x v="0"/>
    <n v="1"/>
    <s v=""/>
    <s v="Nhập"/>
    <s v="Kho1"/>
    <n v="23"/>
    <x v="0"/>
    <x v="0"/>
    <m/>
    <n v="0"/>
    <n v="0"/>
    <n v="0"/>
    <m/>
    <n v="0"/>
    <n v="0"/>
    <n v="0"/>
    <m/>
    <n v="0"/>
    <e v="#DIV/0!"/>
    <n v="0"/>
    <n v="0"/>
    <n v="0"/>
    <n v="0"/>
    <n v="0"/>
    <n v="0"/>
    <n v="0"/>
    <n v="0"/>
    <m/>
    <m/>
    <n v="1"/>
    <n v="1"/>
    <n v="1"/>
    <n v="1"/>
    <n v="1"/>
    <n v="1"/>
    <n v="1"/>
  </r>
  <r>
    <s v="TP1"/>
    <m/>
    <x v="1"/>
    <n v="35"/>
    <n v="68"/>
    <n v="0"/>
    <n v="0"/>
    <n v="0"/>
    <n v="0"/>
    <x v="45"/>
    <x v="0"/>
    <n v="1"/>
    <s v=""/>
    <s v="Nhập"/>
    <s v="Kho1"/>
    <n v="33"/>
    <x v="0"/>
    <x v="0"/>
    <m/>
    <n v="0"/>
    <n v="0"/>
    <n v="0"/>
    <m/>
    <n v="0"/>
    <n v="0"/>
    <n v="0"/>
    <m/>
    <n v="0"/>
    <e v="#DIV/0!"/>
    <n v="0"/>
    <n v="0"/>
    <n v="0"/>
    <n v="0"/>
    <n v="0"/>
    <n v="0"/>
    <n v="0"/>
    <n v="0"/>
    <m/>
    <m/>
    <n v="1"/>
    <n v="1"/>
    <n v="1"/>
    <n v="1"/>
    <n v="1"/>
    <n v="1"/>
    <n v="1"/>
  </r>
  <r>
    <s v="HH1"/>
    <m/>
    <x v="4"/>
    <n v="111"/>
    <n v="134"/>
    <n v="8880000"/>
    <n v="12077782"/>
    <n v="80000"/>
    <n v="90132.701492537308"/>
    <x v="46"/>
    <x v="37"/>
    <n v="3"/>
    <n v="0"/>
    <s v="Nhập"/>
    <s v="Kho1"/>
    <n v="23"/>
    <x v="15"/>
    <x v="1"/>
    <n v="139034"/>
    <n v="3197782"/>
    <n v="0"/>
    <n v="0"/>
    <m/>
    <n v="0"/>
    <n v="0"/>
    <n v="0"/>
    <m/>
    <n v="0"/>
    <e v="#DIV/0!"/>
    <n v="0"/>
    <n v="0"/>
    <n v="0"/>
    <n v="0"/>
    <n v="0"/>
    <n v="0"/>
    <n v="0"/>
    <n v="0"/>
    <m/>
    <m/>
    <n v="1"/>
    <n v="1"/>
    <n v="1"/>
    <n v="1"/>
    <n v="1"/>
    <n v="1"/>
    <n v="1"/>
  </r>
  <r>
    <m/>
    <s v="NL2"/>
    <x v="3"/>
    <n v="150"/>
    <n v="118"/>
    <n v="22500000"/>
    <n v="17700000"/>
    <n v="150000"/>
    <n v="150000"/>
    <x v="47"/>
    <x v="0"/>
    <n v="1"/>
    <s v=""/>
    <s v="Xuất"/>
    <s v="Kho1"/>
    <n v="32"/>
    <x v="0"/>
    <x v="0"/>
    <m/>
    <n v="4800000"/>
    <n v="0"/>
    <n v="0"/>
    <m/>
    <n v="0"/>
    <n v="0"/>
    <n v="0"/>
    <m/>
    <n v="0"/>
    <e v="#DIV/0!"/>
    <n v="0"/>
    <n v="0"/>
    <n v="0"/>
    <n v="0"/>
    <n v="0"/>
    <n v="0"/>
    <n v="0"/>
    <n v="0"/>
    <m/>
    <m/>
    <n v="1"/>
    <n v="1"/>
    <n v="1"/>
    <n v="1"/>
    <n v="1"/>
    <n v="1"/>
    <n v="1"/>
  </r>
  <r>
    <m/>
    <s v="NL1"/>
    <x v="2"/>
    <n v="151"/>
    <n v="165"/>
    <n v="15100000"/>
    <n v="16618566"/>
    <n v="100000"/>
    <n v="100718.58181818182"/>
    <x v="48"/>
    <x v="38"/>
    <n v="3"/>
    <n v="1"/>
    <s v="Nhập"/>
    <s v="Kho1"/>
    <n v="14"/>
    <x v="16"/>
    <x v="2"/>
    <n v="108469"/>
    <n v="1518566"/>
    <n v="0"/>
    <n v="0"/>
    <m/>
    <n v="0"/>
    <n v="0"/>
    <n v="0"/>
    <m/>
    <n v="0"/>
    <e v="#DIV/0!"/>
    <n v="0"/>
    <n v="0"/>
    <n v="0"/>
    <n v="0"/>
    <n v="0"/>
    <n v="0"/>
    <n v="0"/>
    <n v="0"/>
    <m/>
    <m/>
    <n v="1"/>
    <n v="1"/>
    <n v="1"/>
    <n v="1"/>
    <n v="1"/>
    <n v="1"/>
    <n v="1"/>
  </r>
  <r>
    <s v="HH1"/>
    <m/>
    <x v="4"/>
    <n v="150"/>
    <n v="111"/>
    <n v="12000000"/>
    <n v="8880000"/>
    <n v="80000"/>
    <n v="80000"/>
    <x v="49"/>
    <x v="39"/>
    <n v="3"/>
    <n v="0"/>
    <s v="Xuất"/>
    <s v="Kho1"/>
    <n v="39"/>
    <x v="0"/>
    <x v="0"/>
    <m/>
    <n v="3120000"/>
    <n v="0"/>
    <n v="0"/>
    <s v="BAN-KH2-250313-"/>
    <s v="KH2"/>
    <n v="100000"/>
    <n v="3900000"/>
    <m/>
    <n v="0"/>
    <n v="0"/>
    <n v="3900000"/>
    <n v="0"/>
    <n v="0"/>
    <n v="0"/>
    <n v="0"/>
    <n v="0"/>
    <n v="0"/>
    <n v="0"/>
    <m/>
    <m/>
    <n v="1"/>
    <n v="1"/>
    <n v="1"/>
    <n v="1"/>
    <n v="1"/>
    <n v="1"/>
    <n v="1"/>
  </r>
  <r>
    <s v="TP2"/>
    <m/>
    <x v="0"/>
    <n v="45"/>
    <n v="76"/>
    <n v="0"/>
    <n v="0"/>
    <n v="0"/>
    <n v="0"/>
    <x v="49"/>
    <x v="0"/>
    <n v="1"/>
    <s v=""/>
    <s v="Nhập"/>
    <s v="Kho1"/>
    <n v="31"/>
    <x v="0"/>
    <x v="0"/>
    <m/>
    <n v="0"/>
    <n v="0"/>
    <n v="0"/>
    <m/>
    <n v="0"/>
    <n v="0"/>
    <n v="0"/>
    <m/>
    <n v="0"/>
    <e v="#DIV/0!"/>
    <n v="0"/>
    <n v="0"/>
    <n v="0"/>
    <n v="0"/>
    <n v="0"/>
    <n v="0"/>
    <n v="0"/>
    <n v="0"/>
    <m/>
    <m/>
    <n v="1"/>
    <n v="1"/>
    <n v="1"/>
    <n v="1"/>
    <n v="1"/>
    <n v="1"/>
    <n v="1"/>
  </r>
  <r>
    <m/>
    <s v="NL1"/>
    <x v="2"/>
    <n v="200"/>
    <n v="151"/>
    <n v="20000000"/>
    <n v="15100000"/>
    <n v="100000"/>
    <n v="100000"/>
    <x v="50"/>
    <x v="0"/>
    <n v="1"/>
    <s v=""/>
    <s v="Xuất"/>
    <s v="Kho1"/>
    <n v="49"/>
    <x v="0"/>
    <x v="0"/>
    <m/>
    <n v="4900000"/>
    <n v="0"/>
    <n v="0"/>
    <m/>
    <n v="0"/>
    <n v="0"/>
    <n v="0"/>
    <m/>
    <n v="0"/>
    <e v="#DIV/0!"/>
    <n v="0"/>
    <n v="0"/>
    <n v="0"/>
    <n v="0"/>
    <n v="0"/>
    <n v="0"/>
    <n v="0"/>
    <n v="0"/>
    <m/>
    <m/>
    <n v="1"/>
    <n v="1"/>
    <n v="1"/>
    <n v="1"/>
    <n v="1"/>
    <n v="1"/>
    <n v="1"/>
  </r>
  <r>
    <m/>
    <s v="NL2"/>
    <x v="3"/>
    <n v="118"/>
    <n v="130"/>
    <n v="17700000"/>
    <n v="18536292"/>
    <n v="150000"/>
    <n v="142586.86153846153"/>
    <x v="48"/>
    <x v="40"/>
    <n v="3"/>
    <n v="3"/>
    <s v="Nhập"/>
    <s v="Kho1"/>
    <n v="12"/>
    <x v="17"/>
    <x v="3"/>
    <n v="69691"/>
    <n v="836292"/>
    <n v="0"/>
    <n v="0"/>
    <m/>
    <n v="0"/>
    <n v="0"/>
    <n v="0"/>
    <m/>
    <n v="0"/>
    <e v="#DIV/0!"/>
    <n v="0"/>
    <n v="0"/>
    <n v="0"/>
    <n v="0"/>
    <n v="0"/>
    <n v="0"/>
    <n v="0"/>
    <n v="0"/>
    <m/>
    <m/>
    <n v="1"/>
    <n v="1"/>
    <n v="1"/>
    <n v="1"/>
    <n v="1"/>
    <n v="1"/>
    <n v="1"/>
  </r>
  <r>
    <s v="TP1"/>
    <m/>
    <x v="1"/>
    <n v="0"/>
    <n v="35"/>
    <n v="0"/>
    <n v="0"/>
    <n v="0"/>
    <n v="0"/>
    <x v="51"/>
    <x v="0"/>
    <n v="1"/>
    <s v=""/>
    <s v="Nhập"/>
    <s v="Kho1"/>
    <n v="35"/>
    <x v="0"/>
    <x v="0"/>
    <m/>
    <n v="0"/>
    <n v="0"/>
    <n v="0"/>
    <m/>
    <n v="0"/>
    <n v="0"/>
    <n v="0"/>
    <m/>
    <n v="0"/>
    <e v="#DIV/0!"/>
    <n v="0"/>
    <n v="0"/>
    <n v="0"/>
    <n v="0"/>
    <n v="0"/>
    <n v="0"/>
    <n v="0"/>
    <n v="0"/>
    <m/>
    <m/>
    <n v="1"/>
    <n v="1"/>
    <n v="1"/>
    <n v="1"/>
    <n v="1"/>
    <n v="1"/>
    <n v="1"/>
  </r>
  <r>
    <s v="TP2"/>
    <m/>
    <x v="0"/>
    <n v="0"/>
    <n v="45"/>
    <n v="0"/>
    <n v="0"/>
    <n v="0"/>
    <n v="0"/>
    <x v="51"/>
    <x v="0"/>
    <n v="1"/>
    <s v=""/>
    <s v="Nhập"/>
    <s v="Kho1"/>
    <n v="45"/>
    <x v="0"/>
    <x v="0"/>
    <m/>
    <n v="0"/>
    <n v="0"/>
    <n v="0"/>
    <m/>
    <n v="0"/>
    <n v="0"/>
    <n v="0"/>
    <m/>
    <n v="0"/>
    <e v="#DIV/0!"/>
    <n v="0"/>
    <n v="0"/>
    <n v="0"/>
    <n v="0"/>
    <n v="0"/>
    <n v="0"/>
    <n v="0"/>
    <n v="0"/>
    <m/>
    <m/>
    <n v="1"/>
    <n v="1"/>
    <n v="1"/>
    <n v="1"/>
    <n v="1"/>
    <n v="1"/>
    <n v="1"/>
  </r>
  <r>
    <m/>
    <s v="NL1"/>
    <x v="2"/>
    <n v="300"/>
    <n v="200"/>
    <n v="30000000"/>
    <n v="20000000"/>
    <n v="100000"/>
    <n v="100000"/>
    <x v="52"/>
    <x v="0"/>
    <n v="1"/>
    <s v=""/>
    <s v="Xuất"/>
    <s v="Kho1"/>
    <n v="100"/>
    <x v="0"/>
    <x v="0"/>
    <m/>
    <n v="10000000"/>
    <n v="0"/>
    <n v="0"/>
    <m/>
    <n v="0"/>
    <n v="0"/>
    <n v="0"/>
    <m/>
    <n v="0"/>
    <e v="#DIV/0!"/>
    <n v="0"/>
    <n v="0"/>
    <n v="0"/>
    <n v="0"/>
    <n v="0"/>
    <n v="0"/>
    <n v="0"/>
    <n v="0"/>
    <m/>
    <m/>
    <n v="1"/>
    <n v="1"/>
    <n v="1"/>
    <n v="1"/>
    <n v="1"/>
    <n v="1"/>
    <n v="1"/>
  </r>
  <r>
    <m/>
    <s v="NL2"/>
    <x v="3"/>
    <n v="200"/>
    <n v="150"/>
    <n v="30000000"/>
    <n v="22500000"/>
    <n v="150000"/>
    <n v="150000"/>
    <x v="52"/>
    <x v="0"/>
    <n v="1"/>
    <s v=""/>
    <s v="Xuất"/>
    <s v="Kho1"/>
    <n v="50"/>
    <x v="0"/>
    <x v="0"/>
    <m/>
    <n v="7500000"/>
    <n v="0"/>
    <n v="0"/>
    <m/>
    <n v="0"/>
    <n v="0"/>
    <n v="0"/>
    <m/>
    <n v="0"/>
    <e v="#DIV/0!"/>
    <n v="0"/>
    <n v="0"/>
    <n v="0"/>
    <n v="0"/>
    <n v="0"/>
    <n v="0"/>
    <n v="0"/>
    <n v="0"/>
    <m/>
    <m/>
    <n v="1"/>
    <n v="1"/>
    <n v="1"/>
    <n v="1"/>
    <n v="1"/>
    <n v="1"/>
    <n v="1"/>
  </r>
  <r>
    <s v="HH1"/>
    <m/>
    <x v="4"/>
    <n v="0"/>
    <n v="150"/>
    <n v="0"/>
    <n v="12000000"/>
    <n v="0"/>
    <n v="80000"/>
    <x v="53"/>
    <x v="41"/>
    <n v="3"/>
    <n v="0"/>
    <s v="Nhập"/>
    <s v="Kho1"/>
    <n v="150"/>
    <x v="18"/>
    <x v="1"/>
    <n v="80000"/>
    <n v="12000000"/>
    <n v="0"/>
    <n v="0"/>
    <m/>
    <n v="0"/>
    <n v="0"/>
    <n v="0"/>
    <m/>
    <n v="0"/>
    <e v="#DIV/0!"/>
    <n v="0"/>
    <n v="0"/>
    <n v="0"/>
    <n v="0"/>
    <n v="0"/>
    <n v="0"/>
    <n v="0"/>
    <n v="0"/>
    <m/>
    <m/>
    <n v="1"/>
    <n v="1"/>
    <n v="1"/>
    <n v="1"/>
    <n v="1"/>
    <n v="1"/>
    <n v="1"/>
  </r>
  <r>
    <m/>
    <s v="NL2"/>
    <x v="3"/>
    <n v="0"/>
    <n v="200"/>
    <n v="0"/>
    <n v="30000000"/>
    <n v="0"/>
    <n v="150000"/>
    <x v="53"/>
    <x v="41"/>
    <n v="3"/>
    <n v="0"/>
    <s v="Nhập"/>
    <s v="Kho1"/>
    <n v="200"/>
    <x v="18"/>
    <x v="1"/>
    <n v="150000"/>
    <n v="30000000"/>
    <n v="0"/>
    <n v="0"/>
    <m/>
    <n v="0"/>
    <n v="0"/>
    <n v="0"/>
    <m/>
    <n v="0"/>
    <e v="#DIV/0!"/>
    <n v="0"/>
    <n v="0"/>
    <n v="0"/>
    <n v="0"/>
    <n v="0"/>
    <n v="0"/>
    <n v="0"/>
    <n v="0"/>
    <m/>
    <m/>
    <n v="1"/>
    <n v="1"/>
    <n v="1"/>
    <n v="1"/>
    <n v="1"/>
    <n v="1"/>
    <n v="1"/>
  </r>
  <r>
    <m/>
    <s v="NL1"/>
    <x v="2"/>
    <n v="0"/>
    <n v="300"/>
    <n v="0"/>
    <n v="30000000"/>
    <n v="0"/>
    <n v="100000"/>
    <x v="53"/>
    <x v="42"/>
    <n v="3"/>
    <n v="2"/>
    <s v="Nhập"/>
    <s v="Kho1"/>
    <n v="300"/>
    <x v="19"/>
    <x v="2"/>
    <n v="100000"/>
    <n v="30000000"/>
    <n v="0"/>
    <n v="0"/>
    <m/>
    <n v="0"/>
    <n v="0"/>
    <n v="0"/>
    <m/>
    <n v="0"/>
    <e v="#DIV/0!"/>
    <n v="0"/>
    <n v="0"/>
    <n v="0"/>
    <n v="0"/>
    <n v="0"/>
    <n v="0"/>
    <n v="0"/>
    <n v="0"/>
    <m/>
    <m/>
    <n v="1"/>
    <n v="1"/>
    <n v="1"/>
    <n v="1"/>
    <n v="1"/>
    <n v="1"/>
    <n v="1"/>
  </r>
  <r>
    <m/>
    <m/>
    <x v="5"/>
    <n v="0"/>
    <n v="0"/>
    <n v="0"/>
    <n v="0"/>
    <n v="0"/>
    <n v="0"/>
    <x v="54"/>
    <x v="0"/>
    <n v="1"/>
    <s v=""/>
    <m/>
    <m/>
    <m/>
    <x v="0"/>
    <x v="0"/>
    <m/>
    <n v="0"/>
    <n v="0"/>
    <n v="0"/>
    <m/>
    <n v="0"/>
    <n v="0"/>
    <n v="0"/>
    <m/>
    <n v="0"/>
    <e v="#DIV/0!"/>
    <n v="0"/>
    <n v="0"/>
    <n v="0"/>
    <n v="0"/>
    <n v="0"/>
    <n v="0"/>
    <n v="0"/>
    <n v="0"/>
    <m/>
    <m/>
    <n v="1"/>
    <n v="1"/>
    <n v="1"/>
    <n v="1"/>
    <n v="1"/>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48F62A-728F-45AE-8DC2-B8681F725477}" name="PivotTable_SanPham" cacheId="0" applyNumberFormats="0" applyBorderFormats="0" applyFontFormats="0" applyPatternFormats="0" applyAlignmentFormats="0" applyWidthHeightFormats="1" dataCaption="Values" showMissing="0" tag="c56043d8-edf3-4e42-9b78-8a27bb637b98" updatedVersion="8" minRefreshableVersion="5" useAutoFormatting="1" subtotalHiddenItems="1" rowGrandTotals="0" colGrandTotals="0" itemPrintTitles="1" createdVersion="7" indent="0" outline="1" outlineData="1" multipleFieldFilters="0">
  <location ref="S5:AA59" firstHeaderRow="0" firstDataRow="1" firstDataCol="7"/>
  <pivotFields count="12">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xis="axisRow" allDrilled="1" outline="0" subtotalTop="0" showAll="0" dataSourceSort="1" defaultSubtotal="0" defaultAttributeDrillState="1">
      <items count="3">
        <item x="0"/>
        <item x="1"/>
        <item x="2"/>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7">
    <field x="0"/>
    <field x="1"/>
    <field x="3"/>
    <field x="2"/>
    <field x="5"/>
    <field x="6"/>
    <field x="8"/>
  </rowFields>
  <rowItems count="54">
    <i>
      <x/>
      <x/>
      <x/>
      <x/>
      <x/>
      <x/>
      <x/>
    </i>
    <i r="4">
      <x v="1"/>
      <x v="1"/>
      <x/>
    </i>
    <i r="4">
      <x v="2"/>
      <x v="2"/>
      <x/>
    </i>
    <i>
      <x v="1"/>
      <x v="1"/>
      <x v="1"/>
      <x v="1"/>
      <x/>
      <x/>
      <x/>
    </i>
    <i r="4">
      <x v="1"/>
      <x v="1"/>
      <x/>
    </i>
    <i r="4">
      <x v="2"/>
      <x v="2"/>
      <x/>
    </i>
    <i>
      <x v="2"/>
      <x/>
      <x v="2"/>
      <x/>
      <x/>
      <x/>
      <x/>
    </i>
    <i r="4">
      <x v="1"/>
      <x v="1"/>
      <x/>
    </i>
    <i r="4">
      <x v="2"/>
      <x v="2"/>
      <x/>
    </i>
    <i>
      <x v="3"/>
      <x/>
      <x v="3"/>
      <x v="2"/>
      <x/>
      <x/>
      <x/>
    </i>
    <i r="4">
      <x v="1"/>
      <x v="1"/>
      <x/>
    </i>
    <i r="4">
      <x v="2"/>
      <x v="2"/>
      <x/>
    </i>
    <i>
      <x v="4"/>
      <x/>
      <x v="4"/>
      <x v="3"/>
      <x/>
      <x/>
      <x/>
    </i>
    <i r="4">
      <x v="1"/>
      <x v="1"/>
      <x/>
    </i>
    <i r="4">
      <x v="2"/>
      <x v="2"/>
      <x/>
    </i>
    <i>
      <x v="5"/>
      <x v="1"/>
      <x v="5"/>
      <x v="4"/>
      <x/>
      <x/>
      <x/>
    </i>
    <i r="4">
      <x v="1"/>
      <x v="1"/>
      <x/>
    </i>
    <i r="4">
      <x v="2"/>
      <x v="2"/>
      <x/>
    </i>
    <i>
      <x v="6"/>
      <x/>
      <x v="6"/>
      <x/>
      <x/>
      <x/>
      <x/>
    </i>
    <i r="4">
      <x v="1"/>
      <x v="1"/>
      <x/>
    </i>
    <i r="4">
      <x v="2"/>
      <x v="2"/>
      <x/>
    </i>
    <i>
      <x v="7"/>
      <x/>
      <x v="7"/>
      <x v="2"/>
      <x/>
      <x/>
      <x/>
    </i>
    <i r="4">
      <x v="1"/>
      <x v="1"/>
      <x/>
    </i>
    <i r="4">
      <x v="2"/>
      <x v="2"/>
      <x/>
    </i>
    <i>
      <x v="8"/>
      <x v="1"/>
      <x v="8"/>
      <x v="1"/>
      <x/>
      <x/>
      <x/>
    </i>
    <i r="4">
      <x v="1"/>
      <x v="1"/>
      <x/>
    </i>
    <i r="4">
      <x v="2"/>
      <x v="2"/>
      <x/>
    </i>
    <i>
      <x v="9"/>
      <x v="1"/>
      <x v="9"/>
      <x v="5"/>
      <x/>
      <x/>
      <x/>
    </i>
    <i r="4">
      <x v="1"/>
      <x v="1"/>
      <x/>
    </i>
    <i r="4">
      <x v="2"/>
      <x v="2"/>
      <x/>
    </i>
    <i>
      <x v="10"/>
      <x v="1"/>
      <x v="10"/>
      <x v="5"/>
      <x/>
      <x/>
      <x/>
    </i>
    <i r="4">
      <x v="1"/>
      <x v="1"/>
      <x/>
    </i>
    <i r="4">
      <x v="2"/>
      <x v="2"/>
      <x/>
    </i>
    <i>
      <x v="11"/>
      <x/>
      <x v="11"/>
      <x v="6"/>
      <x/>
      <x/>
      <x/>
    </i>
    <i r="4">
      <x v="1"/>
      <x v="1"/>
      <x/>
    </i>
    <i r="4">
      <x v="2"/>
      <x v="2"/>
      <x/>
    </i>
    <i>
      <x v="12"/>
      <x/>
      <x v="12"/>
      <x/>
      <x/>
      <x/>
      <x/>
    </i>
    <i r="4">
      <x v="1"/>
      <x v="1"/>
      <x/>
    </i>
    <i r="4">
      <x v="2"/>
      <x v="2"/>
      <x/>
    </i>
    <i>
      <x v="13"/>
      <x v="1"/>
      <x v="13"/>
      <x v="4"/>
      <x/>
      <x/>
      <x/>
    </i>
    <i r="4">
      <x v="1"/>
      <x v="1"/>
      <x/>
    </i>
    <i r="4">
      <x v="2"/>
      <x v="2"/>
      <x/>
    </i>
    <i>
      <x v="14"/>
      <x/>
      <x v="14"/>
      <x v="2"/>
      <x/>
      <x/>
      <x/>
    </i>
    <i r="4">
      <x v="1"/>
      <x v="1"/>
      <x/>
    </i>
    <i r="4">
      <x v="2"/>
      <x v="2"/>
      <x/>
    </i>
    <i>
      <x v="15"/>
      <x/>
      <x v="15"/>
      <x v="3"/>
      <x/>
      <x/>
      <x/>
    </i>
    <i r="4">
      <x v="1"/>
      <x v="1"/>
      <x/>
    </i>
    <i r="4">
      <x v="2"/>
      <x v="2"/>
      <x/>
    </i>
    <i>
      <x v="16"/>
      <x/>
      <x v="16"/>
      <x v="3"/>
      <x/>
      <x/>
      <x/>
    </i>
    <i r="4">
      <x v="1"/>
      <x v="1"/>
      <x/>
    </i>
    <i r="4">
      <x v="2"/>
      <x v="2"/>
      <x/>
    </i>
    <i>
      <x v="17"/>
      <x v="1"/>
      <x v="17"/>
      <x v="1"/>
      <x/>
      <x/>
      <x/>
    </i>
    <i r="4">
      <x v="1"/>
      <x v="1"/>
      <x/>
    </i>
    <i r="4">
      <x v="2"/>
      <x v="2"/>
      <x/>
    </i>
  </rowItems>
  <colFields count="1">
    <field x="-2"/>
  </colFields>
  <colItems count="2">
    <i>
      <x/>
    </i>
    <i i="1">
      <x v="1"/>
    </i>
  </colItems>
  <dataFields count="2">
    <dataField name="Doanh thu" fld="7" baseField="0" baseItem="0"/>
    <dataField name="Số lượng" fld="4" baseField="0" baseItem="0"/>
  </dataFields>
  <formats count="25">
    <format dxfId="2134">
      <pivotArea type="all" dataOnly="0" outline="0" fieldPosition="0"/>
    </format>
    <format dxfId="2133">
      <pivotArea field="0" type="button" dataOnly="0" labelOnly="1" outline="0" axis="axisRow" fieldPosition="0"/>
    </format>
    <format dxfId="2132">
      <pivotArea dataOnly="0" labelOnly="1" grandRow="1" outline="0" fieldPosition="0"/>
    </format>
    <format dxfId="2131">
      <pivotArea type="all" dataOnly="0" outline="0" fieldPosition="0"/>
    </format>
    <format dxfId="2130">
      <pivotArea outline="0" collapsedLevelsAreSubtotals="1" fieldPosition="0"/>
    </format>
    <format dxfId="2129">
      <pivotArea field="0" type="button" dataOnly="0" labelOnly="1" outline="0" axis="axisRow" fieldPosition="0"/>
    </format>
    <format dxfId="2128">
      <pivotArea field="1" type="button" dataOnly="0" labelOnly="1" outline="0" axis="axisRow" fieldPosition="1"/>
    </format>
    <format dxfId="2127">
      <pivotArea field="3" type="button" dataOnly="0" labelOnly="1" outline="0" axis="axisRow" fieldPosition="2"/>
    </format>
    <format dxfId="2126">
      <pivotArea field="2" type="button" dataOnly="0" labelOnly="1" outline="0" axis="axisRow" fieldPosition="3"/>
    </format>
    <format dxfId="2125">
      <pivotArea field="5" type="button" dataOnly="0" labelOnly="1" outline="0" axis="axisRow" fieldPosition="4"/>
    </format>
    <format dxfId="2124">
      <pivotArea field="6" type="button" dataOnly="0" labelOnly="1" outline="0" axis="axisRow" fieldPosition="5"/>
    </format>
    <format dxfId="2123">
      <pivotArea field="8" type="button" dataOnly="0" labelOnly="1" outline="0" axis="axisRow" fieldPosition="6"/>
    </format>
    <format dxfId="2122">
      <pivotArea dataOnly="0" labelOnly="1" fieldPosition="0">
        <references count="1">
          <reference field="0" count="0"/>
        </references>
      </pivotArea>
    </format>
    <format dxfId="2121">
      <pivotArea dataOnly="0" labelOnly="1" outline="0" fieldPosition="0">
        <references count="1">
          <reference field="4294967294" count="2">
            <x v="0"/>
            <x v="1"/>
          </reference>
        </references>
      </pivotArea>
    </format>
    <format dxfId="2120">
      <pivotArea type="all" dataOnly="0" outline="0" fieldPosition="0"/>
    </format>
    <format dxfId="2119">
      <pivotArea outline="0" collapsedLevelsAreSubtotals="1" fieldPosition="0"/>
    </format>
    <format dxfId="2118">
      <pivotArea field="0" type="button" dataOnly="0" labelOnly="1" outline="0" axis="axisRow" fieldPosition="0"/>
    </format>
    <format dxfId="2117">
      <pivotArea field="1" type="button" dataOnly="0" labelOnly="1" outline="0" axis="axisRow" fieldPosition="1"/>
    </format>
    <format dxfId="2116">
      <pivotArea field="3" type="button" dataOnly="0" labelOnly="1" outline="0" axis="axisRow" fieldPosition="2"/>
    </format>
    <format dxfId="2115">
      <pivotArea field="2" type="button" dataOnly="0" labelOnly="1" outline="0" axis="axisRow" fieldPosition="3"/>
    </format>
    <format dxfId="2114">
      <pivotArea field="5" type="button" dataOnly="0" labelOnly="1" outline="0" axis="axisRow" fieldPosition="4"/>
    </format>
    <format dxfId="2113">
      <pivotArea field="6" type="button" dataOnly="0" labelOnly="1" outline="0" axis="axisRow" fieldPosition="5"/>
    </format>
    <format dxfId="2112">
      <pivotArea field="8" type="button" dataOnly="0" labelOnly="1" outline="0" axis="axisRow" fieldPosition="6"/>
    </format>
    <format dxfId="2111">
      <pivotArea dataOnly="0" labelOnly="1" fieldPosition="0">
        <references count="1">
          <reference field="0" count="0"/>
        </references>
      </pivotArea>
    </format>
    <format dxfId="2110">
      <pivotArea dataOnly="0" labelOnly="1" outline="0" fieldPosition="0">
        <references count="1">
          <reference field="4294967294" count="2">
            <x v="0"/>
            <x v="1"/>
          </reference>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22" name="[Table_DonBan].[Ngày lập]">
      <autoFilter ref="A1">
        <filterColumn colId="0">
          <customFilters and="1">
            <customFilter operator="greaterThanOrEqual" val="45231"/>
            <customFilter operator="lessThanOrEqual" val="45412"/>
          </customFilters>
        </filterColumn>
      </autoFilter>
      <extLst>
        <ext xmlns:x15="http://schemas.microsoft.com/office/spreadsheetml/2010/11/main" uri="{0605FD5F-26C8-4aeb-8148-2DB25E43C511}">
          <x15:pivotFilter useWholeDay="1"/>
        </ext>
      </extLst>
    </filter>
    <filter fld="11" type="dateBetween" evalOrder="-1" id="22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10" type="dateBetween" evalOrder="-1" id="215"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9" type="dateBetween" evalOrder="-1" id="7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7">
    <rowHierarchyUsage hierarchyUsage="138"/>
    <rowHierarchyUsage hierarchyUsage="189"/>
    <rowHierarchyUsage hierarchyUsage="137"/>
    <rowHierarchyUsage hierarchyUsage="194"/>
    <rowHierarchyUsage hierarchyUsage="333"/>
    <rowHierarchyUsage hierarchyUsage="225"/>
    <rowHierarchyUsage hierarchyUsage="2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45FBC2-173E-4C26-95B8-C670AFC8386D}" name="PivotTable_KPI_Actual" cacheId="1" applyNumberFormats="0" applyBorderFormats="0" applyFontFormats="0" applyPatternFormats="0" applyAlignmentFormats="0" applyWidthHeightFormats="1" dataCaption="Values" tag="e31d6bc9-d71e-4505-a006-7a7b7d9cec8a" updatedVersion="8" minRefreshableVersion="5" useAutoFormatting="1" subtotalHiddenItems="1" rowGrandTotals="0" itemPrintTitles="1" createdVersion="8" indent="0" outline="1" outlineData="1" multipleFieldFilters="0">
  <location ref="AC5:AI77" firstHeaderRow="1" firstDataRow="1" firstDataCol="6"/>
  <pivotFields count="10">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name="Doanh thu đơn"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dataField="1" subtotalTop="0" showAll="0" defaultSubtotal="0"/>
    <pivotField axis="axisRow"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s>
  <rowFields count="6">
    <field x="3"/>
    <field x="7"/>
    <field x="1"/>
    <field x="9"/>
    <field x="6"/>
    <field x="5"/>
  </rowFields>
  <rowItems count="72">
    <i>
      <x/>
      <x/>
      <x/>
      <x/>
      <x/>
      <x/>
    </i>
    <i r="5">
      <x v="1"/>
    </i>
    <i r="5">
      <x v="2"/>
    </i>
    <i>
      <x v="1"/>
      <x v="1"/>
      <x/>
      <x v="1"/>
      <x/>
      <x/>
    </i>
    <i r="5">
      <x v="1"/>
    </i>
    <i r="5">
      <x v="2"/>
    </i>
    <i>
      <x v="2"/>
      <x v="2"/>
      <x v="1"/>
      <x v="2"/>
      <x v="1"/>
      <x/>
    </i>
    <i r="5">
      <x v="1"/>
    </i>
    <i r="5">
      <x v="2"/>
    </i>
    <i>
      <x v="3"/>
      <x/>
      <x v="1"/>
      <x v="3"/>
      <x/>
      <x/>
    </i>
    <i r="5">
      <x v="1"/>
    </i>
    <i r="5">
      <x v="2"/>
    </i>
    <i>
      <x v="4"/>
      <x/>
      <x v="1"/>
      <x v="4"/>
      <x v="1"/>
      <x/>
    </i>
    <i r="5">
      <x v="1"/>
    </i>
    <i r="5">
      <x v="2"/>
    </i>
    <i>
      <x v="5"/>
      <x v="3"/>
      <x/>
      <x v="5"/>
      <x/>
      <x/>
    </i>
    <i r="5">
      <x v="1"/>
    </i>
    <i r="5">
      <x v="2"/>
    </i>
    <i>
      <x v="6"/>
      <x v="1"/>
      <x/>
      <x v="6"/>
      <x/>
      <x/>
    </i>
    <i r="5">
      <x v="1"/>
    </i>
    <i r="5">
      <x v="2"/>
    </i>
    <i>
      <x v="7"/>
      <x v="2"/>
      <x v="1"/>
      <x v="7"/>
      <x/>
      <x/>
    </i>
    <i r="5">
      <x v="1"/>
    </i>
    <i r="5">
      <x v="2"/>
    </i>
    <i>
      <x v="8"/>
      <x/>
      <x/>
      <x v="8"/>
      <x v="1"/>
      <x/>
    </i>
    <i r="5">
      <x v="1"/>
    </i>
    <i r="5">
      <x v="2"/>
    </i>
    <i>
      <x v="9"/>
      <x v="4"/>
      <x/>
      <x v="9"/>
      <x/>
      <x/>
    </i>
    <i r="5">
      <x v="1"/>
    </i>
    <i r="5">
      <x v="2"/>
    </i>
    <i>
      <x v="10"/>
      <x/>
      <x/>
      <x v="10"/>
      <x/>
      <x/>
    </i>
    <i r="5">
      <x v="1"/>
    </i>
    <i r="5">
      <x v="2"/>
    </i>
    <i>
      <x v="11"/>
      <x v="5"/>
      <x v="1"/>
      <x v="11"/>
      <x/>
      <x/>
    </i>
    <i r="5">
      <x v="1"/>
    </i>
    <i r="5">
      <x v="2"/>
    </i>
    <i>
      <x v="12"/>
      <x v="5"/>
      <x/>
      <x v="12"/>
      <x v="1"/>
      <x/>
    </i>
    <i r="5">
      <x v="1"/>
    </i>
    <i r="5">
      <x v="2"/>
    </i>
    <i>
      <x v="13"/>
      <x/>
      <x v="1"/>
      <x v="13"/>
      <x/>
      <x/>
    </i>
    <i r="5">
      <x v="1"/>
    </i>
    <i r="5">
      <x v="2"/>
    </i>
    <i>
      <x v="14"/>
      <x v="1"/>
      <x v="1"/>
      <x v="14"/>
      <x v="1"/>
      <x/>
    </i>
    <i r="5">
      <x v="1"/>
    </i>
    <i r="5">
      <x v="2"/>
    </i>
    <i>
      <x v="15"/>
      <x v="2"/>
      <x/>
      <x v="15"/>
      <x/>
      <x/>
    </i>
    <i r="5">
      <x v="1"/>
    </i>
    <i r="5">
      <x v="2"/>
    </i>
    <i>
      <x v="16"/>
      <x/>
      <x v="1"/>
      <x v="16"/>
      <x/>
      <x/>
    </i>
    <i r="5">
      <x v="1"/>
    </i>
    <i r="5">
      <x v="2"/>
    </i>
    <i>
      <x v="17"/>
      <x/>
      <x/>
      <x v="17"/>
      <x/>
      <x/>
    </i>
    <i r="5">
      <x v="1"/>
    </i>
    <i r="5">
      <x v="2"/>
    </i>
    <i>
      <x v="18"/>
      <x v="3"/>
      <x/>
      <x v="18"/>
      <x v="1"/>
      <x/>
    </i>
    <i r="5">
      <x v="1"/>
    </i>
    <i r="5">
      <x v="2"/>
    </i>
    <i>
      <x v="19"/>
      <x v="1"/>
      <x v="1"/>
      <x v="19"/>
      <x/>
      <x/>
    </i>
    <i r="5">
      <x v="1"/>
    </i>
    <i r="5">
      <x v="2"/>
    </i>
    <i>
      <x v="20"/>
      <x v="2"/>
      <x v="1"/>
      <x v="20"/>
      <x/>
      <x/>
    </i>
    <i r="5">
      <x v="1"/>
    </i>
    <i r="5">
      <x v="2"/>
    </i>
    <i>
      <x v="21"/>
      <x/>
      <x/>
      <x v="21"/>
      <x/>
      <x/>
    </i>
    <i r="5">
      <x v="1"/>
    </i>
    <i r="5">
      <x v="2"/>
    </i>
    <i>
      <x v="22"/>
      <x v="4"/>
      <x/>
      <x v="22"/>
      <x v="1"/>
      <x/>
    </i>
    <i r="5">
      <x v="1"/>
    </i>
    <i r="5">
      <x v="2"/>
    </i>
    <i>
      <x v="23"/>
      <x/>
      <x v="1"/>
      <x v="23"/>
      <x/>
      <x/>
    </i>
    <i r="5">
      <x v="1"/>
    </i>
    <i r="5">
      <x v="2"/>
    </i>
  </rowItems>
  <colItems count="1">
    <i/>
  </colItems>
  <dataFields count="1">
    <dataField name="Sum of Giá trị bán trước VAT" fld="8" baseField="0" baseItem="0"/>
  </dataFields>
  <formats count="55">
    <format dxfId="2189">
      <pivotArea type="all" dataOnly="0" outline="0" fieldPosition="0"/>
    </format>
    <format dxfId="2188">
      <pivotArea outline="0" collapsedLevelsAreSubtotals="1" fieldPosition="0"/>
    </format>
    <format dxfId="2187">
      <pivotArea field="3" type="button" dataOnly="0" labelOnly="1" outline="0" axis="axisRow" fieldPosition="0"/>
    </format>
    <format dxfId="2186">
      <pivotArea field="7" type="button" dataOnly="0" labelOnly="1" outline="0" axis="axisRow" fieldPosition="1"/>
    </format>
    <format dxfId="2185">
      <pivotArea field="1" type="button" dataOnly="0" labelOnly="1" outline="0" axis="axisRow" fieldPosition="2"/>
    </format>
    <format dxfId="2184">
      <pivotArea field="4" type="button" dataOnly="0" labelOnly="1" outline="0"/>
    </format>
    <format dxfId="2183">
      <pivotArea field="6" type="button" dataOnly="0" labelOnly="1" outline="0" axis="axisRow" fieldPosition="4"/>
    </format>
    <format dxfId="2182">
      <pivotArea field="5" type="button" dataOnly="0" labelOnly="1" outline="0" axis="axisRow" fieldPosition="5"/>
    </format>
    <format dxfId="2181">
      <pivotArea dataOnly="0" labelOnly="1" fieldPosition="0">
        <references count="1">
          <reference field="3" count="0"/>
        </references>
      </pivotArea>
    </format>
    <format dxfId="2180">
      <pivotArea dataOnly="0" labelOnly="1" fieldPosition="0">
        <references count="2">
          <reference field="3" count="1" selected="0">
            <x v="0"/>
          </reference>
          <reference field="7" count="1">
            <x v="0"/>
          </reference>
        </references>
      </pivotArea>
    </format>
    <format dxfId="2179">
      <pivotArea dataOnly="0" labelOnly="1" fieldPosition="0">
        <references count="2">
          <reference field="3" count="1" selected="0">
            <x v="1"/>
          </reference>
          <reference field="7" count="1">
            <x v="1"/>
          </reference>
        </references>
      </pivotArea>
    </format>
    <format dxfId="2178">
      <pivotArea dataOnly="0" labelOnly="1" fieldPosition="0">
        <references count="2">
          <reference field="3" count="1" selected="0">
            <x v="2"/>
          </reference>
          <reference field="7" count="1">
            <x v="2"/>
          </reference>
        </references>
      </pivotArea>
    </format>
    <format dxfId="2177">
      <pivotArea dataOnly="0" labelOnly="1" fieldPosition="0">
        <references count="2">
          <reference field="3" count="1" selected="0">
            <x v="3"/>
          </reference>
          <reference field="7" count="1">
            <x v="0"/>
          </reference>
        </references>
      </pivotArea>
    </format>
    <format dxfId="2176">
      <pivotArea dataOnly="0" labelOnly="1" fieldPosition="0">
        <references count="2">
          <reference field="3" count="1" selected="0">
            <x v="5"/>
          </reference>
          <reference field="7" count="1">
            <x v="3"/>
          </reference>
        </references>
      </pivotArea>
    </format>
    <format dxfId="2175">
      <pivotArea dataOnly="0" labelOnly="1" fieldPosition="0">
        <references count="2">
          <reference field="3" count="1" selected="0">
            <x v="6"/>
          </reference>
          <reference field="7" count="1">
            <x v="1"/>
          </reference>
        </references>
      </pivotArea>
    </format>
    <format dxfId="2174">
      <pivotArea dataOnly="0" labelOnly="1" fieldPosition="0">
        <references count="2">
          <reference field="3" count="1" selected="0">
            <x v="7"/>
          </reference>
          <reference field="7" count="1">
            <x v="2"/>
          </reference>
        </references>
      </pivotArea>
    </format>
    <format dxfId="2173">
      <pivotArea dataOnly="0" labelOnly="1" fieldPosition="0">
        <references count="2">
          <reference field="3" count="1" selected="0">
            <x v="8"/>
          </reference>
          <reference field="7" count="1">
            <x v="0"/>
          </reference>
        </references>
      </pivotArea>
    </format>
    <format dxfId="2172">
      <pivotArea dataOnly="0" labelOnly="1" fieldPosition="0">
        <references count="2">
          <reference field="3" count="1" selected="0">
            <x v="9"/>
          </reference>
          <reference field="7" count="1">
            <x v="4"/>
          </reference>
        </references>
      </pivotArea>
    </format>
    <format dxfId="2171">
      <pivotArea dataOnly="0" labelOnly="1" fieldPosition="0">
        <references count="2">
          <reference field="3" count="1" selected="0">
            <x v="10"/>
          </reference>
          <reference field="7" count="1">
            <x v="0"/>
          </reference>
        </references>
      </pivotArea>
    </format>
    <format dxfId="2170">
      <pivotArea dataOnly="0" labelOnly="1" fieldPosition="0">
        <references count="2">
          <reference field="3" count="1" selected="0">
            <x v="11"/>
          </reference>
          <reference field="7" count="1">
            <x v="5"/>
          </reference>
        </references>
      </pivotArea>
    </format>
    <format dxfId="2169">
      <pivotArea dataOnly="0" labelOnly="1" fieldPosition="0">
        <references count="2">
          <reference field="3" count="1" selected="0">
            <x v="13"/>
          </reference>
          <reference field="7" count="1">
            <x v="0"/>
          </reference>
        </references>
      </pivotArea>
    </format>
    <format dxfId="2168">
      <pivotArea dataOnly="0" labelOnly="1" fieldPosition="0">
        <references count="2">
          <reference field="3" count="1" selected="0">
            <x v="14"/>
          </reference>
          <reference field="7" count="1">
            <x v="1"/>
          </reference>
        </references>
      </pivotArea>
    </format>
    <format dxfId="2167">
      <pivotArea dataOnly="0" labelOnly="1" fieldPosition="0">
        <references count="2">
          <reference field="3" count="1" selected="0">
            <x v="15"/>
          </reference>
          <reference field="7" count="1">
            <x v="2"/>
          </reference>
        </references>
      </pivotArea>
    </format>
    <format dxfId="2166">
      <pivotArea dataOnly="0" labelOnly="1" fieldPosition="0">
        <references count="2">
          <reference field="3" count="1" selected="0">
            <x v="16"/>
          </reference>
          <reference field="7" count="1">
            <x v="0"/>
          </reference>
        </references>
      </pivotArea>
    </format>
    <format dxfId="2165">
      <pivotArea dataOnly="0" labelOnly="1" fieldPosition="0">
        <references count="2">
          <reference field="3" count="1" selected="0">
            <x v="18"/>
          </reference>
          <reference field="7" count="1">
            <x v="3"/>
          </reference>
        </references>
      </pivotArea>
    </format>
    <format dxfId="2164">
      <pivotArea dataOnly="0" labelOnly="1" fieldPosition="0">
        <references count="2">
          <reference field="3" count="1" selected="0">
            <x v="19"/>
          </reference>
          <reference field="7" count="1">
            <x v="1"/>
          </reference>
        </references>
      </pivotArea>
    </format>
    <format dxfId="2163">
      <pivotArea dataOnly="0" labelOnly="1" fieldPosition="0">
        <references count="2">
          <reference field="3" count="1" selected="0">
            <x v="20"/>
          </reference>
          <reference field="7" count="1">
            <x v="2"/>
          </reference>
        </references>
      </pivotArea>
    </format>
    <format dxfId="2162">
      <pivotArea dataOnly="0" labelOnly="1" fieldPosition="0">
        <references count="2">
          <reference field="3" count="1" selected="0">
            <x v="21"/>
          </reference>
          <reference field="7" count="1">
            <x v="0"/>
          </reference>
        </references>
      </pivotArea>
    </format>
    <format dxfId="2161">
      <pivotArea dataOnly="0" labelOnly="1" fieldPosition="0">
        <references count="2">
          <reference field="3" count="1" selected="0">
            <x v="22"/>
          </reference>
          <reference field="7" count="1">
            <x v="4"/>
          </reference>
        </references>
      </pivotArea>
    </format>
    <format dxfId="2160">
      <pivotArea dataOnly="0" labelOnly="1" fieldPosition="0">
        <references count="2">
          <reference field="3" count="1" selected="0">
            <x v="23"/>
          </reference>
          <reference field="7" count="1">
            <x v="0"/>
          </reference>
        </references>
      </pivotArea>
    </format>
    <format dxfId="2159">
      <pivotArea dataOnly="0" labelOnly="1" fieldPosition="0">
        <references count="2">
          <reference field="3" count="1" selected="0">
            <x v="24"/>
          </reference>
          <reference field="7" count="1">
            <x v="5"/>
          </reference>
        </references>
      </pivotArea>
    </format>
    <format dxfId="2158">
      <pivotArea dataOnly="0" labelOnly="1" fieldPosition="0">
        <references count="2">
          <reference field="3" count="1" selected="0">
            <x v="25"/>
          </reference>
          <reference field="7" count="1">
            <x v="0"/>
          </reference>
        </references>
      </pivotArea>
    </format>
    <format dxfId="2157">
      <pivotArea dataOnly="0" labelOnly="1" fieldPosition="0">
        <references count="2">
          <reference field="3" count="1" selected="0">
            <x v="26"/>
          </reference>
          <reference field="7" count="1">
            <x v="1"/>
          </reference>
        </references>
      </pivotArea>
    </format>
    <format dxfId="2156">
      <pivotArea dataOnly="0" labelOnly="1" fieldPosition="0">
        <references count="2">
          <reference field="3" count="1" selected="0">
            <x v="27"/>
          </reference>
          <reference field="7" count="1">
            <x v="2"/>
          </reference>
        </references>
      </pivotArea>
    </format>
    <format dxfId="2155">
      <pivotArea dataOnly="0" labelOnly="1" fieldPosition="0">
        <references count="2">
          <reference field="3" count="1" selected="0">
            <x v="28"/>
          </reference>
          <reference field="7" count="1">
            <x v="5"/>
          </reference>
        </references>
      </pivotArea>
    </format>
    <format dxfId="2154">
      <pivotArea dataOnly="0" labelOnly="1" fieldPosition="0">
        <references count="3">
          <reference field="1" count="1">
            <x v="0"/>
          </reference>
          <reference field="3" count="1" selected="0">
            <x v="0"/>
          </reference>
          <reference field="7" count="1" selected="0">
            <x v="0"/>
          </reference>
        </references>
      </pivotArea>
    </format>
    <format dxfId="2153">
      <pivotArea dataOnly="0" labelOnly="1" fieldPosition="0">
        <references count="3">
          <reference field="1" count="1">
            <x v="1"/>
          </reference>
          <reference field="3" count="1" selected="0">
            <x v="2"/>
          </reference>
          <reference field="7" count="1" selected="0">
            <x v="2"/>
          </reference>
        </references>
      </pivotArea>
    </format>
    <format dxfId="2152">
      <pivotArea dataOnly="0" labelOnly="1" fieldPosition="0">
        <references count="3">
          <reference field="1" count="1">
            <x v="0"/>
          </reference>
          <reference field="3" count="1" selected="0">
            <x v="5"/>
          </reference>
          <reference field="7" count="1" selected="0">
            <x v="3"/>
          </reference>
        </references>
      </pivotArea>
    </format>
    <format dxfId="2151">
      <pivotArea dataOnly="0" labelOnly="1" fieldPosition="0">
        <references count="3">
          <reference field="1" count="1">
            <x v="1"/>
          </reference>
          <reference field="3" count="1" selected="0">
            <x v="7"/>
          </reference>
          <reference field="7" count="1" selected="0">
            <x v="2"/>
          </reference>
        </references>
      </pivotArea>
    </format>
    <format dxfId="2150">
      <pivotArea dataOnly="0" labelOnly="1" fieldPosition="0">
        <references count="3">
          <reference field="1" count="1">
            <x v="0"/>
          </reference>
          <reference field="3" count="1" selected="0">
            <x v="8"/>
          </reference>
          <reference field="7" count="1" selected="0">
            <x v="0"/>
          </reference>
        </references>
      </pivotArea>
    </format>
    <format dxfId="2149">
      <pivotArea dataOnly="0" labelOnly="1" fieldPosition="0">
        <references count="3">
          <reference field="1" count="1">
            <x v="1"/>
          </reference>
          <reference field="3" count="1" selected="0">
            <x v="11"/>
          </reference>
          <reference field="7" count="1" selected="0">
            <x v="5"/>
          </reference>
        </references>
      </pivotArea>
    </format>
    <format dxfId="2148">
      <pivotArea dataOnly="0" labelOnly="1" fieldPosition="0">
        <references count="3">
          <reference field="1" count="1">
            <x v="0"/>
          </reference>
          <reference field="3" count="1" selected="0">
            <x v="12"/>
          </reference>
          <reference field="7" count="1" selected="0">
            <x v="5"/>
          </reference>
        </references>
      </pivotArea>
    </format>
    <format dxfId="2147">
      <pivotArea dataOnly="0" labelOnly="1" fieldPosition="0">
        <references count="3">
          <reference field="1" count="1">
            <x v="1"/>
          </reference>
          <reference field="3" count="1" selected="0">
            <x v="13"/>
          </reference>
          <reference field="7" count="1" selected="0">
            <x v="0"/>
          </reference>
        </references>
      </pivotArea>
    </format>
    <format dxfId="2146">
      <pivotArea dataOnly="0" labelOnly="1" fieldPosition="0">
        <references count="3">
          <reference field="1" count="1">
            <x v="0"/>
          </reference>
          <reference field="3" count="1" selected="0">
            <x v="15"/>
          </reference>
          <reference field="7" count="1" selected="0">
            <x v="2"/>
          </reference>
        </references>
      </pivotArea>
    </format>
    <format dxfId="2145">
      <pivotArea dataOnly="0" labelOnly="1" fieldPosition="0">
        <references count="3">
          <reference field="1" count="1">
            <x v="1"/>
          </reference>
          <reference field="3" count="1" selected="0">
            <x v="16"/>
          </reference>
          <reference field="7" count="1" selected="0">
            <x v="0"/>
          </reference>
        </references>
      </pivotArea>
    </format>
    <format dxfId="2144">
      <pivotArea dataOnly="0" labelOnly="1" fieldPosition="0">
        <references count="3">
          <reference field="1" count="1">
            <x v="0"/>
          </reference>
          <reference field="3" count="1" selected="0">
            <x v="17"/>
          </reference>
          <reference field="7" count="1" selected="0">
            <x v="0"/>
          </reference>
        </references>
      </pivotArea>
    </format>
    <format dxfId="2143">
      <pivotArea dataOnly="0" labelOnly="1" fieldPosition="0">
        <references count="3">
          <reference field="1" count="1">
            <x v="1"/>
          </reference>
          <reference field="3" count="1" selected="0">
            <x v="19"/>
          </reference>
          <reference field="7" count="1" selected="0">
            <x v="1"/>
          </reference>
        </references>
      </pivotArea>
    </format>
    <format dxfId="2142">
      <pivotArea dataOnly="0" labelOnly="1" fieldPosition="0">
        <references count="3">
          <reference field="1" count="1">
            <x v="0"/>
          </reference>
          <reference field="3" count="1" selected="0">
            <x v="21"/>
          </reference>
          <reference field="7" count="1" selected="0">
            <x v="0"/>
          </reference>
        </references>
      </pivotArea>
    </format>
    <format dxfId="2141">
      <pivotArea dataOnly="0" labelOnly="1" fieldPosition="0">
        <references count="3">
          <reference field="1" count="1">
            <x v="1"/>
          </reference>
          <reference field="3" count="1" selected="0">
            <x v="23"/>
          </reference>
          <reference field="7" count="1" selected="0">
            <x v="0"/>
          </reference>
        </references>
      </pivotArea>
    </format>
    <format dxfId="2140">
      <pivotArea dataOnly="0" labelOnly="1" fieldPosition="0">
        <references count="3">
          <reference field="1" count="1">
            <x v="0"/>
          </reference>
          <reference field="3" count="1" selected="0">
            <x v="24"/>
          </reference>
          <reference field="7" count="1" selected="0">
            <x v="5"/>
          </reference>
        </references>
      </pivotArea>
    </format>
    <format dxfId="2139">
      <pivotArea dataOnly="0" labelOnly="1" fieldPosition="0">
        <references count="3">
          <reference field="1" count="1">
            <x v="1"/>
          </reference>
          <reference field="3" count="1" selected="0">
            <x v="25"/>
          </reference>
          <reference field="7" count="1" selected="0">
            <x v="0"/>
          </reference>
        </references>
      </pivotArea>
    </format>
    <format dxfId="2138">
      <pivotArea dataOnly="0" labelOnly="1" fieldPosition="0">
        <references count="3">
          <reference field="1" count="1">
            <x v="0"/>
          </reference>
          <reference field="3" count="1" selected="0">
            <x v="26"/>
          </reference>
          <reference field="7" count="1" selected="0">
            <x v="1"/>
          </reference>
        </references>
      </pivotArea>
    </format>
    <format dxfId="2137">
      <pivotArea dataOnly="0" labelOnly="1" fieldPosition="0">
        <references count="3">
          <reference field="1" count="1">
            <x v="1"/>
          </reference>
          <reference field="3" count="1" selected="0">
            <x v="27"/>
          </reference>
          <reference field="7" count="1" selected="0">
            <x v="2"/>
          </reference>
        </references>
      </pivotArea>
    </format>
    <format dxfId="2136">
      <pivotArea dataOnly="0" labelOnly="1" fieldPosition="0">
        <references count="3">
          <reference field="1" count="1">
            <x v="0"/>
          </reference>
          <reference field="3" count="1" selected="0">
            <x v="28"/>
          </reference>
          <reference field="7" count="1" selected="0">
            <x v="5"/>
          </reference>
        </references>
      </pivotArea>
    </format>
    <format dxfId="2135">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đơ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5" level="1">
        <member name="[Table_NhanVien].[Mã NV].&amp;[NV01]"/>
        <member name=""/>
        <member name=""/>
        <member name="[Table_NhanVien].[Mã NV].&amp;[NV04]"/>
        <member name="[Table_NhanVien].[Mã NV].&amp;[NV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3" type="dateBetween" evalOrder="-1" id="117" name="[Table_DonBan].[Ngày lập]">
      <autoFilter ref="A1">
        <filterColumn colId="0">
          <customFilters and="1">
            <customFilter operator="greaterThanOrEqual" val="45292"/>
            <customFilter operator="lessThanOrEqual" val="45535"/>
          </customFilters>
        </filterColumn>
      </autoFilter>
      <extLst>
        <ext xmlns:x15="http://schemas.microsoft.com/office/spreadsheetml/2010/11/main" uri="{0605FD5F-26C8-4aeb-8148-2DB25E43C511}">
          <x15:pivotFilter useWholeDay="1"/>
        </ext>
      </extLst>
    </filter>
    <filter fld="2" type="dateBetween" evalOrder="-1" id="11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0" type="dateBetween" evalOrder="-1" id="7"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6">
    <rowHierarchyUsage hierarchyUsage="138"/>
    <rowHierarchyUsage hierarchyUsage="182"/>
    <rowHierarchyUsage hierarchyUsage="189"/>
    <rowHierarchyUsage hierarchyUsage="150"/>
    <rowHierarchyUsage hierarchyUsage="285"/>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iPhiKD]"/>
        <x15:activeTabTopLevelEntity name="[Table_KhachHang]"/>
        <x15:activeTabTopLevelEntity name="[Table_DonBan]"/>
        <x15:activeTabTopLevelEntity name="[Ref_Periods]"/>
        <x15:activeTabTopLevelEntity name="[Table_Main]"/>
        <x15:activeTabTopLevelEntity name="[Table_SKU]"/>
        <x15:activeTabTopLevelEntity name="[Table_KPI]"/>
        <x15:activeTabTopLevelEntity name="[Table_NhanVien]"/>
        <x15:activeTabTopLevelEntity name="[Table_Ken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960D55-00C6-4EBC-9637-473597223216}" name="PivotTable_ThiTruong" cacheId="2" applyNumberFormats="0" applyBorderFormats="0" applyFontFormats="0" applyPatternFormats="0" applyAlignmentFormats="0" applyWidthHeightFormats="1" dataCaption="Values" showMissing="0" tag="37ccdb95-d46c-4fc7-8438-004dd7e29f01" updatedVersion="8" minRefreshableVersion="5" useAutoFormatting="1" subtotalHiddenItems="1" rowGrandTotals="0" colGrandTotals="0" itemPrintTitles="1" createdVersion="7" indent="0" outline="1" outlineData="1" multipleFieldFilters="0">
  <location ref="H5:P113" firstHeaderRow="1" firstDataRow="1" firstDataCol="8"/>
  <pivotFields count="12">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8">
    <field x="0"/>
    <field x="2"/>
    <field x="1"/>
    <field x="3"/>
    <field x="4"/>
    <field x="6"/>
    <field x="10"/>
    <field x="7"/>
  </rowFields>
  <rowItems count="108">
    <i>
      <x/>
      <x/>
      <x/>
      <x/>
      <x/>
      <x/>
      <x/>
      <x/>
    </i>
    <i r="7">
      <x v="1"/>
    </i>
    <i r="7">
      <x v="2"/>
    </i>
    <i>
      <x v="1"/>
      <x v="1"/>
      <x/>
      <x v="1"/>
      <x v="1"/>
      <x v="1"/>
      <x v="1"/>
      <x/>
    </i>
    <i r="7">
      <x v="1"/>
    </i>
    <i r="7">
      <x v="2"/>
    </i>
    <i>
      <x v="2"/>
      <x v="2"/>
      <x v="1"/>
      <x v="2"/>
      <x v="2"/>
      <x v="2"/>
      <x v="2"/>
      <x/>
    </i>
    <i r="7">
      <x v="1"/>
    </i>
    <i r="7">
      <x v="2"/>
    </i>
    <i>
      <x v="3"/>
      <x v="3"/>
      <x v="1"/>
      <x v="3"/>
      <x v="3"/>
      <x v="3"/>
      <x v="3"/>
      <x/>
    </i>
    <i r="7">
      <x v="1"/>
    </i>
    <i r="7">
      <x v="2"/>
    </i>
    <i>
      <x v="4"/>
      <x v="3"/>
      <x v="1"/>
      <x v="3"/>
      <x v="4"/>
      <x v="4"/>
      <x v="4"/>
      <x/>
    </i>
    <i r="7">
      <x v="1"/>
    </i>
    <i r="7">
      <x v="2"/>
    </i>
    <i>
      <x v="5"/>
      <x v="4"/>
      <x/>
      <x v="4"/>
      <x v="5"/>
      <x v="3"/>
      <x v="5"/>
      <x/>
    </i>
    <i r="7">
      <x v="1"/>
    </i>
    <i r="7">
      <x v="2"/>
    </i>
    <i>
      <x v="6"/>
      <x/>
      <x/>
      <x/>
      <x v="6"/>
      <x v="5"/>
      <x v="6"/>
      <x/>
    </i>
    <i r="7">
      <x v="1"/>
    </i>
    <i r="7">
      <x v="2"/>
    </i>
    <i>
      <x v="7"/>
      <x v="5"/>
      <x v="1"/>
      <x v="5"/>
      <x v="7"/>
      <x v="6"/>
      <x v="7"/>
      <x/>
    </i>
    <i r="7">
      <x v="1"/>
    </i>
    <i r="7">
      <x v="2"/>
    </i>
    <i>
      <x v="8"/>
      <x v="1"/>
      <x/>
      <x v="1"/>
      <x v="8"/>
      <x v="2"/>
      <x v="8"/>
      <x/>
    </i>
    <i r="7">
      <x v="1"/>
    </i>
    <i r="7">
      <x v="2"/>
    </i>
    <i>
      <x v="9"/>
      <x v="6"/>
      <x/>
      <x v="6"/>
      <x v="9"/>
      <x v="7"/>
      <x v="9"/>
      <x/>
    </i>
    <i r="7">
      <x v="1"/>
    </i>
    <i r="7">
      <x v="2"/>
    </i>
    <i>
      <x v="10"/>
      <x v="6"/>
      <x/>
      <x v="6"/>
      <x v="10"/>
      <x v="8"/>
      <x v="10"/>
      <x/>
    </i>
    <i r="7">
      <x v="1"/>
    </i>
    <i r="7">
      <x v="2"/>
    </i>
    <i>
      <x v="11"/>
      <x v="2"/>
      <x v="1"/>
      <x v="2"/>
      <x v="11"/>
      <x v="9"/>
      <x v="11"/>
      <x/>
    </i>
    <i r="7">
      <x v="1"/>
    </i>
    <i r="7">
      <x v="2"/>
    </i>
    <i>
      <x v="12"/>
      <x/>
      <x/>
      <x/>
      <x v="12"/>
      <x v="10"/>
      <x v="12"/>
      <x/>
    </i>
    <i r="7">
      <x v="1"/>
    </i>
    <i r="7">
      <x v="2"/>
    </i>
    <i>
      <x v="13"/>
      <x v="5"/>
      <x v="1"/>
      <x v="5"/>
      <x v="13"/>
      <x/>
      <x v="13"/>
      <x/>
    </i>
    <i r="7">
      <x v="1"/>
    </i>
    <i r="7">
      <x v="2"/>
    </i>
    <i>
      <x v="14"/>
      <x v="3"/>
      <x v="1"/>
      <x v="3"/>
      <x v="14"/>
      <x v="11"/>
      <x v="14"/>
      <x/>
    </i>
    <i r="7">
      <x v="1"/>
    </i>
    <i r="7">
      <x v="2"/>
    </i>
    <i>
      <x v="15"/>
      <x/>
      <x/>
      <x/>
      <x v="15"/>
      <x v="12"/>
      <x v="15"/>
      <x/>
    </i>
    <i r="7">
      <x v="1"/>
    </i>
    <i r="7">
      <x v="2"/>
    </i>
    <i>
      <x v="16"/>
      <x v="2"/>
      <x v="1"/>
      <x v="2"/>
      <x v="16"/>
      <x v="13"/>
      <x v="16"/>
      <x/>
    </i>
    <i r="7">
      <x v="1"/>
    </i>
    <i r="7">
      <x v="2"/>
    </i>
    <i>
      <x v="17"/>
      <x v="6"/>
      <x/>
      <x v="6"/>
      <x v="17"/>
      <x v="6"/>
      <x v="17"/>
      <x/>
    </i>
    <i r="7">
      <x v="1"/>
    </i>
    <i r="7">
      <x v="2"/>
    </i>
    <i>
      <x v="18"/>
      <x/>
      <x/>
      <x/>
      <x v="18"/>
      <x v="14"/>
      <x v="18"/>
      <x/>
    </i>
    <i r="7">
      <x v="1"/>
    </i>
    <i r="7">
      <x v="2"/>
    </i>
    <i>
      <x v="19"/>
      <x v="5"/>
      <x v="1"/>
      <x v="5"/>
      <x v="19"/>
      <x v="5"/>
      <x v="19"/>
      <x/>
    </i>
    <i r="7">
      <x v="1"/>
    </i>
    <i r="7">
      <x v="2"/>
    </i>
    <i>
      <x v="20"/>
      <x v="2"/>
      <x v="1"/>
      <x v="2"/>
      <x v="20"/>
      <x v="15"/>
      <x v="20"/>
      <x/>
    </i>
    <i r="7">
      <x v="1"/>
    </i>
    <i r="7">
      <x v="2"/>
    </i>
    <i>
      <x v="21"/>
      <x v="1"/>
      <x/>
      <x v="1"/>
      <x v="21"/>
      <x v="9"/>
      <x v="21"/>
      <x/>
    </i>
    <i r="7">
      <x v="1"/>
    </i>
    <i r="7">
      <x v="2"/>
    </i>
    <i>
      <x v="22"/>
      <x/>
      <x/>
      <x/>
      <x v="22"/>
      <x v="16"/>
      <x v="22"/>
      <x/>
    </i>
    <i r="7">
      <x v="1"/>
    </i>
    <i r="7">
      <x v="2"/>
    </i>
    <i>
      <x v="23"/>
      <x v="5"/>
      <x v="1"/>
      <x v="5"/>
      <x v="23"/>
      <x v="10"/>
      <x v="23"/>
      <x/>
    </i>
    <i r="7">
      <x v="1"/>
    </i>
    <i r="7">
      <x v="2"/>
    </i>
    <i>
      <x v="24"/>
      <x v="6"/>
      <x/>
      <x v="6"/>
      <x v="24"/>
      <x/>
      <x v="24"/>
      <x/>
    </i>
    <i r="7">
      <x v="1"/>
    </i>
    <i r="7">
      <x v="2"/>
    </i>
    <i>
      <x v="25"/>
      <x v="1"/>
      <x/>
      <x v="1"/>
      <x v="25"/>
      <x v="13"/>
      <x v="25"/>
      <x/>
    </i>
    <i r="7">
      <x v="1"/>
    </i>
    <i r="7">
      <x v="2"/>
    </i>
    <i>
      <x v="26"/>
      <x v="5"/>
      <x v="1"/>
      <x v="5"/>
      <x v="26"/>
      <x v="12"/>
      <x v="26"/>
      <x/>
    </i>
    <i r="7">
      <x v="1"/>
    </i>
    <i r="7">
      <x v="2"/>
    </i>
    <i>
      <x v="27"/>
      <x/>
      <x/>
      <x/>
      <x v="27"/>
      <x v="17"/>
      <x v="27"/>
      <x/>
    </i>
    <i r="7">
      <x v="1"/>
    </i>
    <i r="7">
      <x v="2"/>
    </i>
    <i>
      <x v="28"/>
      <x v="2"/>
      <x v="1"/>
      <x v="2"/>
      <x v="28"/>
      <x v="7"/>
      <x v="28"/>
      <x/>
    </i>
    <i r="7">
      <x v="1"/>
    </i>
    <i r="7">
      <x v="2"/>
    </i>
    <i>
      <x v="29"/>
      <x v="6"/>
      <x/>
      <x v="6"/>
      <x v="29"/>
      <x v="5"/>
      <x v="29"/>
      <x/>
    </i>
    <i r="7">
      <x v="1"/>
    </i>
    <i r="7">
      <x v="2"/>
    </i>
    <i>
      <x v="30"/>
      <x v="5"/>
      <x v="1"/>
      <x v="5"/>
      <x v="30"/>
      <x v="14"/>
      <x v="30"/>
      <x/>
    </i>
    <i r="7">
      <x v="1"/>
    </i>
    <i r="7">
      <x v="2"/>
    </i>
    <i>
      <x v="31"/>
      <x v="6"/>
      <x/>
      <x v="6"/>
      <x v="31"/>
      <x v="10"/>
      <x v="31"/>
      <x/>
    </i>
    <i r="7">
      <x v="1"/>
    </i>
    <i r="7">
      <x v="2"/>
    </i>
    <i>
      <x v="32"/>
      <x v="1"/>
      <x/>
      <x v="1"/>
      <x v="32"/>
      <x v="15"/>
      <x v="32"/>
      <x/>
    </i>
    <i r="7">
      <x v="1"/>
    </i>
    <i r="7">
      <x v="2"/>
    </i>
    <i>
      <x v="33"/>
      <x v="3"/>
      <x v="1"/>
      <x v="3"/>
      <x v="33"/>
      <x v="1"/>
      <x v="33"/>
      <x/>
    </i>
    <i r="7">
      <x v="1"/>
    </i>
    <i r="7">
      <x v="2"/>
    </i>
    <i>
      <x v="34"/>
      <x/>
      <x/>
      <x/>
      <x v="34"/>
      <x v="18"/>
      <x v="34"/>
      <x/>
    </i>
    <i r="7">
      <x v="1"/>
    </i>
    <i r="7">
      <x v="2"/>
    </i>
    <i>
      <x v="35"/>
      <x v="4"/>
      <x/>
      <x v="4"/>
      <x v="35"/>
      <x v="4"/>
      <x v="35"/>
      <x/>
    </i>
    <i r="7">
      <x v="1"/>
    </i>
    <i r="7">
      <x v="2"/>
    </i>
  </rowItems>
  <colItems count="1">
    <i/>
  </colItems>
  <dataFields count="1">
    <dataField name="Số lượng" fld="5" baseField="0" baseItem="0"/>
  </dataFields>
  <formats count="24">
    <format dxfId="2213">
      <pivotArea type="all" dataOnly="0" outline="0" fieldPosition="0"/>
    </format>
    <format dxfId="2212">
      <pivotArea field="0" type="button" dataOnly="0" labelOnly="1" outline="0" axis="axisRow" fieldPosition="0"/>
    </format>
    <format dxfId="2211">
      <pivotArea dataOnly="0" labelOnly="1" grandRow="1" outline="0" fieldPosition="0"/>
    </format>
    <format dxfId="2210">
      <pivotArea type="all" dataOnly="0" outline="0" fieldPosition="0"/>
    </format>
    <format dxfId="2209">
      <pivotArea outline="0" collapsedLevelsAreSubtotals="1" fieldPosition="0"/>
    </format>
    <format dxfId="2208">
      <pivotArea field="0" type="button" dataOnly="0" labelOnly="1" outline="0" axis="axisRow" fieldPosition="0"/>
    </format>
    <format dxfId="2207">
      <pivotArea field="2" type="button" dataOnly="0" labelOnly="1" outline="0" axis="axisRow" fieldPosition="1"/>
    </format>
    <format dxfId="2206">
      <pivotArea field="1" type="button" dataOnly="0" labelOnly="1" outline="0" axis="axisRow" fieldPosition="2"/>
    </format>
    <format dxfId="2205">
      <pivotArea field="3" type="button" dataOnly="0" labelOnly="1" outline="0" axis="axisRow" fieldPosition="3"/>
    </format>
    <format dxfId="2204">
      <pivotArea field="4" type="button" dataOnly="0" labelOnly="1" outline="0" axis="axisRow" fieldPosition="4"/>
    </format>
    <format dxfId="2203">
      <pivotArea field="6" type="button" dataOnly="0" labelOnly="1" outline="0" axis="axisRow" fieldPosition="5"/>
    </format>
    <format dxfId="2202">
      <pivotArea field="7" type="button" dataOnly="0" labelOnly="1" outline="0" axis="axisRow" fieldPosition="7"/>
    </format>
    <format dxfId="2201">
      <pivotArea dataOnly="0" labelOnly="1" outline="0" axis="axisValues" fieldPosition="0"/>
    </format>
    <format dxfId="2200">
      <pivotArea type="all" dataOnly="0" outline="0" fieldPosition="0"/>
    </format>
    <format dxfId="2199">
      <pivotArea outline="0" collapsedLevelsAreSubtotals="1" fieldPosition="0"/>
    </format>
    <format dxfId="2198">
      <pivotArea field="0" type="button" dataOnly="0" labelOnly="1" outline="0" axis="axisRow" fieldPosition="0"/>
    </format>
    <format dxfId="2197">
      <pivotArea field="2" type="button" dataOnly="0" labelOnly="1" outline="0" axis="axisRow" fieldPosition="1"/>
    </format>
    <format dxfId="2196">
      <pivotArea field="1" type="button" dataOnly="0" labelOnly="1" outline="0" axis="axisRow" fieldPosition="2"/>
    </format>
    <format dxfId="2195">
      <pivotArea field="3" type="button" dataOnly="0" labelOnly="1" outline="0" axis="axisRow" fieldPosition="3"/>
    </format>
    <format dxfId="2194">
      <pivotArea field="4" type="button" dataOnly="0" labelOnly="1" outline="0" axis="axisRow" fieldPosition="4"/>
    </format>
    <format dxfId="2193">
      <pivotArea field="6" type="button" dataOnly="0" labelOnly="1" outline="0" axis="axisRow" fieldPosition="5"/>
    </format>
    <format dxfId="2192">
      <pivotArea field="7" type="button" dataOnly="0" labelOnly="1" outline="0" axis="axisRow" fieldPosition="7"/>
    </format>
    <format dxfId="2191">
      <pivotArea dataOnly="0" labelOnly="1" fieldPosition="0">
        <references count="1">
          <reference field="0" count="0"/>
        </references>
      </pivotArea>
    </format>
    <format dxfId="2190">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62"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11" type="dateBetween" evalOrder="-1" id="26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9" type="dateBetween" evalOrder="-1" id="25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8" type="dateBetween" evalOrder="-1" id="11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8">
    <rowHierarchyUsage hierarchyUsage="138"/>
    <rowHierarchyUsage hierarchyUsage="187"/>
    <rowHierarchyUsage hierarchyUsage="189"/>
    <rowHierarchyUsage hierarchyUsage="194"/>
    <rowHierarchyUsage hierarchyUsage="137"/>
    <rowHierarchyUsage hierarchyUsage="153"/>
    <rowHierarchyUsage hierarchyUsage="150"/>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EDEB4A3-8A3B-42BA-BD96-D5CA357F6E1A}" name="PivotTable_BCQT" cacheId="3" applyNumberFormats="0" applyBorderFormats="0" applyFontFormats="0" applyPatternFormats="0" applyAlignmentFormats="0" applyWidthHeightFormats="1" dataCaption="Values" tag="57c8fbaf-6974-4170-9c2d-34355cd5982d" updatedVersion="8" minRefreshableVersion="5" useAutoFormatting="1" subtotalHiddenItems="1" rowGrandTotals="0" itemPrintTitles="1" createdVersion="8" indent="0" compact="0" compactData="0" multipleFieldFilters="0" chartFormat="1">
  <location ref="E5:E14" firstHeaderRow="1" firstDataRow="1" firstDataCol="1"/>
  <pivotFields count="4">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9">
    <i>
      <x/>
    </i>
    <i>
      <x v="1"/>
    </i>
    <i>
      <x v="2"/>
    </i>
    <i>
      <x v="3"/>
    </i>
    <i>
      <x v="4"/>
    </i>
    <i>
      <x v="5"/>
    </i>
    <i>
      <x v="6"/>
    </i>
    <i>
      <x v="7"/>
    </i>
    <i>
      <x v="8"/>
    </i>
  </rowItems>
  <formats count="16">
    <format dxfId="2229">
      <pivotArea type="all" dataOnly="0" outline="0" fieldPosition="0"/>
    </format>
    <format dxfId="2228">
      <pivotArea field="1" type="button" dataOnly="0" labelOnly="1" outline="0" axis="axisRow" fieldPosition="0"/>
    </format>
    <format dxfId="2227">
      <pivotArea type="all" dataOnly="0" outline="0" fieldPosition="0"/>
    </format>
    <format dxfId="2226">
      <pivotArea field="1" type="button" dataOnly="0" labelOnly="1" outline="0" axis="axisRow" fieldPosition="0"/>
    </format>
    <format dxfId="2225">
      <pivotArea type="all" dataOnly="0" outline="0" fieldPosition="0"/>
    </format>
    <format dxfId="2224">
      <pivotArea field="1" type="button" dataOnly="0" labelOnly="1" outline="0" axis="axisRow" fieldPosition="0"/>
    </format>
    <format dxfId="2223">
      <pivotArea dataOnly="0" labelOnly="1" outline="0" fieldPosition="0">
        <references count="1">
          <reference field="1" count="0"/>
        </references>
      </pivotArea>
    </format>
    <format dxfId="2222">
      <pivotArea type="all" dataOnly="0" outline="0" fieldPosition="0"/>
    </format>
    <format dxfId="2221">
      <pivotArea field="1" type="button" dataOnly="0" labelOnly="1" outline="0" axis="axisRow" fieldPosition="0"/>
    </format>
    <format dxfId="2220">
      <pivotArea dataOnly="0" labelOnly="1" outline="0" fieldPosition="0">
        <references count="1">
          <reference field="1" count="0"/>
        </references>
      </pivotArea>
    </format>
    <format dxfId="2219">
      <pivotArea type="all" dataOnly="0" outline="0" fieldPosition="0"/>
    </format>
    <format dxfId="2218">
      <pivotArea field="1" type="button" dataOnly="0" labelOnly="1" outline="0" axis="axisRow" fieldPosition="0"/>
    </format>
    <format dxfId="2217">
      <pivotArea dataOnly="0" labelOnly="1" outline="0" fieldPosition="0">
        <references count="1">
          <reference field="1" count="0"/>
        </references>
      </pivotArea>
    </format>
    <format dxfId="2216">
      <pivotArea type="all" dataOnly="0" outline="0" fieldPosition="0"/>
    </format>
    <format dxfId="2215">
      <pivotArea field="1" type="button" dataOnly="0" labelOnly="1" outline="0" axis="axisRow" fieldPosition="0"/>
    </format>
    <format dxfId="2214">
      <pivotArea dataOnly="0" labelOnly="1" outline="0" fieldPosition="0">
        <references count="1">
          <reference field="1" count="0"/>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f_Periods].[Kỳ (Year)].&amp;"/>
        <member name="[Ref_Periods].[Kỳ (Year)].&amp;[2024]"/>
        <member name="[Ref_Periods].[Kỳ (Year)].&amp;[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Doanh thu"/>
    <pivotHierarchy dragToData="1"/>
    <pivotHierarchy dragToData="1"/>
    <pivotHierarchy dragToData="1"/>
    <pivotHierarchy dragToData="1" caption=" Sản lượng"/>
    <pivotHierarchy dragToData="1"/>
    <pivotHierarchy dragToData="1" caption=" Lợi nhuận kinh doanh"/>
    <pivotHierarchy dragToData="1" caption=" Dòng tiền vận hành"/>
    <pivotHierarchy dragToData="1" caption=" Chi phí biến đổi"/>
    <pivotHierarchy dragToData="1" caption=" Chi phí cố định"/>
    <pivotHierarchy dragToData="1" caption="Giảm giá"/>
    <pivotHierarchy dragToData="1" caption="Nguyên liệu"/>
    <pivotHierarchy dragToData="1" caption="Tiện ích"/>
    <pivotHierarchy dragToData="1" caption="Hoa hồng"/>
    <pivotHierarchy dragToData="1" caption="Chiết khấu kênh"/>
    <pivotHierarchy dragToData="1" caption="Thưởng KPI"/>
    <pivotHierarchy dragToData="1" caption="Thanh toán"/>
    <pivotHierarchy dragToData="1" caption="Vận chuyển"/>
    <pivotHierarchy dragToData="1" caption="Nhân sự"/>
    <pivotHierarchy dragToData="1" caption="Tiêu hao VP"/>
    <pivotHierarchy dragToData="1" caption="Vận hành kênh"/>
    <pivotHierarchy dragToData="1" caption="Marketing"/>
    <pivotHierarchy dragToData="1" caption="Dịch vụ"/>
    <pivotHierarchy dragToData="1" caption="Khấu hao"/>
    <pivotHierarchy dragToData="1" caption="Lãi vay"/>
    <pivotHierarchy dragToData="1" caption="Thuế phí"/>
    <pivotHierarchy dragToData="1"/>
    <pivotHierarchy dragToData="1"/>
    <pivotHierarchy dragToData="1"/>
    <pivotHierarchy dragToData="1"/>
    <pivotHierarchy dragToData="1"/>
  </pivotHierarchies>
  <pivotTableStyleInfo name="PivotStyleLight17" showRowHeaders="1" showColHeaders="1" showRowStripes="0" showColStripes="0" showLastColumn="1"/>
  <filters count="3">
    <filter fld="1" type="dateBetween" evalOrder="-1" id="34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3" type="dateBetween" evalOrder="-1" id="337"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2" type="dateBetween" evalOrder="-1" id="201"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f_Dates]"/>
        <x15:activeTabTopLevelEntity name="[Table_Datafeed]"/>
        <x15:activeTabTopLevelEntity name="[Table_DonBan]"/>
        <x15:activeTabTopLevelEntity name="[Table_DonMua]"/>
        <x15:activeTabTopLevelEntity name="[Table_DuPhong]"/>
        <x15:activeTabTopLevelEntity name="[Table_ChiPhiK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AF7635-52D4-4527-87C1-D65A5B7806A9}" name="PivotTable_Ctr" cacheId="10" applyNumberFormats="0" applyBorderFormats="0" applyFontFormats="0" applyPatternFormats="0" applyAlignmentFormats="0" applyWidthHeightFormats="1" dataCaption="Values" tag="d278bf25-5d01-4ceb-957a-24a81eff5aee" updatedVersion="8" minRefreshableVersion="5" useAutoFormatting="1" subtotalHiddenItems="1" rowGrandTotals="0" itemPrintTitles="1" createdVersion="7" indent="0" outline="1" outlineData="1" multipleFieldFilters="0">
  <location ref="AS5:BF113" firstHeaderRow="1" firstDataRow="1" firstDataCol="13"/>
  <pivotFields count="15">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name="Ctr Đơ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CK Đơn" axis="axisRow" allDrilled="1" outline="0" subtotalTop="0" showAll="0" dataSourceSort="1" defaultSubtotal="0" defaultAttributeDrillState="1">
      <items count="2">
        <item x="0"/>
        <item x="1"/>
      </items>
    </pivotField>
    <pivotField name="Dthu Đơn" allDrilled="1" outline="0" subtotalTop="0" showAll="0" dataSourceSort="1" defaultSubtotal="0" defaultAttributeDrillState="1">
      <items count="1">
        <item x="0"/>
      </items>
    </pivotField>
    <pivotField name="Khách"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name="Nhân viê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TT Khách"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name="Phân Nhóm"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SKU"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Ctr SKU" axis="axisRow"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name="CK SKU" axis="axisRow" allDrilled="1" subtotalTop="0" showAll="0" dataSourceSort="1" defaultSubtotal="0" defaultAttributeDrillState="1">
      <items count="1">
        <item x="0"/>
      </items>
    </pivotField>
    <pivotField dataField="1" subtotalTop="0" showAll="0" defaultSubtotal="0"/>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13">
    <field x="0"/>
    <field x="5"/>
    <field x="6"/>
    <field x="7"/>
    <field x="4"/>
    <field x="8"/>
    <field x="1"/>
    <field x="2"/>
    <field x="14"/>
    <field x="9"/>
    <field x="10"/>
    <field x="11"/>
    <field x="12"/>
  </rowFields>
  <rowItems count="108">
    <i>
      <x/>
      <x/>
      <x/>
      <x/>
      <x/>
      <x/>
      <x/>
      <x/>
      <x/>
      <x/>
      <x/>
      <x/>
      <x/>
    </i>
    <i r="9">
      <x v="1"/>
      <x v="1"/>
      <x/>
      <x/>
    </i>
    <i r="9">
      <x v="2"/>
      <x v="2"/>
      <x/>
      <x/>
    </i>
    <i>
      <x v="1"/>
      <x v="1"/>
      <x/>
      <x/>
      <x v="1"/>
      <x v="1"/>
      <x/>
      <x/>
      <x v="1"/>
      <x/>
      <x/>
      <x/>
      <x/>
    </i>
    <i r="9">
      <x v="1"/>
      <x v="1"/>
      <x/>
      <x/>
    </i>
    <i r="9">
      <x v="2"/>
      <x v="2"/>
      <x/>
      <x/>
    </i>
    <i>
      <x v="2"/>
      <x v="2"/>
      <x v="1"/>
      <x v="1"/>
      <x v="2"/>
      <x v="2"/>
      <x/>
      <x/>
      <x v="2"/>
      <x/>
      <x/>
      <x/>
      <x/>
    </i>
    <i r="9">
      <x v="1"/>
      <x v="1"/>
      <x/>
      <x/>
    </i>
    <i r="9">
      <x v="2"/>
      <x v="2"/>
      <x/>
      <x/>
    </i>
    <i>
      <x v="3"/>
      <x/>
      <x/>
      <x v="1"/>
      <x v="3"/>
      <x v="3"/>
      <x/>
      <x/>
      <x v="3"/>
      <x/>
      <x/>
      <x/>
      <x/>
    </i>
    <i r="9">
      <x v="1"/>
      <x v="1"/>
      <x/>
      <x/>
    </i>
    <i r="9">
      <x v="2"/>
      <x v="2"/>
      <x/>
      <x/>
    </i>
    <i>
      <x v="4"/>
      <x/>
      <x v="1"/>
      <x v="1"/>
      <x v="3"/>
      <x v="4"/>
      <x/>
      <x/>
      <x v="4"/>
      <x/>
      <x/>
      <x/>
      <x/>
    </i>
    <i r="9">
      <x v="1"/>
      <x v="1"/>
      <x/>
      <x/>
    </i>
    <i r="9">
      <x v="2"/>
      <x v="2"/>
      <x/>
      <x/>
    </i>
    <i>
      <x v="5"/>
      <x v="3"/>
      <x/>
      <x/>
      <x v="4"/>
      <x v="3"/>
      <x/>
      <x/>
      <x v="5"/>
      <x/>
      <x/>
      <x/>
      <x/>
    </i>
    <i r="9">
      <x v="1"/>
      <x v="1"/>
      <x/>
      <x/>
    </i>
    <i r="9">
      <x v="2"/>
      <x v="2"/>
      <x/>
      <x/>
    </i>
    <i>
      <x v="6"/>
      <x v="1"/>
      <x/>
      <x/>
      <x/>
      <x v="5"/>
      <x/>
      <x/>
      <x v="6"/>
      <x/>
      <x/>
      <x/>
      <x/>
    </i>
    <i r="9">
      <x v="1"/>
      <x v="1"/>
      <x/>
      <x/>
    </i>
    <i r="9">
      <x v="2"/>
      <x v="2"/>
      <x/>
      <x/>
    </i>
    <i>
      <x v="7"/>
      <x v="2"/>
      <x/>
      <x v="1"/>
      <x v="5"/>
      <x v="6"/>
      <x/>
      <x/>
      <x v="7"/>
      <x/>
      <x/>
      <x/>
      <x/>
    </i>
    <i r="9">
      <x v="1"/>
      <x v="1"/>
      <x/>
      <x/>
    </i>
    <i r="9">
      <x v="2"/>
      <x v="2"/>
      <x/>
      <x/>
    </i>
    <i>
      <x v="8"/>
      <x/>
      <x v="1"/>
      <x/>
      <x v="1"/>
      <x v="2"/>
      <x/>
      <x/>
      <x v="8"/>
      <x/>
      <x/>
      <x/>
      <x/>
    </i>
    <i r="9">
      <x v="1"/>
      <x v="1"/>
      <x/>
      <x/>
    </i>
    <i r="9">
      <x v="2"/>
      <x v="2"/>
      <x/>
      <x/>
    </i>
    <i>
      <x v="9"/>
      <x v="4"/>
      <x/>
      <x/>
      <x v="6"/>
      <x v="7"/>
      <x/>
      <x/>
      <x v="9"/>
      <x/>
      <x/>
      <x/>
      <x/>
    </i>
    <i r="9">
      <x v="1"/>
      <x v="1"/>
      <x/>
      <x/>
    </i>
    <i r="9">
      <x v="2"/>
      <x v="2"/>
      <x/>
      <x/>
    </i>
    <i>
      <x v="10"/>
      <x/>
      <x/>
      <x/>
      <x v="6"/>
      <x v="8"/>
      <x/>
      <x/>
      <x v="10"/>
      <x/>
      <x/>
      <x/>
      <x/>
    </i>
    <i r="9">
      <x v="1"/>
      <x v="1"/>
      <x/>
      <x/>
    </i>
    <i r="9">
      <x v="2"/>
      <x v="2"/>
      <x/>
      <x/>
    </i>
    <i>
      <x v="11"/>
      <x v="5"/>
      <x/>
      <x v="1"/>
      <x v="2"/>
      <x v="9"/>
      <x/>
      <x/>
      <x v="11"/>
      <x/>
      <x/>
      <x/>
      <x/>
    </i>
    <i r="9">
      <x v="1"/>
      <x v="1"/>
      <x/>
      <x/>
    </i>
    <i r="9">
      <x v="2"/>
      <x v="2"/>
      <x/>
      <x/>
    </i>
    <i>
      <x v="12"/>
      <x v="5"/>
      <x v="1"/>
      <x/>
      <x/>
      <x v="10"/>
      <x/>
      <x/>
      <x v="12"/>
      <x/>
      <x/>
      <x/>
      <x/>
    </i>
    <i r="9">
      <x v="1"/>
      <x v="1"/>
      <x/>
      <x/>
    </i>
    <i r="9">
      <x v="2"/>
      <x v="2"/>
      <x/>
      <x/>
    </i>
    <i>
      <x v="13"/>
      <x/>
      <x/>
      <x v="1"/>
      <x v="5"/>
      <x/>
      <x/>
      <x/>
      <x v="13"/>
      <x/>
      <x/>
      <x/>
      <x/>
    </i>
    <i r="9">
      <x v="1"/>
      <x v="1"/>
      <x/>
      <x/>
    </i>
    <i r="9">
      <x v="2"/>
      <x v="2"/>
      <x/>
      <x/>
    </i>
    <i>
      <x v="14"/>
      <x v="1"/>
      <x v="1"/>
      <x v="1"/>
      <x v="3"/>
      <x v="11"/>
      <x/>
      <x/>
      <x v="14"/>
      <x/>
      <x/>
      <x/>
      <x/>
    </i>
    <i r="9">
      <x v="1"/>
      <x v="1"/>
      <x/>
      <x/>
    </i>
    <i r="9">
      <x v="2"/>
      <x v="2"/>
      <x/>
      <x/>
    </i>
    <i>
      <x v="15"/>
      <x v="2"/>
      <x/>
      <x/>
      <x/>
      <x v="12"/>
      <x/>
      <x/>
      <x v="15"/>
      <x/>
      <x/>
      <x/>
      <x/>
    </i>
    <i r="9">
      <x v="1"/>
      <x v="1"/>
      <x/>
      <x/>
    </i>
    <i r="9">
      <x v="2"/>
      <x v="2"/>
      <x/>
      <x/>
    </i>
    <i>
      <x v="16"/>
      <x/>
      <x/>
      <x v="1"/>
      <x v="2"/>
      <x v="13"/>
      <x/>
      <x/>
      <x v="16"/>
      <x/>
      <x/>
      <x/>
      <x/>
    </i>
    <i r="9">
      <x v="1"/>
      <x v="1"/>
      <x/>
      <x/>
    </i>
    <i r="9">
      <x v="2"/>
      <x v="2"/>
      <x/>
      <x/>
    </i>
    <i>
      <x v="17"/>
      <x/>
      <x/>
      <x/>
      <x v="6"/>
      <x v="6"/>
      <x/>
      <x/>
      <x v="17"/>
      <x/>
      <x/>
      <x/>
      <x/>
    </i>
    <i r="9">
      <x v="1"/>
      <x v="1"/>
      <x/>
      <x/>
    </i>
    <i r="9">
      <x v="2"/>
      <x v="2"/>
      <x/>
      <x/>
    </i>
    <i>
      <x v="18"/>
      <x v="3"/>
      <x v="1"/>
      <x/>
      <x/>
      <x v="14"/>
      <x/>
      <x/>
      <x v="18"/>
      <x/>
      <x/>
      <x/>
      <x/>
    </i>
    <i r="9">
      <x v="1"/>
      <x v="1"/>
      <x/>
      <x/>
    </i>
    <i r="9">
      <x v="2"/>
      <x v="2"/>
      <x/>
      <x/>
    </i>
    <i>
      <x v="19"/>
      <x v="1"/>
      <x/>
      <x v="1"/>
      <x v="5"/>
      <x v="5"/>
      <x/>
      <x/>
      <x v="19"/>
      <x/>
      <x/>
      <x/>
      <x/>
    </i>
    <i r="9">
      <x v="1"/>
      <x v="1"/>
      <x/>
      <x/>
    </i>
    <i r="9">
      <x v="2"/>
      <x v="2"/>
      <x/>
      <x/>
    </i>
    <i>
      <x v="20"/>
      <x v="2"/>
      <x/>
      <x v="1"/>
      <x v="2"/>
      <x v="15"/>
      <x/>
      <x/>
      <x v="20"/>
      <x/>
      <x/>
      <x/>
      <x/>
    </i>
    <i r="9">
      <x v="1"/>
      <x v="1"/>
      <x/>
      <x/>
    </i>
    <i r="9">
      <x v="2"/>
      <x v="2"/>
      <x/>
      <x/>
    </i>
    <i>
      <x v="21"/>
      <x/>
      <x/>
      <x/>
      <x v="1"/>
      <x v="9"/>
      <x/>
      <x/>
      <x v="21"/>
      <x/>
      <x/>
      <x/>
      <x/>
    </i>
    <i r="9">
      <x v="1"/>
      <x v="1"/>
      <x/>
      <x/>
    </i>
    <i r="9">
      <x v="2"/>
      <x v="2"/>
      <x/>
      <x/>
    </i>
    <i>
      <x v="22"/>
      <x v="4"/>
      <x v="1"/>
      <x/>
      <x/>
      <x v="16"/>
      <x/>
      <x/>
      <x v="22"/>
      <x/>
      <x/>
      <x/>
      <x/>
    </i>
    <i r="9">
      <x v="1"/>
      <x v="1"/>
      <x/>
      <x/>
    </i>
    <i r="9">
      <x v="2"/>
      <x v="2"/>
      <x/>
      <x/>
    </i>
    <i>
      <x v="23"/>
      <x/>
      <x/>
      <x v="1"/>
      <x v="5"/>
      <x v="10"/>
      <x/>
      <x/>
      <x v="23"/>
      <x/>
      <x/>
      <x/>
      <x/>
    </i>
    <i r="9">
      <x v="1"/>
      <x v="1"/>
      <x/>
      <x/>
    </i>
    <i r="9">
      <x v="2"/>
      <x v="2"/>
      <x/>
      <x/>
    </i>
    <i>
      <x v="24"/>
      <x v="5"/>
      <x v="1"/>
      <x/>
      <x v="6"/>
      <x/>
      <x/>
      <x/>
      <x v="24"/>
      <x/>
      <x/>
      <x/>
      <x/>
    </i>
    <i r="9">
      <x v="1"/>
      <x v="1"/>
      <x/>
      <x/>
    </i>
    <i r="9">
      <x v="2"/>
      <x v="2"/>
      <x/>
      <x/>
    </i>
    <i>
      <x v="25"/>
      <x v="5"/>
      <x/>
      <x/>
      <x v="1"/>
      <x v="13"/>
      <x/>
      <x/>
      <x v="25"/>
      <x/>
      <x/>
      <x/>
      <x/>
    </i>
    <i r="9">
      <x v="1"/>
      <x v="1"/>
      <x/>
      <x/>
    </i>
    <i r="9">
      <x v="2"/>
      <x v="2"/>
      <x/>
      <x/>
    </i>
    <i>
      <x v="26"/>
      <x/>
      <x/>
      <x v="1"/>
      <x v="5"/>
      <x v="12"/>
      <x/>
      <x/>
      <x v="26"/>
      <x/>
      <x/>
      <x/>
      <x/>
    </i>
    <i r="9">
      <x v="1"/>
      <x v="1"/>
      <x/>
      <x/>
    </i>
    <i r="9">
      <x v="2"/>
      <x v="2"/>
      <x/>
      <x/>
    </i>
    <i>
      <x v="27"/>
      <x v="1"/>
      <x/>
      <x/>
      <x/>
      <x v="17"/>
      <x/>
      <x/>
      <x v="27"/>
      <x/>
      <x/>
      <x/>
      <x/>
    </i>
    <i r="9">
      <x v="1"/>
      <x v="1"/>
      <x/>
      <x/>
    </i>
    <i r="9">
      <x v="2"/>
      <x v="2"/>
      <x/>
      <x/>
    </i>
    <i>
      <x v="28"/>
      <x v="2"/>
      <x v="1"/>
      <x v="1"/>
      <x v="2"/>
      <x v="7"/>
      <x/>
      <x/>
      <x v="28"/>
      <x/>
      <x/>
      <x/>
      <x/>
    </i>
    <i r="9">
      <x v="1"/>
      <x v="1"/>
      <x/>
      <x/>
    </i>
    <i r="9">
      <x v="2"/>
      <x v="2"/>
      <x/>
      <x/>
    </i>
    <i>
      <x v="29"/>
      <x v="5"/>
      <x/>
      <x/>
      <x v="6"/>
      <x v="5"/>
      <x/>
      <x/>
      <x v="29"/>
      <x/>
      <x/>
      <x/>
      <x/>
    </i>
    <i r="9">
      <x v="1"/>
      <x v="1"/>
      <x/>
      <x/>
    </i>
    <i r="9">
      <x v="2"/>
      <x v="2"/>
      <x/>
      <x/>
    </i>
    <i>
      <x v="30"/>
      <x/>
      <x/>
      <x v="1"/>
      <x v="5"/>
      <x v="14"/>
      <x v="1"/>
      <x v="1"/>
      <x v="30"/>
      <x/>
      <x/>
      <x/>
      <x/>
    </i>
    <i r="9">
      <x v="1"/>
      <x v="1"/>
      <x/>
      <x/>
    </i>
    <i r="9">
      <x v="2"/>
      <x v="2"/>
      <x/>
      <x/>
    </i>
    <i>
      <x v="31"/>
      <x/>
      <x/>
      <x/>
      <x v="6"/>
      <x v="10"/>
      <x v="1"/>
      <x v="1"/>
      <x v="31"/>
      <x/>
      <x/>
      <x/>
      <x/>
    </i>
    <i r="9">
      <x v="1"/>
      <x v="1"/>
      <x/>
      <x/>
    </i>
    <i r="9">
      <x v="2"/>
      <x v="2"/>
      <x/>
      <x/>
    </i>
    <i>
      <x v="32"/>
      <x v="4"/>
      <x v="1"/>
      <x/>
      <x v="1"/>
      <x v="15"/>
      <x v="1"/>
      <x v="1"/>
      <x v="32"/>
      <x/>
      <x/>
      <x/>
      <x/>
    </i>
    <i r="9">
      <x v="1"/>
      <x v="1"/>
      <x/>
      <x/>
    </i>
    <i r="9">
      <x v="2"/>
      <x v="2"/>
      <x/>
      <x/>
    </i>
    <i>
      <x v="33"/>
      <x v="1"/>
      <x/>
      <x v="1"/>
      <x v="3"/>
      <x v="1"/>
      <x v="1"/>
      <x v="1"/>
      <x v="33"/>
      <x/>
      <x/>
      <x/>
      <x/>
    </i>
    <i r="9">
      <x v="1"/>
      <x v="1"/>
      <x/>
      <x/>
    </i>
    <i r="9">
      <x v="2"/>
      <x v="2"/>
      <x/>
      <x/>
    </i>
    <i>
      <x v="34"/>
      <x v="2"/>
      <x v="1"/>
      <x/>
      <x/>
      <x v="18"/>
      <x v="1"/>
      <x v="1"/>
      <x v="34"/>
      <x/>
      <x/>
      <x/>
      <x/>
    </i>
    <i r="9">
      <x v="1"/>
      <x v="1"/>
      <x/>
      <x/>
    </i>
    <i r="9">
      <x v="2"/>
      <x v="2"/>
      <x/>
      <x/>
    </i>
    <i>
      <x v="35"/>
      <x/>
      <x/>
      <x/>
      <x v="4"/>
      <x v="4"/>
      <x v="1"/>
      <x v="1"/>
      <x v="35"/>
      <x/>
      <x/>
      <x/>
      <x/>
    </i>
    <i r="9">
      <x v="1"/>
      <x v="1"/>
      <x/>
      <x/>
    </i>
    <i r="9">
      <x v="2"/>
      <x v="2"/>
      <x/>
      <x/>
    </i>
  </rowItems>
  <colItems count="1">
    <i/>
  </colItems>
  <dataFields count="1">
    <dataField name="Dthu SKU" fld="13" baseField="0" baseItem="0"/>
  </dataFields>
  <formats count="16">
    <format dxfId="2245">
      <pivotArea type="all" dataOnly="0" outline="0" fieldPosition="0"/>
    </format>
    <format dxfId="2244">
      <pivotArea outline="0" collapsedLevelsAreSubtotals="1" fieldPosition="0"/>
    </format>
    <format dxfId="2243">
      <pivotArea field="0" type="button" dataOnly="0" labelOnly="1" outline="0" axis="axisRow" fieldPosition="0"/>
    </format>
    <format dxfId="2242">
      <pivotArea field="5" type="button" dataOnly="0" labelOnly="1" outline="0" axis="axisRow" fieldPosition="1"/>
    </format>
    <format dxfId="2241">
      <pivotArea field="6" type="button" dataOnly="0" labelOnly="1" outline="0" axis="axisRow" fieldPosition="2"/>
    </format>
    <format dxfId="2240">
      <pivotArea field="7" type="button" dataOnly="0" labelOnly="1" outline="0" axis="axisRow" fieldPosition="3"/>
    </format>
    <format dxfId="2239">
      <pivotArea field="4" type="button" dataOnly="0" labelOnly="1" outline="0" axis="axisRow" fieldPosition="4"/>
    </format>
    <format dxfId="2238">
      <pivotArea field="8" type="button" dataOnly="0" labelOnly="1" outline="0" axis="axisRow" fieldPosition="5"/>
    </format>
    <format dxfId="2237">
      <pivotArea field="1" type="button" dataOnly="0" labelOnly="1" outline="0" axis="axisRow" fieldPosition="6"/>
    </format>
    <format dxfId="2236">
      <pivotArea field="2" type="button" dataOnly="0" labelOnly="1" outline="0" axis="axisRow" fieldPosition="7"/>
    </format>
    <format dxfId="2235">
      <pivotArea field="3" type="button" dataOnly="0" labelOnly="1" outline="0"/>
    </format>
    <format dxfId="2234">
      <pivotArea field="9" type="button" dataOnly="0" labelOnly="1" outline="0" axis="axisRow" fieldPosition="9"/>
    </format>
    <format dxfId="2233">
      <pivotArea field="10" type="button" dataOnly="0" labelOnly="1" outline="0" axis="axisRow" fieldPosition="10"/>
    </format>
    <format dxfId="2232">
      <pivotArea field="11" type="button" dataOnly="0" labelOnly="1" outline="0" axis="axisRow" fieldPosition="11"/>
    </format>
    <format dxfId="2231">
      <pivotArea field="12" type="button" dataOnly="0" labelOnly="1" outline="0" axis="axisRow" fieldPosition="12"/>
    </format>
    <format dxfId="2230">
      <pivotArea dataOnly="0" labelOnly="1" outline="0" axis="axisValues" fieldPosition="0"/>
    </format>
  </format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Khách"/>
    <pivotHierarchy dragToData="1" caption="Nhân viên"/>
    <pivotHierarchy dragToData="1"/>
    <pivotHierarchy dragToData="1"/>
    <pivotHierarchy dragToData="1"/>
    <pivotHierarchy dragToData="1" caption="Dthu Đơn"/>
    <pivotHierarchy dragToData="1"/>
    <pivotHierarchy dragToData="1" caption="Ctr Đơn"/>
    <pivotHierarchy dragToData="1"/>
    <pivotHierarchy dragToData="1" caption="CK Đơn"/>
    <pivotHierarchy dragToData="1"/>
    <pivotHierarchy dragToData="1"/>
    <pivotHierarchy dragToData="1"/>
    <pivotHierarchy dragToData="1"/>
    <pivotHierarchy dragToData="1"/>
    <pivotHierarchy dragToData="1"/>
    <pivotHierarchy dragToData="1"/>
    <pivotHierarchy dragToData="1" caption="TT Khác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tr SKU"/>
    <pivotHierarchy dragToData="1"/>
    <pivotHierarchy dragToData="1" caption="CK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hân Nhó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3">
    <rowHierarchyUsage hierarchyUsage="81"/>
    <rowHierarchyUsage hierarchyUsage="84"/>
    <rowHierarchyUsage hierarchyUsage="83"/>
    <rowHierarchyUsage hierarchyUsage="119"/>
    <rowHierarchyUsage hierarchyUsage="82"/>
    <rowHierarchyUsage hierarchyUsage="99"/>
    <rowHierarchyUsage hierarchyUsage="89"/>
    <rowHierarchyUsage hierarchyUsage="91"/>
    <rowHierarchyUsage hierarchyUsage="93"/>
    <rowHierarchyUsage hierarchyUsage="194"/>
    <rowHierarchyUsage hierarchyUsage="140"/>
    <rowHierarchyUsage hierarchyUsage="165"/>
    <rowHierarchyUsage hierarchyUsage="16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SKU]"/>
        <x15:activeTabTopLevelEntity name="[Table_Mai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DEB2AC9-37AB-4255-9B01-6F9B93D15D6F}" name="PivotTable_KPI_Compare" cacheId="11" applyNumberFormats="0" applyBorderFormats="0" applyFontFormats="0" applyPatternFormats="0" applyAlignmentFormats="0" applyWidthHeightFormats="1" dataCaption="Values" tag="45508815-d621-47df-bd2d-faacd75f7d5b" updatedVersion="7" minRefreshableVersion="5" useAutoFormatting="1" subtotalHiddenItems="1" rowGrandTotals="0" itemPrintTitles="1" createdVersion="8" indent="0" outline="1" outlineData="1" multipleFieldFilters="0">
  <location ref="AK5:AQ57" firstHeaderRow="0" firstDataRow="1" firstDataCol="4"/>
  <pivotFields count="8">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dataField="1" subtotalTop="0" showAll="0" defaultSubtotal="0"/>
  </pivotFields>
  <rowFields count="4">
    <field x="5"/>
    <field x="6"/>
    <field x="1"/>
    <field x="2"/>
  </rowFields>
  <rowItems count="52">
    <i>
      <x/>
      <x/>
      <x/>
      <x/>
    </i>
    <i r="3">
      <x v="1"/>
    </i>
    <i r="2">
      <x v="1"/>
      <x v="2"/>
    </i>
    <i r="2">
      <x v="2"/>
      <x v="2"/>
    </i>
    <i r="1">
      <x v="1"/>
      <x/>
      <x/>
    </i>
    <i r="3">
      <x v="1"/>
    </i>
    <i r="2">
      <x v="1"/>
      <x v="2"/>
    </i>
    <i r="2">
      <x v="2"/>
      <x v="2"/>
    </i>
    <i r="1">
      <x v="2"/>
      <x/>
      <x/>
    </i>
    <i r="3">
      <x v="1"/>
    </i>
    <i r="2">
      <x v="1"/>
      <x v="2"/>
    </i>
    <i r="2">
      <x v="2"/>
      <x v="2"/>
    </i>
    <i r="1">
      <x v="3"/>
      <x/>
      <x/>
    </i>
    <i r="3">
      <x v="1"/>
    </i>
    <i r="2">
      <x v="1"/>
      <x v="2"/>
    </i>
    <i r="2">
      <x v="2"/>
      <x v="2"/>
    </i>
    <i r="1">
      <x v="4"/>
      <x/>
      <x/>
    </i>
    <i r="3">
      <x v="1"/>
    </i>
    <i r="2">
      <x v="1"/>
      <x v="2"/>
    </i>
    <i r="2">
      <x v="2"/>
      <x v="2"/>
    </i>
    <i r="1">
      <x v="5"/>
      <x/>
      <x/>
    </i>
    <i r="3">
      <x v="1"/>
    </i>
    <i r="2">
      <x v="1"/>
      <x v="2"/>
    </i>
    <i r="2">
      <x v="2"/>
      <x v="2"/>
    </i>
    <i r="1">
      <x v="6"/>
      <x/>
      <x/>
    </i>
    <i r="3">
      <x v="1"/>
    </i>
    <i r="2">
      <x v="1"/>
      <x v="2"/>
    </i>
    <i r="2">
      <x v="2"/>
      <x v="2"/>
    </i>
    <i r="1">
      <x v="7"/>
      <x/>
      <x/>
    </i>
    <i r="3">
      <x v="1"/>
    </i>
    <i r="2">
      <x v="1"/>
      <x v="2"/>
    </i>
    <i r="2">
      <x v="2"/>
      <x v="2"/>
    </i>
    <i r="1">
      <x v="8"/>
      <x/>
      <x/>
    </i>
    <i r="3">
      <x v="1"/>
    </i>
    <i r="2">
      <x v="1"/>
      <x v="2"/>
    </i>
    <i r="2">
      <x v="2"/>
      <x v="2"/>
    </i>
    <i r="1">
      <x v="9"/>
      <x/>
      <x/>
    </i>
    <i r="3">
      <x v="1"/>
    </i>
    <i r="2">
      <x v="1"/>
      <x v="2"/>
    </i>
    <i r="2">
      <x v="2"/>
      <x v="2"/>
    </i>
    <i r="1">
      <x v="10"/>
      <x/>
      <x/>
    </i>
    <i r="3">
      <x v="1"/>
    </i>
    <i r="2">
      <x v="1"/>
      <x v="2"/>
    </i>
    <i r="2">
      <x v="2"/>
      <x v="2"/>
    </i>
    <i r="1">
      <x v="11"/>
      <x/>
      <x/>
    </i>
    <i r="3">
      <x v="1"/>
    </i>
    <i r="2">
      <x v="1"/>
      <x v="2"/>
    </i>
    <i r="2">
      <x v="2"/>
      <x v="2"/>
    </i>
    <i r="1">
      <x v="12"/>
      <x/>
      <x/>
    </i>
    <i r="3">
      <x v="1"/>
    </i>
    <i r="2">
      <x v="1"/>
      <x v="2"/>
    </i>
    <i r="2">
      <x v="2"/>
      <x v="2"/>
    </i>
  </rowItems>
  <colFields count="1">
    <field x="-2"/>
  </colFields>
  <colItems count="3">
    <i>
      <x/>
    </i>
    <i i="1">
      <x v="1"/>
    </i>
    <i i="2">
      <x v="2"/>
    </i>
  </colItems>
  <dataFields count="3">
    <dataField name="Sum of Doanh thu KPI" fld="3" baseField="0" baseItem="0"/>
    <dataField name="Sum of Doanh thu thực tế" fld="4" baseField="0" baseItem="0"/>
    <dataField name="Sum of Tỷ lệ KPI" fld="7" baseField="0" baseItem="0"/>
  </dataField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92"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4">
    <rowHierarchyUsage hierarchyUsage="130"/>
    <rowHierarchyUsage hierarchyUsage="131"/>
    <rowHierarchyUsage hierarchyUsage="132"/>
    <rowHierarchyUsage hierarchyUsage="1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KPI]"/>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5CDF1-4699-4097-932E-8776128F0409}" name="PivotTable12" cacheId="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B22:D27" firstHeaderRow="1" firstDataRow="2" firstDataCol="1"/>
  <pivotFields count="8">
    <pivotField axis="axisRow" numFmtId="166" showAll="0">
      <items count="4">
        <item x="2"/>
        <item x="1"/>
        <item x="0"/>
        <item t="default"/>
      </items>
    </pivotField>
    <pivotField showAll="0"/>
    <pivotField showAll="0"/>
    <pivotField axis="axisCol" showAll="0">
      <items count="3">
        <item x="1"/>
        <item x="0"/>
        <item t="default"/>
      </items>
    </pivotField>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3"/>
  </colFields>
  <colItems count="2">
    <i>
      <x/>
    </i>
    <i>
      <x v="1"/>
    </i>
  </colItems>
  <dataFields count="1">
    <dataField name="Dự phòng" fld="4"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595904-5A7A-4506-9F84-88C7338BD29E}"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3:C27" firstHeaderRow="1" firstDataRow="1" firstDataCol="1"/>
  <pivotFields count="12">
    <pivotField axis="axisRow" showAll="0">
      <items count="4">
        <item x="0"/>
        <item x="1"/>
        <item x="2"/>
        <item t="default"/>
      </items>
    </pivotField>
    <pivotField numFmtId="164" showAll="0"/>
    <pivotField numFmtId="164" showAll="0"/>
    <pivotField numFmtId="164" showAll="0"/>
    <pivotField numFmtId="164" showAll="0"/>
    <pivotField numFmtId="9" showAll="0"/>
    <pivotField numFmtId="164" showAll="0"/>
    <pivotField numFmtId="164" showAll="0"/>
    <pivotField numFmtId="168" showAll="0"/>
    <pivotField dataField="1" numFmtId="164" showAll="0"/>
    <pivotField numFmtId="164" showAll="0"/>
    <pivotField showAll="0"/>
  </pivotFields>
  <rowFields count="1">
    <field x="0"/>
  </rowFields>
  <rowItems count="4">
    <i>
      <x/>
    </i>
    <i>
      <x v="1"/>
    </i>
    <i>
      <x v="2"/>
    </i>
    <i t="grand">
      <x/>
    </i>
  </rowItems>
  <colItems count="1">
    <i/>
  </colItems>
  <dataFields count="1">
    <dataField name="Số lượng cần đặt" fld="9" baseField="0" baseItem="0" numFmtId="164"/>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827A30-26CC-41A7-BB99-B005AE4C7BE3}" name="PivotTable9"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1:J24" firstHeaderRow="0" firstDataRow="1" firstDataCol="1"/>
  <pivotFields count="8">
    <pivotField axis="axisRow" showAll="0">
      <items count="4">
        <item x="0"/>
        <item x="1"/>
        <item h="1" x="2"/>
        <item t="default"/>
      </items>
    </pivotField>
    <pivotField showAll="0"/>
    <pivotField showAll="0"/>
    <pivotField numFmtId="164" showAll="0"/>
    <pivotField dataField="1" numFmtId="164" showAll="0"/>
    <pivotField dataField="1" numFmtId="164" showAll="0"/>
    <pivotField numFmtId="164" showAll="0"/>
    <pivotField showAll="0"/>
  </pivotFields>
  <rowFields count="1">
    <field x="0"/>
  </rowFields>
  <rowItems count="3">
    <i>
      <x/>
    </i>
    <i>
      <x v="1"/>
    </i>
    <i t="grand">
      <x/>
    </i>
  </rowItems>
  <colFields count="1">
    <field x="-2"/>
  </colFields>
  <colItems count="2">
    <i>
      <x/>
    </i>
    <i i="1">
      <x v="1"/>
    </i>
  </colItems>
  <dataFields count="2">
    <dataField name="Tồn kho" fld="4" baseField="0" baseItem="0" numFmtId="37"/>
    <dataField name="Cần đặt" fld="5" baseField="0" baseItem="0" numFmtId="37"/>
  </dataFields>
  <formats count="6">
    <format dxfId="804">
      <pivotArea type="all" dataOnly="0" outline="0" fieldPosition="0"/>
    </format>
    <format dxfId="803">
      <pivotArea outline="0" collapsedLevelsAreSubtotals="1" fieldPosition="0"/>
    </format>
    <format dxfId="802">
      <pivotArea field="0" type="button" dataOnly="0" labelOnly="1" outline="0" axis="axisRow" fieldPosition="0"/>
    </format>
    <format dxfId="801">
      <pivotArea dataOnly="0" labelOnly="1" fieldPosition="0">
        <references count="1">
          <reference field="0" count="0"/>
        </references>
      </pivotArea>
    </format>
    <format dxfId="800">
      <pivotArea dataOnly="0" labelOnly="1" grandRow="1" outline="0" fieldPosition="0"/>
    </format>
    <format dxfId="799">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CA4E388-66D1-4C17-BE4C-F5738EB20823}" name="PivotTable8"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1:F25" firstHeaderRow="1" firstDataRow="1" firstDataCol="1" rowPageCount="1" colPageCount="1"/>
  <pivotFields count="14">
    <pivotField axis="axisPage" showAll="0">
      <items count="3">
        <item x="0"/>
        <item x="1"/>
        <item t="default"/>
      </items>
    </pivotField>
    <pivotField numFmtId="164" showAll="0"/>
    <pivotField numFmtId="164" showAll="0"/>
    <pivotField showAll="0"/>
    <pivotField showAll="0"/>
    <pivotField axis="axisRow" showAll="0">
      <items count="7">
        <item m="1" x="5"/>
        <item m="1" x="4"/>
        <item x="0"/>
        <item x="1"/>
        <item x="2"/>
        <item x="3"/>
        <item t="default"/>
      </items>
    </pivotField>
    <pivotField showAll="0"/>
    <pivotField numFmtId="43" showAll="0"/>
    <pivotField numFmtId="9" showAll="0"/>
    <pivotField numFmtId="164" showAll="0"/>
    <pivotField numFmtId="164" showAll="0"/>
    <pivotField numFmtId="164" showAll="0"/>
    <pivotField dataField="1" numFmtId="164" showAll="0"/>
    <pivotField showAll="0"/>
  </pivotFields>
  <rowFields count="1">
    <field x="5"/>
  </rowFields>
  <rowItems count="4">
    <i>
      <x v="2"/>
    </i>
    <i>
      <x v="3"/>
    </i>
    <i>
      <x v="4"/>
    </i>
    <i t="grand">
      <x/>
    </i>
  </rowItems>
  <colItems count="1">
    <i/>
  </colItems>
  <pageFields count="1">
    <pageField fld="0" item="0" hier="-1"/>
  </pageFields>
  <dataFields count="1">
    <dataField name="Giá vốn bình quân " fld="12" baseField="5" baseItem="3" numFmtId="37"/>
  </dataFields>
  <formats count="8">
    <format dxfId="812">
      <pivotArea outline="0" collapsedLevelsAreSubtotals="1" fieldPosition="0"/>
    </format>
    <format dxfId="811">
      <pivotArea outline="0" fieldPosition="0">
        <references count="1">
          <reference field="4294967294" count="1">
            <x v="0"/>
          </reference>
        </references>
      </pivotArea>
    </format>
    <format dxfId="810">
      <pivotArea type="all" dataOnly="0" outline="0" fieldPosition="0"/>
    </format>
    <format dxfId="809">
      <pivotArea outline="0" collapsedLevelsAreSubtotals="1" fieldPosition="0"/>
    </format>
    <format dxfId="808">
      <pivotArea field="5" type="button" dataOnly="0" labelOnly="1" outline="0" axis="axisRow" fieldPosition="0"/>
    </format>
    <format dxfId="807">
      <pivotArea dataOnly="0" labelOnly="1" fieldPosition="0">
        <references count="1">
          <reference field="5" count="3">
            <x v="2"/>
            <x v="3"/>
            <x v="4"/>
          </reference>
        </references>
      </pivotArea>
    </format>
    <format dxfId="806">
      <pivotArea dataOnly="0" labelOnly="1" grandRow="1" outline="0" fieldPosition="0"/>
    </format>
    <format dxfId="805">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2"/>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83576E-E10A-405B-9634-9EAE3638BC15}" name="PivotTable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1:C24" firstHeaderRow="1" firstDataRow="1" firstDataCol="1"/>
  <pivotFields count="14">
    <pivotField axis="axisRow" showAll="0">
      <items count="3">
        <item x="0"/>
        <item x="1"/>
        <item t="default"/>
      </items>
    </pivotField>
    <pivotField numFmtId="164" showAll="0"/>
    <pivotField numFmtId="164" showAll="0"/>
    <pivotField showAll="0"/>
    <pivotField showAll="0"/>
    <pivotField showAll="0"/>
    <pivotField showAll="0"/>
    <pivotField numFmtId="43" showAll="0"/>
    <pivotField numFmtId="9" showAll="0"/>
    <pivotField numFmtId="164" showAll="0"/>
    <pivotField numFmtId="164" showAll="0"/>
    <pivotField numFmtId="164" showAll="0"/>
    <pivotField dataField="1" numFmtId="164" showAll="0"/>
    <pivotField showAll="0"/>
  </pivotFields>
  <rowFields count="1">
    <field x="0"/>
  </rowFields>
  <rowItems count="3">
    <i>
      <x/>
    </i>
    <i>
      <x v="1"/>
    </i>
    <i t="grand">
      <x/>
    </i>
  </rowItems>
  <colItems count="1">
    <i/>
  </colItems>
  <dataFields count="1">
    <dataField name="Giá vốn bình quân " fld="12" baseField="0" baseItem="1" numFmtId="37"/>
  </dataFields>
  <formats count="8">
    <format dxfId="820">
      <pivotArea outline="0" collapsedLevelsAreSubtotals="1" fieldPosition="0"/>
    </format>
    <format dxfId="819">
      <pivotArea outline="0" fieldPosition="0">
        <references count="1">
          <reference field="4294967294" count="1">
            <x v="0"/>
          </reference>
        </references>
      </pivotArea>
    </format>
    <format dxfId="818">
      <pivotArea type="all" dataOnly="0" outline="0" fieldPosition="0"/>
    </format>
    <format dxfId="817">
      <pivotArea outline="0" collapsedLevelsAreSubtotals="1" fieldPosition="0"/>
    </format>
    <format dxfId="816">
      <pivotArea field="0" type="button" dataOnly="0" labelOnly="1" outline="0" axis="axisRow" fieldPosition="0"/>
    </format>
    <format dxfId="815">
      <pivotArea dataOnly="0" labelOnly="1" fieldPosition="0">
        <references count="1">
          <reference field="0" count="0"/>
        </references>
      </pivotArea>
    </format>
    <format dxfId="814">
      <pivotArea dataOnly="0" labelOnly="1" grandRow="1" outline="0" fieldPosition="0"/>
    </format>
    <format dxfId="81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26C657-7BD6-408D-9297-5C60F0EF5580}" name="PivotTable10"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1:O25" firstHeaderRow="0" firstDataRow="1" firstDataCol="1"/>
  <pivotFields count="7">
    <pivotField axis="axisRow" numFmtId="173" showAll="0" sortType="ascending">
      <items count="4">
        <item x="0"/>
        <item x="1"/>
        <item x="2"/>
        <item t="default"/>
      </items>
    </pivotField>
    <pivotField showAll="0"/>
    <pivotField showAll="0"/>
    <pivotField dataField="1" numFmtId="164" showAll="0"/>
    <pivotField dataField="1" numFmtId="164" showAll="0"/>
    <pivotField dataField="1" numFmtId="9" showAll="0"/>
    <pivotField showAll="0"/>
  </pivotFields>
  <rowFields count="1">
    <field x="0"/>
  </rowFields>
  <rowItems count="4">
    <i>
      <x/>
    </i>
    <i>
      <x v="1"/>
    </i>
    <i>
      <x v="2"/>
    </i>
    <i t="grand">
      <x/>
    </i>
  </rowItems>
  <colFields count="1">
    <field x="-2"/>
  </colFields>
  <colItems count="3">
    <i>
      <x/>
    </i>
    <i i="1">
      <x v="1"/>
    </i>
    <i i="2">
      <x v="2"/>
    </i>
  </colItems>
  <dataFields count="3">
    <dataField name="Mục tiêu" fld="3" baseField="0" baseItem="1" numFmtId="37"/>
    <dataField name="Thực tế" fld="4" baseField="0" baseItem="1" numFmtId="37"/>
    <dataField name="Hiệu quả " fld="5" baseField="0" baseItem="1" numFmtId="9"/>
  </dataFields>
  <formats count="6">
    <format dxfId="826">
      <pivotArea type="all" dataOnly="0" outline="0" fieldPosition="0"/>
    </format>
    <format dxfId="825">
      <pivotArea outline="0" collapsedLevelsAreSubtotals="1" fieldPosition="0"/>
    </format>
    <format dxfId="824">
      <pivotArea field="0" type="button" dataOnly="0" labelOnly="1" outline="0" axis="axisRow" fieldPosition="0"/>
    </format>
    <format dxfId="823">
      <pivotArea dataOnly="0" labelOnly="1" fieldPosition="0">
        <references count="1">
          <reference field="0" count="0"/>
        </references>
      </pivotArea>
    </format>
    <format dxfId="822">
      <pivotArea dataOnly="0" labelOnly="1" grandRow="1" outline="0" fieldPosition="0"/>
    </format>
    <format dxfId="821">
      <pivotArea dataOnly="0" labelOnly="1" outline="0" fieldPosition="0">
        <references count="1">
          <reference field="4294967294" count="3">
            <x v="0"/>
            <x v="1"/>
            <x v="2"/>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2"/>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511AFE0-E54F-4441-9021-22C5351C4854}" name="PivotTable9"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6:I10" firstHeaderRow="1" firstDataRow="1" firstDataCol="1" rowPageCount="2"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Row"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Items count="1">
    <i/>
  </colItems>
  <pageFields count="2">
    <pageField fld="9" hier="-1"/>
    <pageField fld="2" hier="-1"/>
  </pageFields>
  <dataFields count="1">
    <dataField name="Giá trị nhập mua" fld="19" baseField="17" baseItem="1" numFmtId="164"/>
  </dataFields>
  <formats count="6">
    <format dxfId="740">
      <pivotArea type="all" dataOnly="0" outline="0" fieldPosition="0"/>
    </format>
    <format dxfId="739">
      <pivotArea outline="0" collapsedLevelsAreSubtotals="1" fieldPosition="0"/>
    </format>
    <format dxfId="738">
      <pivotArea field="17" type="button" dataOnly="0" labelOnly="1" outline="0" axis="axisRow" fieldPosition="0"/>
    </format>
    <format dxfId="737">
      <pivotArea dataOnly="0" labelOnly="1" fieldPosition="0">
        <references count="1">
          <reference field="17" count="0"/>
        </references>
      </pivotArea>
    </format>
    <format dxfId="736">
      <pivotArea dataOnly="0" labelOnly="1" grandRow="1" outline="0" fieldPosition="0"/>
    </format>
    <format dxfId="735">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
          </reference>
        </references>
      </pivotArea>
    </chartFormat>
    <chartFormat chart="0" format="2">
      <pivotArea type="data" outline="0" fieldPosition="0">
        <references count="2">
          <reference field="4294967294" count="1" selected="0">
            <x v="0"/>
          </reference>
          <reference field="17" count="1" selected="0">
            <x v="2"/>
          </reference>
        </references>
      </pivotArea>
    </chartFormat>
    <chartFormat chart="0" format="3">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7E43037-E358-4C85-B91C-AA209B44F95F}"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6:N10" firstHeaderRow="0" firstDataRow="1" firstDataCol="1" rowPageCount="2" colPageCount="1"/>
  <pivotFields count="51">
    <pivotField showAll="0"/>
    <pivotField showAll="0"/>
    <pivotField name="Hàng" axis="axisPage" showAll="0">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dataField="1" showAll="0"/>
    <pivotField showAll="0"/>
    <pivotField showAll="0"/>
    <pivotField showAll="0"/>
    <pivotField showAll="0"/>
    <pivotField name="Người bán" axis="axisRow" showAll="0" sortType="ascending">
      <items count="5">
        <item h="1" x="0"/>
        <item x="1"/>
        <item x="2"/>
        <item x="3"/>
        <item t="default"/>
      </items>
      <autoSortScope>
        <pivotArea dataOnly="0" outline="0" fieldPosition="0">
          <references count="1">
            <reference field="4294967294" count="1" selected="0">
              <x v="0"/>
            </reference>
          </references>
        </pivotArea>
      </autoSortScope>
    </pivotField>
    <pivotField dataField="1" showAll="0"/>
    <pivotField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3"/>
    </i>
    <i>
      <x v="2"/>
    </i>
    <i t="grand">
      <x/>
    </i>
  </rowItems>
  <colFields count="1">
    <field x="-2"/>
  </colFields>
  <colItems count="2">
    <i>
      <x/>
    </i>
    <i i="1">
      <x v="1"/>
    </i>
  </colItems>
  <pageFields count="2">
    <pageField fld="9" hier="-1"/>
    <pageField fld="2" item="1" hier="-1"/>
  </pageFields>
  <dataFields count="2">
    <dataField name="Đơn giá" fld="18" subtotal="average" baseField="17" baseItem="1"/>
    <dataField name="Ngày ship" fld="12" subtotal="average" baseField="17" baseItem="1"/>
  </dataFields>
  <formats count="6">
    <format dxfId="746">
      <pivotArea type="all" dataOnly="0" outline="0" fieldPosition="0"/>
    </format>
    <format dxfId="745">
      <pivotArea outline="0" collapsedLevelsAreSubtotals="1" fieldPosition="0"/>
    </format>
    <format dxfId="744">
      <pivotArea field="17" type="button" dataOnly="0" labelOnly="1" outline="0" axis="axisRow" fieldPosition="0"/>
    </format>
    <format dxfId="743">
      <pivotArea dataOnly="0" labelOnly="1" fieldPosition="0">
        <references count="1">
          <reference field="17" count="0"/>
        </references>
      </pivotArea>
    </format>
    <format dxfId="742">
      <pivotArea dataOnly="0" labelOnly="1" grandRow="1" outline="0" fieldPosition="0"/>
    </format>
    <format dxfId="741">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45A0A17-5CD1-47D1-BDF8-59DDBA0A4FB2}" name="PivotTable1"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B6:C10" firstHeaderRow="1" firstDataRow="1" firstDataCol="1" rowPageCount="3"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Row"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axis="axisPage" multipleItemSelectionAllowed="1" showAll="0">
      <items count="21">
        <item x="18"/>
        <item x="15"/>
        <item x="14"/>
        <item x="12"/>
        <item x="9"/>
        <item x="7"/>
        <item x="1"/>
        <item x="19"/>
        <item x="16"/>
        <item x="13"/>
        <item x="10"/>
        <item x="8"/>
        <item x="6"/>
        <item x="5"/>
        <item x="4"/>
        <item x="2"/>
        <item x="17"/>
        <item x="11"/>
        <item x="3"/>
        <item h="1" x="0"/>
        <item t="default"/>
      </items>
    </pivotField>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x="126"/>
        <item sd="0" x="127"/>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50"/>
    <field x="9"/>
  </rowFields>
  <rowItems count="4">
    <i>
      <x v="3"/>
    </i>
    <i>
      <x v="4"/>
    </i>
    <i>
      <x v="5"/>
    </i>
    <i t="grand">
      <x/>
    </i>
  </rowItems>
  <colItems count="1">
    <i/>
  </colItems>
  <pageFields count="3">
    <pageField fld="16" hier="-1"/>
    <pageField fld="2" hier="-1"/>
    <pageField fld="17" hier="-1"/>
  </pageFields>
  <dataFields count="1">
    <dataField name="Giá trị nhập mua" fld="19" baseField="47" baseItem="126" numFmtId="164"/>
  </dataFields>
  <formats count="6">
    <format dxfId="752">
      <pivotArea type="all" dataOnly="0" outline="0" fieldPosition="0"/>
    </format>
    <format dxfId="751">
      <pivotArea outline="0" collapsedLevelsAreSubtotals="1" fieldPosition="0"/>
    </format>
    <format dxfId="750">
      <pivotArea field="50" type="button" dataOnly="0" labelOnly="1" outline="0" axis="axisRow" fieldPosition="0"/>
    </format>
    <format dxfId="749">
      <pivotArea dataOnly="0" labelOnly="1" fieldPosition="0">
        <references count="1">
          <reference field="50" count="3">
            <x v="3"/>
            <x v="4"/>
            <x v="5"/>
          </reference>
        </references>
      </pivotArea>
    </format>
    <format dxfId="748">
      <pivotArea dataOnly="0" labelOnly="1" grandRow="1" outline="0" fieldPosition="0"/>
    </format>
    <format dxfId="747">
      <pivotArea dataOnly="0" labelOnly="1" outline="0" axis="axisValues"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dateBetween" evalOrder="-1" id="114"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0"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F9755DF-D332-4BE5-8690-DAA455A8CCC4}" name="PivotTable2"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6:F10" firstHeaderRow="1" firstDataRow="1" firstDataCol="1" rowPageCount="2" colPageCount="1"/>
  <pivotFields count="51">
    <pivotField showAll="0"/>
    <pivotField showAll="0"/>
    <pivotField name="Hàng" axis="axisRow" showAll="0" measureFilter="1">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multipleItemSelectionAllowed="1"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multipleItemSelectionAllowed="1" showAll="0" defaultSubtotal="0">
      <items count="14">
        <item h="1" x="0"/>
        <item x="1"/>
        <item x="2"/>
        <item x="3"/>
        <item x="4"/>
        <item x="5"/>
        <item x="6"/>
        <item x="7"/>
        <item x="8"/>
        <item x="9"/>
        <item x="10"/>
        <item x="11"/>
        <item x="12"/>
        <item x="13"/>
      </items>
    </pivotField>
    <pivotField showAll="0" defaultSubtotal="0"/>
    <pivotField name="Năm " multipleItemSelectionAllowed="1" showAll="0" defaultSubtotal="0">
      <items count="128">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 Tháng" showAll="0">
      <items count="15">
        <item x="0"/>
        <item x="1"/>
        <item x="2"/>
        <item x="3"/>
        <item x="4"/>
        <item x="5"/>
        <item x="6"/>
        <item x="7"/>
        <item x="8"/>
        <item x="9"/>
        <item x="10"/>
        <item x="11"/>
        <item x="12"/>
        <item x="13"/>
        <item t="default"/>
      </items>
    </pivotField>
  </pivotFields>
  <rowFields count="1">
    <field x="2"/>
  </rowFields>
  <rowItems count="4">
    <i>
      <x v="1"/>
    </i>
    <i>
      <x v="2"/>
    </i>
    <i>
      <x v="3"/>
    </i>
    <i t="grand">
      <x/>
    </i>
  </rowItems>
  <colItems count="1">
    <i/>
  </colItems>
  <pageFields count="2">
    <pageField fld="9" hier="-1"/>
    <pageField fld="17" hier="-1"/>
  </pageFields>
  <dataFields count="1">
    <dataField name="Giá trị nhập mua" fld="19" baseField="2" baseItem="0" numFmtId="164"/>
  </dataFields>
  <formats count="6">
    <format dxfId="758">
      <pivotArea type="all" dataOnly="0" outline="0" fieldPosition="0"/>
    </format>
    <format dxfId="757">
      <pivotArea outline="0" collapsedLevelsAreSubtotals="1" fieldPosition="0"/>
    </format>
    <format dxfId="756">
      <pivotArea field="2" type="button" dataOnly="0" labelOnly="1" outline="0" axis="axisRow" fieldPosition="0"/>
    </format>
    <format dxfId="755">
      <pivotArea dataOnly="0" labelOnly="1" fieldPosition="0">
        <references count="1">
          <reference field="2" count="3">
            <x v="1"/>
            <x v="2"/>
            <x v="3"/>
          </reference>
        </references>
      </pivotArea>
    </format>
    <format dxfId="754">
      <pivotArea dataOnly="0" labelOnly="1" grandRow="1" outline="0" fieldPosition="0"/>
    </format>
    <format dxfId="753">
      <pivotArea dataOnly="0" labelOnly="1" outline="0" axis="axisValues" fieldPosition="0"/>
    </format>
  </formats>
  <chartFormats count="4">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
          </reference>
        </references>
      </pivotArea>
    </chartFormat>
    <chartFormat chart="6" format="10">
      <pivotArea type="data" outline="0" fieldPosition="0">
        <references count="2">
          <reference field="4294967294" count="1" selected="0">
            <x v="0"/>
          </reference>
          <reference field="2" count="1" selected="0">
            <x v="2"/>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3">
    <filter fld="9" type="dateBetween" evalOrder="-1" id="115"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1"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22EF8E-FF6C-432E-9E9C-4FB15882DB19}" name="PivotTable1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21:E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Dự phòng tồn kho" fld="23" baseField="0" baseItem="0" numFmtId="164"/>
  </dataFields>
  <formats count="2">
    <format dxfId="722">
      <pivotArea outline="0" collapsedLevelsAreSubtotals="1" fieldPosition="0"/>
    </format>
    <format dxfId="721">
      <pivotArea dataOnly="0" labelOnly="1" fieldPosition="0">
        <references count="1">
          <reference field="6"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AD6AB9B-B273-4A24-B31E-DFF7A1ACDE92}" name="PivotTable2"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E21:F26" firstHeaderRow="1" firstDataRow="2" firstDataCol="1" rowPageCount="1" colPageCount="1"/>
  <pivotFields count="27">
    <pivotField axis="axisRow" numFmtId="166" showAll="0">
      <items count="4">
        <item x="2"/>
        <item x="1"/>
        <item x="0"/>
        <item t="default"/>
      </items>
    </pivotField>
    <pivotField showAll="0"/>
    <pivotField showAll="0"/>
    <pivotField showAll="0"/>
    <pivotField showAll="0"/>
    <pivotField showAll="0"/>
    <pivotField axis="axisPage" showAll="0">
      <items count="6">
        <item x="2"/>
        <item x="3"/>
        <item x="4"/>
        <item x="1"/>
        <item x="0"/>
        <item t="default"/>
      </items>
    </pivotField>
    <pivotField axis="axisCol"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7"/>
  </colFields>
  <colItems count="1">
    <i>
      <x/>
    </i>
  </colItems>
  <pageFields count="1">
    <pageField fld="6" hier="-1"/>
  </pageFields>
  <dataFields count="1">
    <dataField name="Tồn cuối kỳ" fld="11"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F0AA407-5F7B-474C-BA06-5511641816C5}" name="PivotTable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P21:U27" firstHeaderRow="1" firstDataRow="3" firstDataCol="1" rowPageCount="1" colPageCount="1"/>
  <pivotFields count="27">
    <pivotField axis="axisRow" numFmtId="166" showAll="0" sortType="ascending">
      <items count="4">
        <item x="2"/>
        <item x="1"/>
        <item x="0"/>
        <item t="default"/>
      </items>
    </pivotField>
    <pivotField showAll="0"/>
    <pivotField showAll="0"/>
    <pivotField showAll="0"/>
    <pivotField showAll="0"/>
    <pivotField axis="axisCol" showAll="0" sortType="descending" defaultSubtotal="0">
      <items count="3">
        <item x="1"/>
        <item x="2"/>
        <item x="0"/>
      </items>
      <autoSortScope>
        <pivotArea dataOnly="0" outline="0" fieldPosition="0">
          <references count="1">
            <reference field="4294967294" count="1" selected="0">
              <x v="0"/>
            </reference>
          </references>
        </pivotArea>
      </autoSortScope>
    </pivotField>
    <pivotField axis="axisCol" showAll="0" sortType="descending">
      <items count="6">
        <item x="2"/>
        <item x="3"/>
        <item x="4"/>
        <item x="1"/>
        <item x="0"/>
        <item t="default"/>
      </items>
      <autoSortScope>
        <pivotArea dataOnly="0" outline="0" fieldPosition="0">
          <references count="1">
            <reference field="4294967294" count="1" selected="0">
              <x v="0"/>
            </reference>
          </references>
        </pivotArea>
      </autoSortScope>
    </pivotField>
    <pivotField axis="axisPage"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2">
    <field x="5"/>
    <field x="6"/>
  </colFields>
  <colItems count="5">
    <i>
      <x v="1"/>
      <x v="1"/>
    </i>
    <i r="1">
      <x v="2"/>
    </i>
    <i>
      <x v="2"/>
      <x v="3"/>
    </i>
    <i r="1">
      <x v="4"/>
    </i>
    <i>
      <x/>
      <x/>
    </i>
  </colItems>
  <pageFields count="1">
    <pageField fld="7" hier="-1"/>
  </pageFields>
  <dataFields count="1">
    <dataField name="Tồn cuối kỳ" fld="11" baseField="0" baseItem="0" numFmtId="164"/>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3"/>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3">
          <reference field="4294967294" count="1" selected="0">
            <x v="0"/>
          </reference>
          <reference field="5" count="1" selected="0">
            <x v="2"/>
          </reference>
          <reference field="6" count="1" selected="0">
            <x v="4"/>
          </reference>
        </references>
      </pivotArea>
    </chartFormat>
    <chartFormat chart="0" format="11" series="1">
      <pivotArea type="data" outline="0" fieldPosition="0">
        <references count="2">
          <reference field="4294967294" count="1" selected="0">
            <x v="0"/>
          </reference>
          <reference field="5" count="1" selected="0">
            <x v="2"/>
          </reference>
        </references>
      </pivotArea>
    </chartFormat>
    <chartFormat chart="0" format="12" series="1">
      <pivotArea type="data" outline="0" fieldPosition="0">
        <references count="3">
          <reference field="4294967294" count="1" selected="0">
            <x v="0"/>
          </reference>
          <reference field="5" count="1" selected="0">
            <x v="1"/>
          </reference>
          <reference field="6" count="1" selected="0">
            <x v="2"/>
          </reference>
        </references>
      </pivotArea>
    </chartFormat>
    <chartFormat chart="0" format="13" series="1">
      <pivotArea type="data" outline="0" fieldPosition="0">
        <references count="3">
          <reference field="4294967294" count="1" selected="0">
            <x v="0"/>
          </reference>
          <reference field="5" count="1" selected="0">
            <x v="2"/>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683D31F-FACA-4FEA-A410-00EF9F4BD09A}" name="PivotTable5" cacheId="8"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1:C23" firstHeaderRow="1" firstDataRow="1" firstDataCol="1" rowPageCount="2" colPageCount="1"/>
  <pivotFields count="27">
    <pivotField axis="axisPage" numFmtId="166" showAll="0">
      <items count="4">
        <item x="2"/>
        <item x="1"/>
        <item x="0"/>
        <item t="default"/>
      </items>
    </pivotField>
    <pivotField showAll="0"/>
    <pivotField showAll="0"/>
    <pivotField showAll="0"/>
    <pivotField showAll="0"/>
    <pivotField showAll="0"/>
    <pivotField name="Mã hàng" axis="axisPage" showAll="0">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2">
    <i>
      <x/>
    </i>
    <i i="1">
      <x v="1"/>
    </i>
  </rowItems>
  <colItems count="1">
    <i/>
  </colItems>
  <pageFields count="2">
    <pageField fld="0" item="2" hier="-1"/>
    <pageField fld="6" hier="-1"/>
  </pageFields>
  <dataFields count="2">
    <dataField name="Tồn kho chưa tiêu thụ" fld="18" baseField="0" baseItem="0" numFmtId="164"/>
    <dataField name="Tồn kho giá vốn thành phẩm" fld="19" baseField="0" baseItem="0" numFmtId="164"/>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A10A45F-6C04-4E42-AD70-9F22236C7093}" name="PivotTable4"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AG21:AJ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Giá vốn hàng bán" fld="17" baseField="0" baseItem="0" numFmtId="164"/>
  </dataFields>
  <chartFormats count="6">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4"/>
          </reference>
        </references>
      </pivotArea>
    </chartFormat>
    <chartFormat chart="0" format="9"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5DB42D2-586C-4C45-AC11-6ACF64A27054}"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0:F44" firstHeaderRow="0" firstDataRow="1" firstDataCol="1"/>
  <pivotFields count="12">
    <pivotField numFmtId="166"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74" showAll="0"/>
    <pivotField numFmtId="174" showAll="0"/>
    <pivotField dataField="1" numFmtId="174" showAll="0"/>
    <pivotField dataField="1" numFmtId="174" showAll="0"/>
    <pivotField dataField="1" numFmtId="174" showAll="0"/>
    <pivotField dataField="1" numFmtId="174" showAll="0"/>
    <pivotField numFmtId="174" showAll="0"/>
    <pivotField showAll="0"/>
    <pivotField name="Tháng "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axis="axisRow" showAll="0">
      <items count="6">
        <item x="0"/>
        <item x="1"/>
        <item x="2"/>
        <item h="1" x="3"/>
        <item h="1" x="4"/>
        <item t="default"/>
      </items>
    </pivotField>
  </pivotFields>
  <rowFields count="2">
    <field x="11"/>
    <field x="9"/>
  </rowFields>
  <rowItems count="24">
    <i>
      <x v="1"/>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Khấu hao Sản xuất " fld="4" baseField="11" baseItem="1" numFmtId="174"/>
    <dataField name="Khấu hao Bán hàng " fld="5" baseField="11" baseItem="1" numFmtId="174"/>
    <dataField name="Khấu hao Quản lý " fld="6" baseField="11" baseItem="1" numFmtId="174"/>
    <dataField name="Tổng" fld="3" baseField="11" baseItem="1" numFmtId="17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B912F7A-D342-46C2-9BA8-FE4E4878CD05}"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1:E49" firstHeaderRow="0" firstDataRow="1" firstDataCol="1"/>
  <pivotFields count="21">
    <pivotField numFmtId="166" showAll="0"/>
    <pivotField numFmtId="174" showAll="0"/>
    <pivotField showAll="0"/>
    <pivotField showAll="0"/>
    <pivotField showAll="0"/>
    <pivotField numFmtId="175" showAll="0"/>
    <pivotField numFmtId="175" showAll="0"/>
    <pivotField numFmtId="175" showAll="0"/>
    <pivotField numFmtId="9" showAll="0"/>
    <pivotField numFmtId="164" showAll="0"/>
    <pivotField dataField="1" numFmtId="164" showAll="0"/>
    <pivotField dataField="1" numFmtId="164" showAll="0"/>
    <pivotField numFmtId="164" showAll="0"/>
    <pivotField dataField="1" numFmtId="164" showAll="0"/>
    <pivotField numFmtId="164" showAll="0"/>
    <pivotField name="Ngày" axis="axisRow" numFmtId="178" showAll="0">
      <items count="14">
        <item x="12"/>
        <item x="9"/>
        <item x="8"/>
        <item x="7"/>
        <item x="6"/>
        <item x="5"/>
        <item x="2"/>
        <item x="4"/>
        <item x="1"/>
        <item x="0"/>
        <item x="11"/>
        <item x="3"/>
        <item x="10"/>
        <item t="default"/>
      </items>
    </pivotField>
    <pivotField numFmtId="164" showAll="0"/>
    <pivotField showAll="0"/>
    <pivotField name="Tháng " axis="axisRow" numFmtId="179"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x="0"/>
        <item x="1"/>
        <item x="2"/>
        <item x="3"/>
        <item x="4"/>
        <item t="default"/>
      </items>
    </pivotField>
  </pivotFields>
  <rowFields count="3">
    <field x="20"/>
    <field x="18"/>
    <field x="15"/>
  </rowFields>
  <rowItems count="28">
    <i>
      <x v="1"/>
    </i>
    <i r="1">
      <x v="2"/>
    </i>
    <i r="2">
      <x/>
    </i>
    <i r="1">
      <x v="4"/>
    </i>
    <i r="2">
      <x v="1"/>
    </i>
    <i r="1">
      <x v="5"/>
    </i>
    <i r="2">
      <x v="2"/>
    </i>
    <i r="1">
      <x v="6"/>
    </i>
    <i r="2">
      <x v="3"/>
    </i>
    <i r="1">
      <x v="7"/>
    </i>
    <i r="2">
      <x v="4"/>
    </i>
    <i r="1">
      <x v="8"/>
    </i>
    <i r="2">
      <x v="5"/>
    </i>
    <i r="2">
      <x v="6"/>
    </i>
    <i r="1">
      <x v="9"/>
    </i>
    <i r="2">
      <x v="7"/>
    </i>
    <i r="1">
      <x v="10"/>
    </i>
    <i r="2">
      <x v="8"/>
    </i>
    <i r="2">
      <x v="9"/>
    </i>
    <i>
      <x v="2"/>
    </i>
    <i r="1">
      <x v="2"/>
    </i>
    <i r="2">
      <x v="10"/>
    </i>
    <i r="1">
      <x v="5"/>
    </i>
    <i r="2">
      <x v="11"/>
    </i>
    <i>
      <x v="3"/>
    </i>
    <i r="1">
      <x v="2"/>
    </i>
    <i r="2">
      <x v="12"/>
    </i>
    <i t="grand">
      <x/>
    </i>
  </rowItems>
  <colFields count="1">
    <field x="-2"/>
  </colFields>
  <colItems count="3">
    <i>
      <x/>
    </i>
    <i i="1">
      <x v="1"/>
    </i>
    <i i="2">
      <x v="2"/>
    </i>
  </colItems>
  <dataFields count="3">
    <dataField name="Gốc" fld="10" baseField="20" baseItem="1" numFmtId="164"/>
    <dataField name="Lãi" fld="11" baseField="20" baseItem="1" numFmtId="164"/>
    <dataField name="Tổng" fld="13" baseField="20" baseItem="1"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71469C8-C645-4CF1-9AB1-FEC2E413195B}"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21:H26" firstHeaderRow="1" firstDataRow="1" firstDataCol="1" rowPageCount="3" colPageCount="1"/>
  <pivotFields count="21">
    <pivotField numFmtId="166" showAll="0"/>
    <pivotField numFmtId="174" showAll="0"/>
    <pivotField showAll="0"/>
    <pivotField axis="axisRow" showAll="0">
      <items count="5">
        <item x="3"/>
        <item x="2"/>
        <item x="1"/>
        <item x="0"/>
        <item t="default"/>
      </items>
    </pivotField>
    <pivotField showAll="0"/>
    <pivotField numFmtId="175" showAll="0"/>
    <pivotField numFmtId="175" showAll="0"/>
    <pivotField numFmtId="175" showAll="0"/>
    <pivotField numFmtId="9" showAll="0"/>
    <pivotField numFmtId="164" showAll="0"/>
    <pivotField numFmtId="164" showAll="0"/>
    <pivotField dataField="1" numFmtId="164" showAll="0"/>
    <pivotField numFmtId="164" showAll="0"/>
    <pivotField numFmtId="164" showAll="0"/>
    <pivotField numFmtId="164" showAll="0"/>
    <pivotField axis="axisPage" numFmtId="175" showAll="0">
      <items count="14">
        <item x="12"/>
        <item x="9"/>
        <item x="8"/>
        <item x="7"/>
        <item x="6"/>
        <item x="5"/>
        <item x="2"/>
        <item x="4"/>
        <item x="1"/>
        <item x="0"/>
        <item x="11"/>
        <item x="3"/>
        <item x="10"/>
        <item t="default"/>
      </items>
    </pivotField>
    <pivotField numFmtId="164" showAll="0"/>
    <pivotField showAll="0"/>
    <pivotField name="Tháng " axis="axisPage"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3"/>
  </rowFields>
  <rowItems count="5">
    <i>
      <x/>
    </i>
    <i>
      <x v="1"/>
    </i>
    <i>
      <x v="2"/>
    </i>
    <i>
      <x v="3"/>
    </i>
    <i t="grand">
      <x/>
    </i>
  </rowItems>
  <colItems count="1">
    <i/>
  </colItems>
  <pageFields count="3">
    <pageField fld="20" hier="-1"/>
    <pageField fld="18" hier="-1"/>
    <pageField fld="15" hier="-1"/>
  </pageFields>
  <dataFields count="1">
    <dataField name="Lãi vay " fld="11" baseField="3" baseItem="1"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0CA0981-E86B-446C-8A71-5EB47C55614E}"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E36" firstHeaderRow="0" firstDataRow="1" firstDataCol="1"/>
  <pivotFields count="23">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4"/>
        <item x="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6" showAll="0"/>
    <pivotField numFmtId="164" showAll="0"/>
    <pivotField numFmtId="164" showAll="0"/>
    <pivotField numFmtId="166" showAll="0"/>
    <pivotField showAll="0"/>
    <pivotField numFmtId="175" showAll="0"/>
    <pivotField numFmtId="164" showAll="0"/>
    <pivotField showAll="0"/>
    <pivotField showAll="0"/>
    <pivotField numFmtId="164" showAll="0"/>
    <pivotField numFmtId="164" showAll="0"/>
    <pivotField dataField="1" numFmtId="164" showAll="0"/>
    <pivotField dataField="1" numFmtId="9" showAll="0"/>
    <pivotField numFmtId="164" showAll="0"/>
    <pivotField numFmtId="164" showAll="0"/>
    <pivotField showAll="0"/>
  </pivotFields>
  <rowFields count="2">
    <field x="3"/>
    <field x="0"/>
  </rowFields>
  <rowItems count="13">
    <i>
      <x/>
    </i>
    <i r="1">
      <x v="1"/>
    </i>
    <i>
      <x v="1"/>
    </i>
    <i r="1">
      <x/>
    </i>
    <i>
      <x v="3"/>
    </i>
    <i r="1">
      <x v="2"/>
    </i>
    <i>
      <x v="4"/>
    </i>
    <i r="1">
      <x v="3"/>
    </i>
    <i>
      <x v="5"/>
    </i>
    <i r="1">
      <x v="5"/>
    </i>
    <i>
      <x v="2"/>
    </i>
    <i r="1">
      <x v="4"/>
    </i>
    <i t="grand">
      <x/>
    </i>
  </rowItems>
  <colFields count="1">
    <field x="-2"/>
  </colFields>
  <colItems count="3">
    <i>
      <x/>
    </i>
    <i i="1">
      <x v="1"/>
    </i>
    <i i="2">
      <x v="2"/>
    </i>
  </colItems>
  <dataFields count="3">
    <dataField name="Giá trị đầu tư" fld="6" baseField="0" baseItem="3" numFmtId="164"/>
    <dataField name="Khấu hao lũy kế" fld="18" baseField="0" baseItem="3" numFmtId="164"/>
    <dataField name="Tỷ lệ khấu hao " fld="19" baseField="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ân_khúc" xr10:uid="{08A8D885-3978-4DAC-AA1E-20C5EFAA1A42}" sourceName="[Table_KhachHang].[Phân khúc]">
  <pivotTables>
    <pivotTable tabId="74" name="PivotTable_ThiTruong"/>
    <pivotTable tabId="74" name="PivotTable_SanPham"/>
  </pivotTables>
  <data>
    <olap pivotCacheId="1629187186">
      <levels count="2">
        <level uniqueName="[Table_KhachHang].[Phân khúc].[(All)]" sourceCaption="(All)" count="0"/>
        <level uniqueName="[Table_KhachHang].[Phân khúc].[Phân khúc]" sourceCaption="Phân khúc" count="3">
          <ranges>
            <range startItem="0">
              <i n="[Table_KhachHang].[Phân khúc].&amp;" c="(blank)"/>
              <i n="[Table_KhachHang].[Phân khúc].&amp;[B2B]" c="B2B"/>
              <i n="[Table_KhachHang].[Phân khúc].&amp;[B2C]" c="B2C"/>
            </range>
          </ranges>
        </level>
      </levels>
      <selections count="1">
        <selection n="[Table_KhachHang].[Phân khúc].[All]"/>
      </selections>
    </olap>
  </data>
  <extLst>
    <x:ext xmlns:x15="http://schemas.microsoft.com/office/spreadsheetml/2010/11/main" uri="{470722E0-AACD-4C17-9CDC-17EF765DBC7E}">
      <x15:slicerCacheHideItemsWithNoData count="1">
        <x15:slicerCacheOlapLevelName uniqueName="[Table_KhachHang].[Phân khúc].[Phân khúc]"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 xr10:uid="{8367BEF0-871F-4508-9549-53EE0237830C}" sourceName="[Table_KhachHang].[Tỉnh]">
  <pivotTables>
    <pivotTable tabId="74" name="PivotTable_ThiTruong"/>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1" xr10:uid="{9AB6D149-752F-445A-A94D-A47B46509A03}" sourceName="[Table_KhachHang].[Tỉnh]">
  <pivotTables>
    <pivotTable tabId="74" name="PivotTable_SanPham"/>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1" xr10:uid="{363DB256-8C48-4D7B-9404-DC2BE462610C}" sourceName="[Table_SKU].[Nhóm 1]">
  <pivotTables>
    <pivotTable tabId="74" name="PivotTable_SanPham"/>
  </pivotTables>
  <data>
    <olap pivotCacheId="1629187186">
      <levels count="2">
        <level uniqueName="[Table_SKU].[Nhóm 1].[(All)]" sourceCaption="(All)" count="0"/>
        <level uniqueName="[Table_SKU].[Nhóm 1].[Nhóm 1]" sourceCaption="Nhóm 1" count="4">
          <ranges>
            <range startItem="0">
              <i n="[Table_SKU].[Nhóm 1].&amp;" c="(blank)"/>
              <i n="[Table_SKU].[Nhóm 1].&amp;[Nhóm 1]" c="Nhóm 1"/>
              <i n="[Table_SKU].[Nhóm 1].&amp;[Nhóm 2]" c="Nhóm 2"/>
              <i n="[Table_SKU].[Nhóm 1].&amp;[Nhóm 3]" c="Nhóm 3"/>
            </range>
          </ranges>
        </level>
      </levels>
      <selections count="1">
        <selection n="[Table_SKU].[Nhóm 1].[All]"/>
      </selections>
    </olap>
  </data>
  <extLst>
    <x:ext xmlns:x15="http://schemas.microsoft.com/office/spreadsheetml/2010/11/main" uri="{470722E0-AACD-4C17-9CDC-17EF765DBC7E}">
      <x15:slicerCacheHideItemsWithNoData count="1">
        <x15:slicerCacheOlapLevelName uniqueName="[Table_SKU].[Nhóm 1].[Nhóm 1]"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ân khúc" xr10:uid="{853D58B9-8879-42EE-8FF6-E6E6D9D92727}" cache="Slicer_Phân_khúc" caption="Phân khúc" columnCount="5" showCaption="0" level="1" rowHeight="273050"/>
  <slicer name="Tỉnh" xr10:uid="{F80D4E25-E4E8-4CB9-BB8B-40A1B6CB2F5A}" cache="Slicer_Tỉnh" caption="Tỉnh" columnCount="3" showCaption="0"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ỉnh 1" xr10:uid="{BF0AAC17-A525-4BF5-BE2B-8C8CEA98FF8C}" cache="Slicer_Tỉnh1" caption="Tỉnh" columnCount="3" showCaption="0" level="1" rowHeight="273050"/>
  <slicer name="Nhóm 1" xr10:uid="{10736B15-1D0F-43F5-BF5B-8E09116E89BD}" cache="Slicer_Nhóm_1" caption="Nhóm 1" columnCount="5" showCaption="0"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ABCB06-E76D-4ABB-A881-ABFB02322D7F}" name="Ref_Dates" displayName="Ref_Dates" ref="BI2:BI33" totalsRowShown="0" headerRowDxfId="2109" dataDxfId="2108">
  <autoFilter ref="BI2:BI33" xr:uid="{FCABCB06-E76D-4ABB-A881-ABFB02322D7F}"/>
  <tableColumns count="1">
    <tableColumn id="1" xr3:uid="{D8BF13A4-3A12-4036-9917-AB6128C1D5F8}" name="Ngày" dataDxfId="2107"/>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F030FBF0-4D34-4EF7-97B9-188D44049DC2}" name="Ref_Periods" displayName="Ref_Periods" ref="BK2:BK3" totalsRowShown="0" headerRowDxfId="2106" dataDxfId="2105">
  <autoFilter ref="BK2:BK3" xr:uid="{F030FBF0-4D34-4EF7-97B9-188D44049DC2}"/>
  <tableColumns count="1">
    <tableColumn id="1" xr3:uid="{E3C6024A-8868-4504-AE1E-10D6FFA8BE7D}" name="Kỳ" dataDxfId="2104"/>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103" dataDxfId="2102">
  <autoFilter ref="CO4:CS6" xr:uid="{BA39F5F3-F5AA-404A-A7CD-16C79C9DEDE4}"/>
  <tableColumns count="5">
    <tableColumn id="1" xr3:uid="{2B2CA254-1972-463F-AC1F-79640FD3FEBC}" name="Năm" dataDxfId="2101"/>
    <tableColumn id="2" xr3:uid="{AB2F707D-FA25-4ABB-94CC-0B37FF8E4A20}" name="Giá trị gốc" dataDxfId="2100">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099">
      <calculatedColumnFormula array="1" xml:space="preserve">
IFERROR(
_xlfn.IFS(
AND($CU$12=1, Dashboard_GiaTriNam[[#This Row],[Hiệu quả]]&gt;=$BL$18),Dashboard_GiaTriNam[[#This Row],[Giá trị gốc]],
AND($CU$12=2, Dashboard_GiaTriNam[[#This Row],[Hiệu quả]]&gt;=0),Dashboard_GiaTriNam[[#This Row],[Giá trị gốc]],
AND($CU$12=3, Dashboard_GiaTriNam[[#This Row],[Hiệu quả]]&gt;=$BL$24),Dashboard_GiaTriNam[[#This Row],[Giá trị gốc]],
AND($CU$12=4, Dashboard_GiaTriNam[[#This Row],[Hiệu quả]]&gt;=$BL$27),Dashboard_GiaTriNam[[#This Row],[Giá trị gốc]]
),"")</calculatedColumnFormula>
    </tableColumn>
    <tableColumn id="4" xr3:uid="{4949AB23-B1EF-4C05-ADC2-B754FDD4B8F7}" name="Format" dataDxfId="2098">
      <calculatedColumnFormula>IFERROR(TEXT(Dashboard_GiaTriNam[[#This Row],[Giá trị đạt]],LOOKUP(Dashboard_GiaTriNam[[#This Row],[Giá trị đạt]],Pivot!$B$6:$B$12,Pivot!$C$6:$C$12)),"")</calculatedColumnFormula>
    </tableColumn>
    <tableColumn id="5" xr3:uid="{1DD8ABD5-C72F-4CFD-BFFA-BEDC4F4C954B}" name="Hiệu quả" dataDxfId="2097">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gốc]]/($BL$21*12)-1,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B6" totalsRowShown="0" headerRowDxfId="2096" dataDxfId="2095">
  <autoFilter ref="B5:BB6" xr:uid="{BAEBA6B2-288F-49A9-BEF9-8278EDB11DBD}"/>
  <tableColumns count="53">
    <tableColumn id="1" xr3:uid="{FD8ED7B4-F071-45F0-BEE1-F25B013177D2}" name="Kỳ" dataDxfId="2094">
      <calculatedColumnFormula>DATE(Table_Datafeed[[#This Row],[Năm]],Table_Datafeed[[#This Row],[Tháng]],1)</calculatedColumnFormula>
    </tableColumn>
    <tableColumn id="2" xr3:uid="{E9A2CF43-BA4B-4887-B726-EFB6AE39C4B5}" name="Năm" dataDxfId="2093"/>
    <tableColumn id="3" xr3:uid="{2DA1D101-98A7-4341-BAC4-4301BE3B4776}" name="Tháng" dataDxfId="2092"/>
    <tableColumn id="4" xr3:uid="{0641FC0C-01EB-4185-9062-F4AF4EF93644}" name="Sản lượng" dataDxfId="2091">
      <calculatedColumnFormula array="1">+IFERROR(SUM(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calculatedColumnFormula>
    </tableColumn>
    <tableColumn id="5" xr3:uid="{76ACC107-C921-4162-8F12-A0DEDE4FF3A9}" name="Điểm hòa vốn" dataDxfId="2090">
      <calculatedColumnFormula>-Table_Datafeed[[#This Row],[Chi phí cố định]]/(Table_Datafeed[[#This Row],[Lợi nhuận biến đổi]]/Table_Datafeed[[#This Row],[Sản lượng]])</calculatedColumnFormula>
    </tableColumn>
    <tableColumn id="6" xr3:uid="{6AAF5E7D-0221-4C25-814E-E4C46F4BFA4D}" name="Tỷ lệ hòa vốn" dataDxfId="2089">
      <calculatedColumnFormula>Table_Datafeed[[#This Row],[Sản lượng]]/Table_Datafeed[[#This Row],[Điểm hòa vốn]]-1</calculatedColumnFormula>
    </tableColumn>
    <tableColumn id="7" xr3:uid="{2395E714-F676-4D5E-A096-2A17554BF36E}" name="Doanh thu" dataDxfId="2088">
      <calculatedColumnFormula array="1" xml:space="preserve">
+IFERROR(SUM(
_xlfn._xlws.FILTER(Table_DonBan[Doanh thu ròng],
(ISBLANK(Table_DonBan[Phân bổ từ]))*
(ISBLANK(Table_DonBan[Phân bổ đến]))*
(Table_Main[Ngày lên đơn] &gt;= Table_Datafeed[[#This Row],[Kỳ]])*
(Table_Main[Ngày lên đơn] &lt; DATE(Table_Datafeed[[#This Row],[Năm]],Table_Datafeed[[#This Row],[Tháng]]+1, 1))
)),0)
+IFERROR(SUMPRODUCT(
_xlfn._xlws.FILTER(Table_DonBan[Doanh thu ròng],
(NOT(ISBLANK(Table_DonBan[Phân bổ từ])))*
(NOT(ISBLANK(Table_DonBan[Phân bổ đến])))*
(Table_DonBan[Phân bổ từ]&lt;DATE(Table_Datafeed[[#This Row],[Năm]],Table_Datafeed[[#This Row],[Tháng]]+1, 1))*
(Table_DonBan[Phân bổ đến]&gt;=Table_Datafeed[[#This Row],[Kỳ]])
),
_xlfn._xlws.FILTER(
ROUND((DATE(Table_Datafeed[[#This Row],[Năm]],Table_Datafeed[[#This Row],[Tháng]]+1, 1)- 1 - Table_DonBan[Phân bổ từ]) / (362.25 / 12 ), 0),
(NOT(ISBLANK(Table_DonBan[Phân bổ từ])))*
(NOT(ISBLANK(Table_DonBan[Phân bổ đến])))*
(Table_DonBan[Phân bổ từ]&lt;DATE(Table_Datafeed[[#This Row],[Năm]],Table_Datafeed[[#This Row],[Tháng]]+1, 1))*
(Table_DonBan[Phân bổ đến]&gt;=Table_Datafeed[[#This Row],[Kỳ]])
),
_xlfn._xlws.FILTER(
1/ROUND((Table_DonBan[Phân bổ đến] - Table_DonBan[Phân bổ từ]) / (362.25 / 12 ),0),
(NOT(ISBLANK(Table_DonBan[Phân bổ từ])))*
(NOT(ISBLANK(Table_DonBan[Phân bổ đến])))*
(Table_DonBan[Phân bổ từ]&lt;DATE(Table_Datafeed[[#This Row],[Năm]],Table_Datafeed[[#This Row],[Tháng]]+1, 1))*
(Table_DonBan[Phân bổ đến]&gt;=Table_Datafeed[[#This Row],[Kỳ]])
)),0)</calculatedColumnFormula>
    </tableColumn>
    <tableColumn id="8" xr3:uid="{5596F896-3038-4E7B-9288-73FA2227ED66}" name="Biên lãi gộp" dataDxfId="2087">
      <calculatedColumnFormula>(Table_Datafeed[[#This Row],[Doanh thu]]+Table_Datafeed[[#This Row],[Chi phí biến đổi]])/Table_Datafeed[[#This Row],[Doanh thu]]</calculatedColumnFormula>
    </tableColumn>
    <tableColumn id="9" xr3:uid="{EBB47544-D455-4DD2-AF63-F1351FBE6D82}" name="Chi phí biến đổi" dataDxfId="2086">
      <calculatedColumnFormula>SUM(Table_Datafeed[[#This Row],[CP nguyên liệu]:[CP vận chuyển]])</calculatedColumnFormula>
    </tableColumn>
    <tableColumn id="11" xr3:uid="{9729C4DC-21DC-4D34-AC53-2BB99DB56E1A}" name="CP nguyên liệu" dataDxfId="2085">
      <calculatedColumnFormula array="1">-IFERROR(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calculatedColumnFormula>
    </tableColumn>
    <tableColumn id="12" xr3:uid="{E928853A-8763-4FF9-A699-00C3757BB851}" name="CP tiện ích sản xuất" dataDxfId="2084">
      <calculatedColumnFormula array="1">-
IFERROR(
SUM(
_xlfn._xlws.FILTER(Table_ChiPhiKD[Phân bổ sản xuất],
(Table_ChiPhiKD[Kỳ] = Table_Datafeed[[#This Row],[Kỳ]]) *
(NOT(ISBLANK(Table_ChiPhiKD[Tháng])))*
(VLOOKUP(Table_ChiPhiKD[Nhóm chi phí],Table_ChiPhiKD_PhanNhom[],Sheet_ChiPhiKD!$J$2,0) = "Chưa phân bổ" )
)),0)
- IFERROR(SUMPRODUCT(
_xlfn._xlws.FILTER(Table_ChiPhiKD[Phân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calculatedColumnFormula>
    </tableColumn>
    <tableColumn id="13" xr3:uid="{02813682-815F-4019-9F5F-48235030214D}" name="CP hoa hồng" dataDxfId="2083">
      <calculatedColumnFormula array="1">-IFERROR(SUM(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calculatedColumnFormula>
    </tableColumn>
    <tableColumn id="15" xr3:uid="{99644569-FDAE-4878-8108-71B11FE61EF3}" name="CP thưởng KPI" dataDxfId="2082">
      <calculatedColumnFormula array="1"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calculatedColumnFormula>
    </tableColumn>
    <tableColumn id="16" xr3:uid="{AFF98F1E-4B8F-4E06-A91E-94A3F1C88CD7}" name="CP thanh toán" dataDxfId="2081">
      <calculatedColumnFormula array="1">-IFERROR(SUM(
_xlfn._xlws.FILTER(Table_ThuChiKD[Phí GD],
(Table_ThuChiKD[Ngày GD] &gt;= Table_Datafeed[[#This Row],[Kỳ]])*
(Table_ThuChiKD[Ngày GD] &lt; DATE(Table_Datafeed[[#This Row],[Năm]],Table_Datafeed[[#This Row],[Tháng]]+1,1))
)),0)</calculatedColumnFormula>
    </tableColumn>
    <tableColumn id="17" xr3:uid="{5B4AF7B4-7422-470C-8E8C-807C04EE20F3}" name="CP vận chuyển" dataDxfId="2080">
      <calculatedColumnFormula array="1">-IFERROR(
SUM(_xlfn._xlws.FILTER(Table_VanDon[Phí ship],
(Table_VanDon[Bên chịu phí] = "Bên bán") *
(Table_VanDon[Ngày lập] &gt;= Table_Datafeed[[#This Row],[Kỳ]]) *
(Table_VanDon[Ngày lập] &lt; DATE(Table_Datafeed[[#This Row],[Năm]],Table_Datafeed[[#This Row],[Tháng]]+1,1))
)),0)</calculatedColumnFormula>
    </tableColumn>
    <tableColumn id="18" xr3:uid="{AF02DCDC-0EB7-4CE4-80AB-74649AF48752}" name="Lợi nhuận biến đổi" dataDxfId="2079">
      <calculatedColumnFormula>+Table_Datafeed[[#This Row],[Doanh thu]]+Table_Datafeed[[#This Row],[Chi phí biến đổi]]</calculatedColumnFormula>
    </tableColumn>
    <tableColumn id="19" xr3:uid="{EA7590FA-F01E-432E-A8A9-1D63BC7943B0}" name="Đòn bẩy hoạt động" dataDxfId="2078">
      <calculatedColumnFormula>Table_Datafeed[[#This Row],[Chi phí cố định]]/(Table_Datafeed[[#This Row],[Chi phí cố định]]+Table_Datafeed[[#This Row],[Chi phí biến đổi]])</calculatedColumnFormula>
    </tableColumn>
    <tableColumn id="20" xr3:uid="{8D7C08F5-574E-4E41-BC92-AFA5E8F31C84}" name="Chi phí cố định" dataDxfId="2077">
      <calculatedColumnFormula>SUM(Table_Datafeed[[#This Row],[CP nhân sự]:[CP khác]])</calculatedColumnFormula>
    </tableColumn>
    <tableColumn id="21" xr3:uid="{EE9318AF-255F-4579-B13E-250E155C38E3}" name="CP nhân sự" dataDxfId="2076">
      <calculatedColumnFormula array="1">-IFERROR(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calculatedColumnFormula>
    </tableColumn>
    <tableColumn id="22" xr3:uid="{E29AD649-43FC-4ACD-9A1F-4543C2AD52BB}" name="CP tiêu hao VP" dataDxfId="2075">
      <calculatedColumnFormula array="1">-IFERROR(
SUM(_xlfn._xlws.FILTER(Table_TonKho[Chi phí ghi nhận],
(Table_TonKho[Kỳ] = Table_Datafeed[[#This Row],[Kỳ]]) *
(Table_TonKho[Chức năng] = "Văn phòng")
)),0)
-IFERROR(
SUM(
_xlfn._xlws.FILTER(Table_ChiPhiKD[Giá trị]-Table_ChiPhiKD[Phân bổ sản xuất],
(Table_ChiPhiKD[Kỳ] = Table_Datafeed[[#This Row],[Kỳ]])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calculatedColumnFormula>
    </tableColumn>
    <tableColumn id="23" xr3:uid="{62B65E09-992C-411F-B6B9-50EFEE7A3975}" name="CP vận hành kênh" dataDxfId="2074">
      <calculatedColumnFormula array="1"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calculatedColumnFormula>
    </tableColumn>
    <tableColumn id="24" xr3:uid="{2EF5B38D-76F3-486D-844B-FAAA07DC87BF}" name="CP marketing" dataDxfId="2073">
      <calculatedColumnFormula array="1"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calculatedColumnFormula>
    </tableColumn>
    <tableColumn id="25" xr3:uid="{BC6198A5-AC40-4396-AB94-B3BDB089F67D}" name="CP dịch vụ" dataDxfId="2072">
      <calculatedColumnFormula array="1">-IFERROR(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calculatedColumnFormula>
    </tableColumn>
    <tableColumn id="26" xr3:uid="{C51AECFE-98FD-4A99-906B-A1D081D6F92F}" name="CP khấu hao" dataDxfId="2071">
      <calculatedColumnFormula array="1">-IFERROR(SUM(_xlfn._xlws.FILTER(Table_TSCD_KhauHao[Khấu hao],
(Table_TSCD_KhauHao[Kỳ] = Table_Datafeed[[#This Row],[Kỳ]]))),0)</calculatedColumnFormula>
    </tableColumn>
    <tableColumn id="27" xr3:uid="{422E3EF5-602E-4FB0-B5C7-B7930FB398B8}" name="CP lãi vay" dataDxfId="2070">
      <calculatedColumnFormula array="1"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calculatedColumnFormula>
    </tableColumn>
    <tableColumn id="28" xr3:uid="{6EC3ECB0-640B-46A8-8283-D14A1CC59BC8}" name="Thuế phí NN" dataDxfId="2069">
      <calculatedColumnFormula array="1">-IFERROR(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calculatedColumnFormula>
    </tableColumn>
    <tableColumn id="29" xr3:uid="{C2A87066-5A53-478B-A0FB-6369427AD775}" name="CP khác" dataDxfId="2068">
      <calculatedColumnFormula array="1">-IFERROR(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calculatedColumnFormula>
    </tableColumn>
    <tableColumn id="30" xr3:uid="{82A76BD9-98C0-4235-87DD-47B4441DBB49}" name="Lợi nhuận kinh doanh" dataDxfId="2067">
      <calculatedColumnFormula>+Table_Datafeed[[#This Row],[Lợi nhuận biến đổi]]+Table_Datafeed[[#This Row],[Chi phí cố định]]</calculatedColumnFormula>
    </tableColumn>
    <tableColumn id="31" xr3:uid="{FB241A19-96CD-4E04-9DA9-E059525EA09C}" name="Hiệu quả lợi nhuận" dataDxfId="2066">
      <calculatedColumnFormula>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55" xr3:uid="{CB986643-2B15-413C-AD6F-72A641C79A1A}" name="Dòng tiền kinh doanh" dataDxfId="2065">
      <calculatedColumnFormula>+Table_Datafeed[[#This Row],[Tiền bán hàng]]+Table_Datafeed[[#This Row],[Tiền VAT]]+Table_Datafeed[[#This Row],[Tiền chi kinh doanh]]+Table_Datafeed[[#This Row],[Tiền nộp NN]]</calculatedColumnFormula>
    </tableColumn>
    <tableColumn id="32" xr3:uid="{BCF05C5B-F2D5-472B-9898-8A1AB77E1AFA}" name="Tiền bán hàng" dataDxfId="2064">
      <calculatedColumnFormula array="1">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calculatedColumnFormula>
    </tableColumn>
    <tableColumn id="33" xr3:uid="{EDB172BA-862D-4EB3-A3AB-ABC078653978}" name="Tiền VAT" dataDxfId="2063">
      <calculatedColumnFormula array="1">IFERROR(
SUM(_xlfn._xlws.FILTER(Table_NopNS[Giá trị tính thuế],
(Table_NopNS[Ngân sách] = "Thuế VAT")*
(Table_NopNS[Năm]=Table_Datafeed[[#This Row],[Năm]])*
(Table_NopNS[Tháng] = Table_Datafeed[[#This Row],[Tháng]])
)),0)</calculatedColumnFormula>
    </tableColumn>
    <tableColumn id="34" xr3:uid="{67166CCD-88F1-40B5-82D1-DD5BE59A000B}" name="Tỷ lệ nợ trên doanh thu" dataDxfId="2062">
      <calculatedColumnFormula>(Table_Datafeed[[#This Row],[Doanh thu]]-Table_Datafeed[[#This Row],[Tiền bán hàng]])/Table_Datafeed[[#This Row],[Doanh thu]]</calculatedColumnFormula>
    </tableColumn>
    <tableColumn id="35" xr3:uid="{3945CA98-6BD9-4A7E-A831-EE792C7E1311}" name="Tiền chi kinh doanh" dataDxfId="2061">
      <calculatedColumnFormula>+Table_Datafeed[[#This Row],[Tiền mua nguyên liệu]]+Table_Datafeed[[#This Row],[Tiền trả chi phí]]+Table_Datafeed[[#This Row],[Tiền trả lao động]]</calculatedColumnFormula>
    </tableColumn>
    <tableColumn id="36" xr3:uid="{5A6C7AB5-9867-4094-B153-9693051914C9}" name="Tiền mua nguyên liệu" dataDxfId="2060">
      <calculatedColumnFormula array="1">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calculatedColumnFormula>
    </tableColumn>
    <tableColumn id="37" xr3:uid="{C9ABC137-7D96-498E-B123-E55F2682CEDE}" name="Tiền trả chi phí" dataDxfId="2059">
      <calculatedColumnFormula array="1">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calculatedColumnFormula>
    </tableColumn>
    <tableColumn id="38" xr3:uid="{D912B86C-BC36-4031-93D2-6A8F527A5E5C}" name="Tiền trả lao động" dataDxfId="2058">
      <calculatedColumnFormula array="1">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calculatedColumnFormula>
    </tableColumn>
    <tableColumn id="39" xr3:uid="{916DF1D5-5863-46C0-8667-D71C8DF4DBB0}" name="Tỷ lệ chiếm dụng chi phí" dataDxfId="2057">
      <calculatedColumnFormula>(SUM(Table_Datafeed[[#This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calculatedColumnFormula>
    </tableColumn>
    <tableColumn id="40" xr3:uid="{E170C9FF-80D4-45FF-AD03-2995D05200BC}" name="Tiền nộp NN" dataDxfId="2056">
      <calculatedColumnFormula array="1">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calculatedColumnFormula>
    </tableColumn>
    <tableColumn id="41" xr3:uid="{4E13D50A-7CE0-4778-81FD-ABED93462011}" name="Tiền trả nợ &amp; đầu tư" dataDxfId="2055">
      <calculatedColumnFormula>+Table_Datafeed[[#This Row],[Tiền trả gốc &amp; lãi]]+Table_Datafeed[[#This Row],[Tiền đầu tư TSCĐ]]+Table_Datafeed[[#This Row],[Tiền đầu tư tài chính]]</calculatedColumnFormula>
    </tableColumn>
    <tableColumn id="42" xr3:uid="{8F0FE448-3D8F-4B68-8060-8448C14C224D}" name="Tiền trả gốc &amp; lãi" dataDxfId="2054">
      <calculatedColumnFormula array="1"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calculatedColumnFormula>
    </tableColumn>
    <tableColumn id="43" xr3:uid="{53C72A69-E5C9-4960-832A-7B73C609FDF1}" name="Tiền đầu tư TSCĐ" dataDxfId="2053">
      <calculatedColumnFormula array="1"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calculatedColumnFormula>
    </tableColumn>
    <tableColumn id="44" xr3:uid="{7BC36105-2403-4F58-8237-70910D47BC4E}" name="Tiền đầu tư tài chính" dataDxfId="2052">
      <calculatedColumnFormula array="1"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calculatedColumnFormula>
    </tableColumn>
    <tableColumn id="45" xr3:uid="{CFD7325A-2A3F-4CBE-B823-2B5F781A5516}" name="Dòng tiền vận hành" dataDxfId="2051">
      <calculatedColumnFormula>+Table_Datafeed[[#This Row],[Dòng tiền kinh doanh]]+Table_Datafeed[[#This Row],[Tiền trả gốc &amp; lãi]]</calculatedColumnFormula>
    </tableColumn>
    <tableColumn id="46" xr3:uid="{4207F6E5-B11E-4B5E-B672-017A94756225}" name="Hiệu quả dòng tiền kinh doanh" dataDxfId="2050">
      <calculatedColumnFormula>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47" xr3:uid="{ADD9F91A-72EC-4D1A-95BA-BAB122B03573}" name="Số dư tiền mặt vận hành" dataDxfId="2049">
      <calculatedColumnFormula array="1">Sheet_BaoCaoTaiChinh!$D$74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calculatedColumnFormula>
    </tableColumn>
    <tableColumn id="48" xr3:uid="{38017092-8073-4A34-9AF4-6C3250CFF977}" name="Tiền lời đầu tư" dataDxfId="2048">
      <calculatedColumnFormula array="1"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calculatedColumnFormula>
    </tableColumn>
    <tableColumn id="49" xr3:uid="{944FF52B-0462-4D42-8CB8-14FA59FC77FC}" name="Huy động vốn vay" dataDxfId="2047">
      <calculatedColumnFormula array="1">+IFERROR(SUM(_xlfn._xlws.FILTER(Table_ThuChiTC[Giá trị GD],
(Table_ThuChiTC[Loại GD]="THU")*
(Table_ThuChiTC[Nội dung GD]=Sheet_ThuChiTC!$F$9)*
(Table_ThuChiTC[Ngày GD]&gt;=Table_Datafeed[[#This Row],[Kỳ]])*
(Table_ThuChiTC[Ngày GD]&lt;DATE(Table_Datafeed[[#This Row],[Năm]],Table_Datafeed[[#This Row],[Tháng]]+1,1))
)),0)</calculatedColumnFormula>
    </tableColumn>
    <tableColumn id="50" xr3:uid="{55E8887F-4ACF-422B-B47B-5A779A01D546}" name="Huy động vốn góp" dataDxfId="2046">
      <calculatedColumnFormula array="1"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calculatedColumnFormula>
    </tableColumn>
    <tableColumn id="51" xr3:uid="{D1436329-E98D-46C7-A604-60DB746BE5A2}" name="Đòn bẩy tài chính" dataDxfId="2045">
      <calculatedColumnFormula array="1" xml:space="preserve">
(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(Sheet_BaoCaoTaiChinh!$D$113+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calculatedColumnFormula>
    </tableColumn>
    <tableColumn id="52" xr3:uid="{12E6CBFD-9C49-4AB7-B9A5-6B327B3D2D84}" name="Số dư tiền mặt nguồn vốn" dataDxfId="2044">
      <calculatedColumnFormula>+Table_Datafeed[[#This Row],[Số dư tiền mặt vận hành]]+
+SUM(Table_Datafeed[[#This Row],[Tiền lời đầu tư]:[Huy động vốn góp]])</calculatedColumnFormula>
    </tableColumn>
    <tableColumn id="53" xr3:uid="{5D5C330E-CA2B-4D92-A0B6-79774FE8FBEC}" name="Trả cổ tức" dataDxfId="2043">
      <calculatedColumnFormula array="1"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calculatedColumnFormula>
    </tableColumn>
    <tableColumn id="54" xr3:uid="{EB860026-99BE-42E1-A869-55AA7F337F22}" name="Số dư tiền mặt ròng" dataDxfId="2042">
      <calculatedColumnFormula>+Table_Datafeed[[#This Row],[Số dư tiền mặt nguồn vốn]]+Table_Datafeed[[#This Row],[Trả cổ tức]]</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6BBD135-DAA2-48A2-99CC-C482F4C12060}" name="Dashboard_ThiTruong_KhachHang" displayName="Dashboard_ThiTruong_KhachHang" ref="AR7:AV14" totalsRowShown="0" headerRowDxfId="2041" dataDxfId="2040">
  <autoFilter ref="AR7:AV14" xr:uid="{36BBD135-DAA2-48A2-99CC-C482F4C12060}"/>
  <tableColumns count="5">
    <tableColumn id="1" xr3:uid="{FC5BBDC0-CFF2-40B0-B4B0-961E16F0FBE9}" name="Khách hàng" dataDxfId="2039"/>
    <tableColumn id="2" xr3:uid="{93CD08C4-DED5-48C4-9634-176A29C072EE}" name="Doanh thu" dataDxfId="2038">
      <calculatedColumnFormula>VLOOKUP(Dashboard_ThiTruong_KhachHang[[#This Row],[Khách hàng]],_xlfn.ANCHORARRAY($BO$31):_xlfn.ANCHORARRAY($BV$31),8,0)</calculatedColumnFormula>
    </tableColumn>
    <tableColumn id="3" xr3:uid="{EB73406B-1D74-4E47-9074-58C8F4833142}" name="Doanh thu / ngày" dataDxfId="2037">
      <calculatedColumnFormula>VLOOKUP(Dashboard_ThiTruong_KhachHang[[#This Row],[Khách hàng]],_xlfn.ANCHORARRAY($BO$31):_xlfn.ANCHORARRAY($BZ$31),12,0)</calculatedColumnFormula>
    </tableColumn>
    <tableColumn id="4" xr3:uid="{DA459717-422A-4B47-8E93-7DA52DF867B5}" name="Số ngày chưa mua" dataDxfId="2036">
      <calculatedColumnFormula>VLOOKUP(Dashboard_ThiTruong_KhachHang[[#This Row],[Khách hàng]],_xlfn.ANCHORARRAY($BO$31):_xlfn.ANCHORARRAY($CB$31),14,0)</calculatedColumnFormula>
    </tableColumn>
    <tableColumn id="5" xr3:uid="{B422CFDB-D178-4B09-84E6-7649EF566A27}" name="Nhóm khách" dataDxfId="2035">
      <calculatedColumnFormula array="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B440F6A-EEE4-49BF-9775-007470767C65}" name="Dashboard_ThiTruong_PhanKhuc" displayName="Dashboard_ThiTruong_PhanKhuc" ref="AY7:BC9" totalsRowShown="0" headerRowDxfId="2034" dataDxfId="2033">
  <autoFilter ref="AY7:BC9" xr:uid="{FB440F6A-EEE4-49BF-9775-007470767C65}"/>
  <tableColumns count="5">
    <tableColumn id="1" xr3:uid="{20D32DBA-262A-4148-9BA5-9841285D26F8}" name="Phân khúc" dataDxfId="2032"/>
    <tableColumn id="2" xr3:uid="{024CA038-6F0E-4D5E-B596-4358E7B947CA}" name="Giá trị" dataDxfId="2031">
      <calculatedColumnFormula>VLOOKUP(Dashboard_ThiTruong_PhanKhuc[[#This Row],[Phân khúc]],CJ:CK,2,0)</calculatedColumnFormula>
    </tableColumn>
    <tableColumn id="3" xr3:uid="{F68BE591-9FB2-48C6-A949-2F2B91C6813C}" name="Tỷ lệ" dataDxfId="2030">
      <calculatedColumnFormula>VLOOKUP(Dashboard_ThiTruong_PhanKhuc[[#This Row],[Phân khúc]],CJ:CM,4,0)</calculatedColumnFormula>
    </tableColumn>
    <tableColumn id="4" xr3:uid="{20749695-AF08-4320-9479-96401DA1E585}" name="Tăng trưởng" dataDxfId="2029">
      <calculatedColumnFormula>VLOOKUP(Dashboard_ThiTruong_PhanKhuc[[#This Row],[Phân khúc]],CJ:CO,6,0)</calculatedColumnFormula>
    </tableColumn>
    <tableColumn id="5" xr3:uid="{BFCD7BF7-ADB6-469E-8C6E-4952394F6441}" name="Vượt TB" dataDxfId="2028">
      <calculatedColumnFormula>VLOOKUP(Dashboard_ThiTruong_PhanKhuc[[#This Row],[Phân khúc]],CJ:CP,7,0)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F24DE4CE-2BDB-402B-A4D9-D74394A56CA2}" name="Dashboard_ThiTruong_TinhThanh" displayName="Dashboard_ThiTruong_TinhThanh" ref="BF7:BG14" totalsRowShown="0" headerRowDxfId="2027" dataDxfId="2026">
  <autoFilter ref="BF7:BG14" xr:uid="{F24DE4CE-2BDB-402B-A4D9-D74394A56CA2}"/>
  <tableColumns count="2">
    <tableColumn id="1" xr3:uid="{2C49FBFF-3A20-4D1C-A5A7-F514B51CB0B9}" name="Tỉnh" dataDxfId="2025" dataCellStyle="Percent"/>
    <tableColumn id="2" xr3:uid="{8FDB34DF-8393-46E4-ABF4-B6305ACAAAD6}" name="Giá trị tổng" dataDxfId="2024">
      <calculatedColumnFormula>VLOOKUP(Dashboard_ThiTruong_TinhThanh[[#This Row],[Tỉnh]],CS:CT,2,0)</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EE233C6-2A42-4B91-8973-74E3A35A71D1}" name="Dashboard_ThiTruong_NhomSP" displayName="Dashboard_ThiTruong_NhomSP" ref="BJ7:BL10" totalsRowShown="0" headerRowDxfId="2023" dataDxfId="2022">
  <autoFilter ref="BJ7:BL10" xr:uid="{8EE233C6-2A42-4B91-8973-74E3A35A71D1}"/>
  <tableColumns count="3">
    <tableColumn id="1" xr3:uid="{6FFD339B-4956-48CB-B3A0-7B8D0886D91C}" name="Nhóm" dataDxfId="2021" dataCellStyle="Percent"/>
    <tableColumn id="2" xr3:uid="{39CF6C88-44BE-43C6-808F-D00BDFBDDBFA}" name="Giá trị" dataDxfId="2020">
      <calculatedColumnFormula>IF(ISBLANK($AA$4),
VLOOKUP(Dashboard_ThiTruong_NhomSP[[#This Row],[Nhóm]],_xlfn.ANCHORARRAY($CW$31):_xlfn.ANCHORARRAY($CY$31),2,0),
VLOOKUP(Dashboard_ThiTruong_NhomSP[[#This Row],[Nhóm]],_xlfn.ANCHORARRAY($CW$31):_xlfn.ANCHORARRAY($CY$31),3,0)
)</calculatedColumnFormula>
    </tableColumn>
    <tableColumn id="4" xr3:uid="{4210A0A6-F74F-4D9B-926A-D1F649C607AA}" name="Tỷ trọng" dataDxfId="2019">
      <calculatedColumnFormula>Dashboard_ThiTruong_NhomSP[[#This Row],[Giá trị]]/SUM(Dashboard_ThiTruong_NhomSP[Giá trị])</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C19C1497-EB73-4BA1-BB7D-524D7BA77FAC}" name="Dashboard_SanPham_SKU" displayName="Dashboard_SanPham_SKU" ref="AR7:AV10" totalsRowShown="0" headerRowDxfId="2018" dataDxfId="2017">
  <autoFilter ref="AR7:AV10" xr:uid="{36BBD135-DAA2-48A2-99CC-C482F4C12060}"/>
  <tableColumns count="5">
    <tableColumn id="1" xr3:uid="{2839A81E-3678-4D30-B050-74594E3386CF}" name="SKU" dataDxfId="2016"/>
    <tableColumn id="2" xr3:uid="{013F09F9-44F1-4B64-8268-3FEEFB073505}" name="Doanh thu" dataDxfId="2015">
      <calculatedColumnFormula>VLOOKUP(Dashboard_SanPham_SKU[[#This Row],[SKU]],_xlfn.ANCHORARRAY($BN$31):_xlfn.ANCHORARRAY($BS$31),6,0)</calculatedColumnFormula>
    </tableColumn>
    <tableColumn id="3" xr3:uid="{66EF6EB3-57D3-4620-9EFD-C456A801A67C}" name="Doanh thu / ngày" dataDxfId="2014">
      <calculatedColumnFormula>VLOOKUP(Dashboard_SanPham_SKU[[#This Row],[SKU]],_xlfn.ANCHORARRAY($BN$31):_xlfn.ANCHORARRAY($BV$31),9,0)</calculatedColumnFormula>
    </tableColumn>
    <tableColumn id="4" xr3:uid="{BCDAF0EC-9CDF-4108-9011-05111BF7A1A4}" name="Số ngày chưa mua" dataDxfId="2013">
      <calculatedColumnFormula>VLOOKUP(Dashboard_SanPham_SKU[[#This Row],[SKU]],_xlfn.ANCHORARRAY($BN$31):_xlfn.ANCHORARRAY($BX$31),11,0)</calculatedColumnFormula>
    </tableColumn>
    <tableColumn id="5" xr3:uid="{112F85F1-1601-4439-9E49-0A41EB27DCEF}" name="Nhóm khách" dataDxfId="2012">
      <calculatedColumnFormula array="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5A28667-08A4-4215-A163-4C9F524B8DAA}" name="Dashboard_SanPham_Nhom" displayName="Dashboard_SanPham_Nhom" ref="AY7:BC10" totalsRowShown="0" headerRowDxfId="2011" dataDxfId="2010">
  <autoFilter ref="AY7:BC10" xr:uid="{FB440F6A-EEE4-49BF-9775-007470767C65}"/>
  <tableColumns count="5">
    <tableColumn id="1" xr3:uid="{54987609-E015-4F8A-8705-E7362082B0AC}" name="Phân khúc" dataDxfId="2009"/>
    <tableColumn id="2" xr3:uid="{A46D8873-0CC1-4523-969E-C6412BF1DC75}" name="Giá trị" dataDxfId="2008">
      <calculatedColumnFormula>VLOOKUP(Dashboard_SanPham_Nhom[[#This Row],[Phân khúc]],_xlfn.ANCHORARRAY($CC$31):_xlfn.ANCHORARRAY($CD$31),2,0)</calculatedColumnFormula>
    </tableColumn>
    <tableColumn id="3" xr3:uid="{EDF080E1-16F4-47D4-9261-82A34D69850B}" name="Tỷ lệ" dataDxfId="2007">
      <calculatedColumnFormula>VLOOKUP(Dashboard_SanPham_Nhom[[#This Row],[Phân khúc]],_xlfn.ANCHORARRAY($CC$31):_xlfn.ANCHORARRAY($CF$31),4,0)</calculatedColumnFormula>
    </tableColumn>
    <tableColumn id="4" xr3:uid="{078182C3-BE75-4B2C-B027-8A2671D370AC}" name="Tăng trưởng" dataDxfId="2006">
      <calculatedColumnFormula>VLOOKUP(Dashboard_SanPham_Nhom[[#This Row],[Phân khúc]],_xlfn.ANCHORARRAY($CC$31):_xlfn.ANCHORARRAY($CH$31),6,0)</calculatedColumnFormula>
    </tableColumn>
    <tableColumn id="5" xr3:uid="{45FEA94E-0A31-41AB-9067-DDEF672F91FD}" name="Vượt TB" dataDxfId="2005">
      <calculatedColumnFormula>VLOOKUP(Dashboard_SanPham_Nhom[[#This Row],[Phân khúc]],_xlfn.ANCHORARRAY($CC$31):_xlfn.ANCHORARRAY($CI$31),7,0)</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29D8412-8524-400A-B2BE-D154EB138CAE}" name="Dashboard_SanPham_TinhThanh" displayName="Dashboard_SanPham_TinhThanh" ref="BF7:BG14" totalsRowShown="0" headerRowDxfId="2004" dataDxfId="2003">
  <autoFilter ref="BF7:BG14" xr:uid="{F24DE4CE-2BDB-402B-A4D9-D74394A56CA2}"/>
  <tableColumns count="2">
    <tableColumn id="1" xr3:uid="{28FCE4F9-C924-40C0-85DA-BDE44C3CD7AA}" name="Tỉnh" dataDxfId="2002"/>
    <tableColumn id="2" xr3:uid="{6B8C8115-7638-4338-88DB-6BF2A168FB86}" name="Giá trị tổng" dataDxfId="2001">
      <calculatedColumnFormula>VLOOKUP(Dashboard_SanPham_TinhThanh[[#This Row],[Tỉnh]],_xlfn.ANCHORARRAY($CL$31):_xlfn.ANCHORARRAY($CM$31),2,0)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65EC072-CE70-4CEB-AB95-42357F07755C}" name="Dashboard_SanPham_PhanKhuc" displayName="Dashboard_SanPham_PhanKhuc" ref="BJ7:BL9" totalsRowShown="0" headerRowDxfId="2000" dataDxfId="1999">
  <autoFilter ref="BJ7:BL9" xr:uid="{265EC072-CE70-4CEB-AB95-42357F07755C}"/>
  <tableColumns count="3">
    <tableColumn id="1" xr3:uid="{28C519B2-52DB-4C07-B549-8BBA4AF7F476}" name="Phân khúc" dataDxfId="1998"/>
    <tableColumn id="2" xr3:uid="{210EA312-5AC9-4860-BC61-F2EF7A60E09D}" name="Giá trị" dataDxfId="1997">
      <calculatedColumnFormula array="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calculatedColumnFormula>
    </tableColumn>
    <tableColumn id="3" xr3:uid="{6054ACE1-5C28-4500-A4BB-E00C0CEAF347}" name="Tỷ trọng" dataDxfId="1996">
      <calculatedColumnFormula>Dashboard_SanPham_PhanKhuc[[#This Row],[Giá trị]]/SUM(Dashboard_SanPham_PhanKhuc[Giá trị])</calculatedColumnFormula>
    </tableColumn>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EF92B3D-4805-404A-AF6C-53B7308A26AA}" name="Dashboard_KPI_Kenh" displayName="Dashboard_KPI_Kenh" ref="AP4:AV10" totalsRowShown="0" headerRowDxfId="1995" dataDxfId="1994">
  <autoFilter ref="AP4:AV10" xr:uid="{7EF92B3D-4805-404A-AF6C-53B7308A26AA}"/>
  <tableColumns count="7">
    <tableColumn id="1" xr3:uid="{6436136F-98BF-4810-8D6E-F2D0B860C734}" name="Mã kênh" dataDxfId="1993"/>
    <tableColumn id="2" xr3:uid="{51ACC555-ED96-4FE3-A6B8-77BAB890DAED}" name="Doanh thu" dataDxfId="1992">
      <calculatedColumnFormula>IFERROR(
IF(VLOOKUP(Dashboard_KPI_Kenh[[#This Row],[Mã kênh]],_xlfn.ANCHORARRAY($CD$5):_xlfn.ANCHORARRAY($CG$5),4,0)="",
VLOOKUP(Dashboard_KPI_Kenh[[#This Row],[Mã kênh]],_xlfn.ANCHORARRAY($CD$5):_xlfn.ANCHORARRAY($CG$5),4,0),
VLOOKUP(Dashboard_KPI_Kenh[[#This Row],[Mã kênh]],_xlfn.ANCHORARRAY($CD$5):_xlfn.ANCHORARRAY($CE$5),2,0)
),0)</calculatedColumnFormula>
    </tableColumn>
    <tableColumn id="3" xr3:uid="{80E1F9A9-D151-4AB6-B755-003D2D9163C7}" name="Tỷ lệ chi phí" dataDxfId="1991">
      <calculatedColumnFormula>IFERROR(VLOOKUP(Dashboard_KPI_Kenh[[#This Row],[Mã kênh]],_xlfn.ANCHORARRAY($CD$5):_xlfn.ANCHORARRAY($CH$5),5,0),0)</calculatedColumnFormula>
    </tableColumn>
    <tableColumn id="4" xr3:uid="{C7C60840-3138-4B42-9BC8-BE5D8DADD1C5}" name="Doanh thu / tỷ lệ" dataDxfId="1990">
      <calculatedColumnFormula>IFERROR(VLOOKUP(Dashboard_KPI_Kenh[[#This Row],[Mã kênh]],_xlfn.ANCHORARRAY($CD$5):_xlfn.ANCHORARRAY($CI$5),6,0),0)</calculatedColumnFormula>
    </tableColumn>
    <tableColumn id="5" xr3:uid="{11A9A5B1-A512-4256-B4E2-A4C63A426936}" name="KPI" dataDxfId="1989">
      <calculatedColumnFormula array="1">IFERROR(
SUM(_xlfn._xlws.FILTER(Table_KPI[Doanh thu KPI],
(Table_KPI[Kênh] = Dashboard_KPI_Kenh[[#This Row],[Mã kênh]])*
(Table_KPI[Kỳ] &gt;=DATE(YEAR(Pivot!$AC$2),MONTH(Pivot!$AC$2),1))*
(Table_KPI[Kỳ] &lt;=DATE(YEAR(Pivot!$AC$3),MONTH(Pivot!$AC$3)+1,1)-1)
)),0)</calculatedColumnFormula>
    </tableColumn>
    <tableColumn id="6" xr3:uid="{09099616-D2B8-4B0C-92FF-1B3989F8E86C}" name="Tỷ lệ KPI" dataDxfId="1988">
      <calculatedColumnFormula>IFERROR(Dashboard_KPI_Kenh[[#This Row],[Doanh thu]]/Dashboard_KPI_Kenh[[#This Row],[KPI]],"")</calculatedColumnFormula>
    </tableColumn>
    <tableColumn id="7" xr3:uid="{63C5CC16-6B27-4B81-A093-37B969B017C6}" name="Đạt KPI" dataDxfId="1987">
      <calculatedColumnFormula>IF(Dashboard_KPI_Kenh[[#This Row],[Tỷ lệ KPI]]&gt;1,Dashboard_KPI_Kenh[[#This Row],[Tỷ lệ KPI]],"")</calculatedColumnFormula>
    </tableColumn>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509EC850-09C3-4E1A-96B6-6A3E61B6DFF6}" name="Dashboard_KPI_NhanVien" displayName="Dashboard_KPI_NhanVien" ref="AY4:BE9" totalsRowShown="0" headerRowDxfId="1986" dataDxfId="1985">
  <autoFilter ref="AY4:BE9" xr:uid="{509EC850-09C3-4E1A-96B6-6A3E61B6DFF6}"/>
  <tableColumns count="7">
    <tableColumn id="1" xr3:uid="{E76CF702-F090-45B6-8F64-39627BF64F34}" name="Mã NV" dataDxfId="1984"/>
    <tableColumn id="2" xr3:uid="{7C83196F-9E99-4A71-9BD0-E6BCF83CB713}" name="Doanh thu" dataDxfId="1983">
      <calculatedColumnFormula>IFERROR(
IF(VLOOKUP(Dashboard_KPI_NhanVien[[#This Row],[Mã NV]],_xlfn.ANCHORARRAY($CL$5):_xlfn.ANCHORARRAY($CO$5),4,0)="",
VLOOKUP(Dashboard_KPI_NhanVien[[#This Row],[Mã NV]],_xlfn.ANCHORARRAY($CL$5):_xlfn.ANCHORARRAY($CO$5),4,0),
VLOOKUP(Dashboard_KPI_NhanVien[[#This Row],[Mã NV]],_xlfn.ANCHORARRAY($CL$5):_xlfn.ANCHORARRAY($CM$5),2,0)
),0)</calculatedColumnFormula>
    </tableColumn>
    <tableColumn id="3" xr3:uid="{F1A233E7-D833-4C13-B81E-70CD9BC48511}" name="Tỷ lệ chi phí" dataDxfId="1982">
      <calculatedColumnFormula>IFERROR(VLOOKUP(Dashboard_KPI_NhanVien[[#This Row],[Mã NV]],_xlfn.ANCHORARRAY($CL$5):_xlfn.ANCHORARRAY($CP$5),5,0),0)</calculatedColumnFormula>
    </tableColumn>
    <tableColumn id="4" xr3:uid="{39A52C50-B42D-4C5C-BE5B-FA5FA9A16A3D}" name="Doanh thu / tỷ lệ" dataDxfId="1981">
      <calculatedColumnFormula>IFERROR(VLOOKUP(Dashboard_KPI_NhanVien[[#This Row],[Mã NV]],_xlfn.ANCHORARRAY($CL$5):_xlfn.ANCHORARRAY($CQ$5),6,0),0)</calculatedColumnFormula>
    </tableColumn>
    <tableColumn id="5" xr3:uid="{DA8E4220-8158-4BD1-82CE-A7F238A31A95}" name="KPI" dataDxfId="1980">
      <calculatedColumnFormula array="1">IFERROR(
SUM(_xlfn._xlws.FILTER(Table_KPI[Doanh thu KPI],
(Table_KPI[Nhân viên] = Dashboard_KPI_NhanVien[[#This Row],[Mã NV]])*
(Table_KPI[Kỳ] &gt;=DATE(YEAR(Pivot!$AC$2),MONTH(Pivot!$AC$2),1))*
(Table_KPI[Kỳ] &lt;=DATE(YEAR(Pivot!$AC$3),MONTH(Pivot!$AC$3)+1,1)-1)
)),0)</calculatedColumnFormula>
    </tableColumn>
    <tableColumn id="6" xr3:uid="{E3575B4D-F3CF-4596-9313-CF1794AB2B1E}" name="Tỷ lệ KPI" dataDxfId="1979">
      <calculatedColumnFormula>IFERROR(Dashboard_KPI_NhanVien[[#This Row],[Doanh thu]]/Dashboard_KPI_NhanVien[[#This Row],[KPI]],"")</calculatedColumnFormula>
    </tableColumn>
    <tableColumn id="7" xr3:uid="{4DD66838-23F4-43AE-A1A6-CBED87B84FF6}" name="Đạt KPI" dataDxfId="1978">
      <calculatedColumnFormula>IF(Dashboard_KPI_NhanVien[[#This Row],[Tỷ lệ KPI]]&gt;1,Dashboard_KPI_NhanVien[[#This Row],[Tỷ lệ KPI]],"")</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D9E506A-DC0D-4DE9-BF99-A6727265051F}" name="Dashboard_KPI_PhanKhuc" displayName="Dashboard_KPI_PhanKhuc" ref="BH4:BJ6" totalsRowShown="0" headerRowDxfId="1977" dataDxfId="1976">
  <autoFilter ref="BH4:BJ6" xr:uid="{9D9E506A-DC0D-4DE9-BF99-A6727265051F}"/>
  <tableColumns count="3">
    <tableColumn id="1" xr3:uid="{E74E1FE3-FDEF-4B0C-86E2-E12D87C9487E}" name="Phân khúc" dataDxfId="1975"/>
    <tableColumn id="2" xr3:uid="{CFD1BF36-F37F-44C6-A79C-E7CEA67B5223}" name="Tỷ lệ Kênh" dataDxfId="1974">
      <calculatedColumnFormula array="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calculatedColumnFormula>
    </tableColumn>
    <tableColumn id="3" xr3:uid="{F1FE9618-739E-41AE-AFF5-81783C119FC9}" name="Tỷ lệ NV" dataDxfId="1973">
      <calculatedColumnFormula array="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2603CB4-9CE6-453C-924D-95ABE1214791}" name="Dashboard_KPI_PhanNhom" displayName="Dashboard_KPI_PhanNhom" ref="BM4:BO7" totalsRowShown="0" headerRowDxfId="1972" dataDxfId="1971">
  <autoFilter ref="BM4:BO7" xr:uid="{F2603CB4-9CE6-453C-924D-95ABE1214791}"/>
  <tableColumns count="3">
    <tableColumn id="1" xr3:uid="{B258295B-3240-4E04-B819-B4AE54BD2541}" name="Phân nhóm" dataDxfId="1970"/>
    <tableColumn id="2" xr3:uid="{7721E708-F3E7-4B36-8E93-E8F6D2E758AB}" name="Tỷ lệ NV" dataDxfId="1969">
      <calculatedColumnFormula array="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calculatedColumnFormula>
    </tableColumn>
    <tableColumn id="3" xr3:uid="{9099A838-DEB8-42FB-ABDB-9D572FFE6270}" name="Tỷ lệ Kênh" dataDxfId="1968">
      <calculatedColumnFormula array="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5565D60-6118-4C37-A7DF-0AF81AE48398}" name="Dashboard_Ctr_Ctr" displayName="Dashboard_Ctr_Ctr" ref="AM5:AV9" totalsRowShown="0" headerRowDxfId="1967" dataDxfId="1966">
  <autoFilter ref="AM5:AV9" xr:uid="{15565D60-6118-4C37-A7DF-0AF81AE48398}"/>
  <tableColumns count="10">
    <tableColumn id="1" xr3:uid="{A820E8DB-EDB7-424E-AA8D-7EEE7633F0E4}" name="Chương trình" dataDxfId="1965"/>
    <tableColumn id="2" xr3:uid="{FE7A7A82-196E-441A-8056-E6A1B3044E04}" name="Dthu" dataDxfId="1964">
      <calculatedColumnFormula>VLOOKUP(Dashboard_Ctr_Ctr[[#This Row],[Chương trình]],_xlfn.ANCHORARRAY($BH$25):_xlfn.ANCHORARRAY($BL$25),5,0)</calculatedColumnFormula>
    </tableColumn>
    <tableColumn id="3" xr3:uid="{052BD364-3308-438B-B0F3-7D2E28AFA2AB}" name="Tăng DT" dataDxfId="1963">
      <calculatedColumnFormula>VLOOKUP(Dashboard_Ctr_Ctr[[#This Row],[Chương trình]],_xlfn.ANCHORARRAY($BH$25):_xlfn.ANCHORARRAY($BX$25),17,0)</calculatedColumnFormula>
    </tableColumn>
    <tableColumn id="4" xr3:uid="{2E247858-F896-432F-A010-6875C5A3A5F9}" name="HQ Dthu" dataDxfId="1962">
      <calculatedColumnFormula>VLOOKUP(Dashboard_Ctr_Ctr[[#This Row],[Chương trình]],_xlfn.ANCHORARRAY($BH$25):_xlfn.ANCHORARRAY($BZ$25),19,0)</calculatedColumnFormula>
    </tableColumn>
    <tableColumn id="5" xr3:uid="{81B762CF-66DE-4703-B65C-A67769863726}" name="Khách mới" dataDxfId="1961">
      <calculatedColumnFormula>VLOOKUP(Dashboard_Ctr_Ctr[[#This Row],[Chương trình]],_xlfn.ANCHORARRAY($BH$25):_xlfn.ANCHORARRAY($BI$25),2,0)</calculatedColumnFormula>
    </tableColumn>
    <tableColumn id="6" xr3:uid="{131D7EFD-240C-4EFE-AC0D-61AB2E916EA0}" name="HQ khách mới" dataDxfId="1960">
      <calculatedColumnFormula>VLOOKUP(Dashboard_Ctr_Ctr[[#This Row],[Chương trình]],_xlfn.ANCHORARRAY($BH$25):_xlfn.ANCHORARRAY($BW$25),16,0)</calculatedColumnFormula>
    </tableColumn>
    <tableColumn id="7" xr3:uid="{29EE600E-6C76-49F2-95D1-C3967391D426}" name="Tăng TS Đơn" dataDxfId="1959">
      <calculatedColumnFormula>VLOOKUP(Dashboard_Ctr_Ctr[[#This Row],[Chương trình]],_xlfn.ANCHORARRAY($BH$25):_xlfn.ANCHORARRAY($CA$25),20,0)</calculatedColumnFormula>
    </tableColumn>
    <tableColumn id="8" xr3:uid="{73D8814E-2098-4228-ABE6-2EA69BF59588}" name="HQ Đơn" dataDxfId="1958">
      <calculatedColumnFormula>VLOOKUP(Dashboard_Ctr_Ctr[[#This Row],[Chương trình]],_xlfn.ANCHORARRAY($BH$25):_xlfn.ANCHORARRAY($CB$25),21,0)</calculatedColumnFormula>
    </tableColumn>
    <tableColumn id="9" xr3:uid="{93933BA8-267D-4E3D-B6BB-0801477E4F20}" name="Tăng TS SKU" dataDxfId="1957">
      <calculatedColumnFormula>VLOOKUP(Dashboard_Ctr_Ctr[[#This Row],[Chương trình]],_xlfn.ANCHORARRAY($BH$25):_xlfn.ANCHORARRAY($CC$25),22,0)</calculatedColumnFormula>
    </tableColumn>
    <tableColumn id="10" xr3:uid="{C926ABF7-22EE-4F16-AC71-EF37EAC60314}" name="HQ SKU" dataDxfId="1956">
      <calculatedColumnFormula>VLOOKUP(Dashboard_Ctr_Ctr[[#This Row],[Chương trình]],_xlfn.ANCHORARRAY($BH$25):_xlfn.ANCHORARRAY($CD$25),23,0)</calculatedColumnFormula>
    </tableColumn>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CB9D148-4698-4385-8DD3-482072853730}" name="Dashboard_Ctr_Khach" displayName="Dashboard_Ctr_Khach" ref="AY5:BA12" totalsRowShown="0" headerRowDxfId="1955" dataDxfId="1954">
  <autoFilter ref="AY5:BA12" xr:uid="{1CB9D148-4698-4385-8DD3-482072853730}"/>
  <tableColumns count="3">
    <tableColumn id="1" xr3:uid="{8E48EF81-9B6D-46D3-8B0F-1DE07507681F}" name="Khách" dataDxfId="1953"/>
    <tableColumn id="2" xr3:uid="{9C6E774F-1A80-48EE-A0C0-232764C66C1C}" name="Giá trị" dataDxfId="1952">
      <calculatedColumnFormula array="1">IFERROR(
SUM(_xlfn._xlws.FILTER(Pivot_Ctr_DthuDon,
(Pivot_Ctr_CtrDon=$Z$3)*
(Pivot_Ctr_Khach=Dashboard_Ctr_Khach[[#This Row],[Khách]])
)),0)
+IFERROR(
SUM(_xlfn._xlws.FILTER(Pivot_Ctr_DthuSKU,
(Pivot_Ctr_CtrSKU=$Z$3)*
(Pivot_Ctr_Khach=Dashboard_Ctr_Khach[[#This Row],[Khách]])
)),0)</calculatedColumnFormula>
    </tableColumn>
    <tableColumn id="3" xr3:uid="{8E805324-260A-4A7B-957F-92BC48F413B9}" name="Tỷ trọng" dataDxfId="1951">
      <calculatedColumnFormula>Dashboard_Ctr_Khach[[#This Row],[Giá trị]]/SUM(Dashboard_Ctr_Khach[Giá trị])</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16F12A0E-ED7C-459C-BC66-ED2465A5F374}" name="Dashboard_Ctr_SKU" displayName="Dashboard_Ctr_SKU" ref="BD5:BF8" totalsRowShown="0" headerRowDxfId="1950" dataDxfId="1949">
  <autoFilter ref="BD5:BF8" xr:uid="{16F12A0E-ED7C-459C-BC66-ED2465A5F374}"/>
  <tableColumns count="3">
    <tableColumn id="1" xr3:uid="{DCD71675-FF16-40CF-B500-B8E70688B072}" name="SKU" dataDxfId="1948"/>
    <tableColumn id="2" xr3:uid="{A12AE408-6E8B-4FC4-84DC-1DA1A9C8DD90}" name="Giá trị" dataDxfId="1947">
      <calculatedColumnFormula array="1">IFERROR(
SUM(_xlfn._xlws.FILTER(Pivot_Ctr_DthuSKU,
(Pivot_Ctr_CtrDon=$Z$3)*
(Pivot_Ctr_SKU=Dashboard_Ctr_SKU[[#This Row],[SKU]])
)),0)
+IFERROR(
SUM(_xlfn._xlws.FILTER(Pivot_Ctr_DthuSKU,
(Pivot_Ctr_CtrSKU=$Z$3)*
(Pivot_Ctr_SKU=Dashboard_Ctr_SKU[[#This Row],[SKU]])
)),0)</calculatedColumnFormula>
    </tableColumn>
    <tableColumn id="3" xr3:uid="{53C96683-E090-4373-B803-10A826384ED2}" name="Tỷ trọng" dataDxfId="1946">
      <calculatedColumnFormula>Dashboard_Ctr_SKU[[#This Row],[Giá trị]]/SUM(Dashboard_Ctr_SKU[Giá trị])</calculatedColumnFormula>
    </tableColumn>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P46" totalsRowShown="0" headerRowDxfId="1885" dataDxfId="1884">
  <autoFilter ref="B6:P46" xr:uid="{822B9D44-8197-4B45-BA58-5B50DB6A72B5}"/>
  <tableColumns count="15">
    <tableColumn id="1" xr3:uid="{656412B0-12BB-4819-9C73-49C79DEB4E6A}" name="Gtri" dataDxfId="1883"/>
    <tableColumn id="4" xr3:uid="{09162BA7-3630-4B4C-95DE-4A93C54903A8}" name="Năm" dataDxfId="1882"/>
    <tableColumn id="2" xr3:uid="{FB83258E-0BE8-455A-9DCB-4F9C3FA390D0}" name="Tháng 1" dataDxfId="1881"/>
    <tableColumn id="3" xr3:uid="{641B1B86-10DE-4F0C-A502-11DEA59DF958}" name="Tháng 2" dataDxfId="1880"/>
    <tableColumn id="5" xr3:uid="{754DA001-F6FD-443E-A174-CD7E0B1F5D17}" name="Tháng 3" dataDxfId="1879"/>
    <tableColumn id="6" xr3:uid="{6FA9767F-3C52-4564-9992-686AC7EBEB3E}" name="Tháng 4" dataDxfId="1878"/>
    <tableColumn id="7" xr3:uid="{F6BD0B78-CBC0-4377-A58A-555958C799E1}" name="Tháng 5" dataDxfId="1877"/>
    <tableColumn id="8" xr3:uid="{75E88C8C-617B-475C-B72F-31798F0DD844}" name="Tháng 6" dataDxfId="1876"/>
    <tableColumn id="9" xr3:uid="{20F2A264-1A70-4F0C-8BB9-D0162B0123E8}" name="Tháng 7" dataDxfId="1875"/>
    <tableColumn id="10" xr3:uid="{9E5110B6-B694-4D70-8064-B95CECFFF716}" name="Tháng 8" dataDxfId="1874"/>
    <tableColumn id="11" xr3:uid="{B3CA4AC5-536E-4D62-A03D-6901B8958F54}" name="Tháng 9" dataDxfId="1873"/>
    <tableColumn id="12" xr3:uid="{51C600F4-235F-4505-A24C-F4DF37840B37}" name="Tháng 10" dataDxfId="1872"/>
    <tableColumn id="13" xr3:uid="{2DFC94EE-8346-42BC-ADC0-510190C07656}" name="Tháng 11" dataDxfId="1871"/>
    <tableColumn id="14" xr3:uid="{28C613C3-C209-4F7A-82BF-B2F301134772}" name="Tháng 12" dataDxfId="1870"/>
    <tableColumn id="15" xr3:uid="{C1064C40-D3C2-4250-A7A0-F40BA9B57993}" name="Add" dataDxfId="1869"/>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3:P55" totalsRowCount="1" headerRowDxfId="1868" dataDxfId="1867" totalsRowDxfId="1866">
  <autoFilter ref="B53:P54" xr:uid="{D31941DA-BE1B-4021-9B31-FDF3E083BB86}"/>
  <tableColumns count="15">
    <tableColumn id="1" xr3:uid="{82FAE5A8-DBFB-4E79-822D-469B63D66705}" name="Kế hoạch sản lượng" totalsRowLabel="Tổng" dataDxfId="1865" totalsRowDxfId="1864"/>
    <tableColumn id="4" xr3:uid="{6B311055-99D3-4F69-B4DB-48A1AB894484}" name="Tham chiếu" totalsRowFunction="custom" dataDxfId="1863" totalsRowDxfId="1862" dataCellStyle="Comma" totalsRowCellStyle="Comma">
      <calculatedColumnFormula array="1" xml:space="preserve">
(+IFERROR(SUM(
_xlfn._xlws.FILTER(Table_Main[Số lượng],
(Table_Main[Mã SKU] = $B54) *
NOT(ISBLANK(Table_Main[Đơn bán]))*
(Table_Main[Loại] = "Xuất")*
(Table_Main[Ngày lên đơn] &gt;= BCQT_BatDau)*
(Table_Main[Ngày lên đơn] &lt; BCQT_KetThuc)
)),0)
-IFERROR(SUM(
_xlfn._xlws.FILTER(Table_Main[Số lượng],
(Table_Main[Mã SKU] = $B54) *
NOT(ISBLANK(Table_Main[Đơn bán]))*
(Table_Main[Loại] = "Nhập")*
(Table_Main[Ngày lên đơn] &gt;= BCQT_BatDau)*
(Table_Main[Ngày lên đơn] &lt; BCQT_KetThuc)
)),0)) /
ROUND((BCQT_KetThuc-BCQT_BatDau)/(365.25/12),0)</calculatedColumnFormula>
      <totalsRowFormula>SUM(Table_KeHoach_SanLuong[Tham chiếu])</totalsRowFormula>
    </tableColumn>
    <tableColumn id="29" xr3:uid="{C9D35E4E-90E4-4E68-AA1B-3453F8A03048}" name="Tháng 1" totalsRowFunction="custom" dataDxfId="1861" totalsRowDxfId="1860" dataCellStyle="Comma" totalsRowCellStyle="Comma">
      <totalsRowFormula>SUM(Table_KeHoach_SanLuong[Tháng 1])</totalsRowFormula>
    </tableColumn>
    <tableColumn id="30" xr3:uid="{70694902-0D86-4550-8978-6631221B1110}" name="Tháng 2" totalsRowFunction="custom" dataDxfId="1859" totalsRowDxfId="1858" dataCellStyle="Comma" totalsRowCellStyle="Comma">
      <totalsRowFormula>SUM(Table_KeHoach_SanLuong[Tháng 2])</totalsRowFormula>
    </tableColumn>
    <tableColumn id="31" xr3:uid="{C1E724A7-9693-46FC-8A7A-304F00161DBE}" name="Tháng 3" totalsRowFunction="custom" dataDxfId="1857" totalsRowDxfId="1856" dataCellStyle="Comma" totalsRowCellStyle="Comma">
      <totalsRowFormula>SUM(Table_KeHoach_SanLuong[Tháng 3])</totalsRowFormula>
    </tableColumn>
    <tableColumn id="32" xr3:uid="{7221CCF4-72B1-44F8-BEEB-AAD846AA595F}" name="Tháng 4" totalsRowFunction="custom" dataDxfId="1855" totalsRowDxfId="1854" dataCellStyle="Comma" totalsRowCellStyle="Comma">
      <totalsRowFormula>SUM(Table_KeHoach_SanLuong[Tháng 4])</totalsRowFormula>
    </tableColumn>
    <tableColumn id="33" xr3:uid="{0E67CAE7-0D32-49F3-BD50-A158C644B1BD}" name="Tháng 5" totalsRowFunction="custom" dataDxfId="1853" totalsRowDxfId="1852" dataCellStyle="Comma" totalsRowCellStyle="Comma">
      <totalsRowFormula>SUM(Table_KeHoach_SanLuong[Tháng 5])</totalsRowFormula>
    </tableColumn>
    <tableColumn id="34" xr3:uid="{1918CD14-C8BB-4831-A685-D18D5461986C}" name="Tháng 6" totalsRowFunction="custom" dataDxfId="1851" totalsRowDxfId="1850" dataCellStyle="Comma" totalsRowCellStyle="Comma">
      <totalsRowFormula>SUM(Table_KeHoach_SanLuong[Tháng 6])</totalsRowFormula>
    </tableColumn>
    <tableColumn id="35" xr3:uid="{15CFC91E-B8B9-42A1-8A2B-87E661BF4084}" name="Tháng 7" totalsRowFunction="custom" dataDxfId="1849" totalsRowDxfId="1848" dataCellStyle="Comma" totalsRowCellStyle="Comma">
      <totalsRowFormula>SUM(Table_KeHoach_SanLuong[Tháng 7])</totalsRowFormula>
    </tableColumn>
    <tableColumn id="36" xr3:uid="{DEAE018A-5B97-4FF8-B5C6-524BBD8A8553}" name="Tháng 8" totalsRowFunction="custom" dataDxfId="1847" totalsRowDxfId="1846" dataCellStyle="Comma" totalsRowCellStyle="Comma">
      <totalsRowFormula>SUM(Table_KeHoach_SanLuong[Tháng 8])</totalsRowFormula>
    </tableColumn>
    <tableColumn id="37" xr3:uid="{69090A1D-A073-4FD8-889C-ADBE6A9D7DB8}" name="Tháng 9" totalsRowFunction="custom" dataDxfId="1845" totalsRowDxfId="1844" dataCellStyle="Comma" totalsRowCellStyle="Comma">
      <totalsRowFormula>SUM(Table_KeHoach_SanLuong[Tháng 9])</totalsRowFormula>
    </tableColumn>
    <tableColumn id="38" xr3:uid="{11A81D84-C3DD-47F7-AF28-E389CC9FF3CB}" name="Tháng 10" totalsRowFunction="custom" dataDxfId="1843" totalsRowDxfId="1842" dataCellStyle="Comma" totalsRowCellStyle="Comma">
      <totalsRowFormula>SUM(Table_KeHoach_SanLuong[Tháng 10])</totalsRowFormula>
    </tableColumn>
    <tableColumn id="39" xr3:uid="{14A6A2F5-5E15-4169-86A9-3229B946B250}" name="Tháng 11" totalsRowFunction="custom" dataDxfId="1841" totalsRowDxfId="1840" dataCellStyle="Comma" totalsRowCellStyle="Comma">
      <totalsRowFormula>SUM(Table_KeHoach_SanLuong[Tháng 11])</totalsRowFormula>
    </tableColumn>
    <tableColumn id="40" xr3:uid="{7C1CB8B1-00D4-4FA9-A290-F043A0FA9307}" name="Tháng 12" totalsRowFunction="custom" dataDxfId="1839" totalsRowDxfId="1838" dataCellStyle="Comma" totalsRowCellStyle="Comma">
      <totalsRowFormula>SUM(Table_KeHoach_SanLuong[Tháng 12])</totalsRowFormula>
    </tableColumn>
    <tableColumn id="3" xr3:uid="{A6D0263F-3084-4FE7-A127-4BA9D805D4D7}" name="Add" dataDxfId="1837" totalsRowDxfId="1836" dataCellStyle="Comma" totalsRowCellStyle="Comma"/>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8:P59" totalsRowShown="0" headerRowDxfId="1835" dataDxfId="1834">
  <autoFilter ref="B58:P59" xr:uid="{8A426214-1C38-4C4E-9C2C-D253B8886748}"/>
  <tableColumns count="15">
    <tableColumn id="1" xr3:uid="{EBDC21DB-0978-43FF-8F49-EB0A63ACFFC6}" name="Kế hoạch giá niêm yết thành phẩm" dataDxfId="1833" totalsRowDxfId="1832"/>
    <tableColumn id="3" xr3:uid="{425153B2-5062-4C16-A6F6-F47683DA3B49}" name="Tham chiếu" dataDxfId="1831" totalsRowDxfId="1830" dataCellStyle="Comma">
      <calculatedColumnFormula array="1">+IFERROR(
SUM(
_xlfn._xlws.FILTER(Table_Main[Thành tiền niêm yết],
(Table_Main[Mã SKU] = $B59) *
NOT(ISBLANK(Table_Main[Đơn bán]))*
(Table_Main[Loại] = "Xuất")*
(Table_Main[Ngày lên đơn] &gt;= BCQT_BatDau)*
(Table_Main[Ngày lên đơn] &lt; BCQT_KetThuc)
)) /
SUM(
_xlfn._xlws.FILTER(Table_Main[Số lượng],
(Table_Main[Mã SKU] = $B59) *
NOT(ISBLANK(Table_Main[Đơn bán]))*
(Table_Main[Loại] = "Xuất")*
(Table_Main[Ngày lên đơn] &gt;= BCQT_BatDau)*
(Table_Main[Ngày lên đơn] &lt; BCQT_KetThuc)
)),0)</calculatedColumnFormula>
    </tableColumn>
    <tableColumn id="29" xr3:uid="{669CACBE-1D77-46AC-A978-B8FF66B671BB}" name="Tháng 1" dataDxfId="1829" totalsRowDxfId="1828" dataCellStyle="Comma"/>
    <tableColumn id="30" xr3:uid="{CF8A322E-866F-494C-966A-830B3ADA2CD2}" name="Tháng 2" dataDxfId="1827" totalsRowDxfId="1826" dataCellStyle="Comma"/>
    <tableColumn id="31" xr3:uid="{6B66BA70-F0F0-4B4E-87CF-79B7E1D3B29C}" name="Tháng 3" dataDxfId="1825" totalsRowDxfId="1824" dataCellStyle="Comma"/>
    <tableColumn id="32" xr3:uid="{5B3CE899-C52C-4E1C-A688-5D6030E82F01}" name="Tháng 4" dataDxfId="1823" totalsRowDxfId="1822" dataCellStyle="Comma"/>
    <tableColumn id="33" xr3:uid="{C034F888-AFFA-4740-B3BA-F4654FB405CF}" name="Tháng 5" dataDxfId="1821" totalsRowDxfId="1820" dataCellStyle="Comma"/>
    <tableColumn id="34" xr3:uid="{07693A9D-90BE-477A-BB72-83DE0C3434DF}" name="Tháng 6" dataDxfId="1819" totalsRowDxfId="1818" dataCellStyle="Comma"/>
    <tableColumn id="35" xr3:uid="{B0AE6993-599A-4E49-BDB1-73ABDD7A437B}" name="Tháng 7" dataDxfId="1817" totalsRowDxfId="1816" dataCellStyle="Comma"/>
    <tableColumn id="36" xr3:uid="{D49868AC-F67A-41A1-A3C9-45781D2C20F8}" name="Tháng 8" dataDxfId="1815" totalsRowDxfId="1814" dataCellStyle="Comma"/>
    <tableColumn id="37" xr3:uid="{468EF536-F826-42F5-9301-BAFFFD24E104}" name="Tháng 9" dataDxfId="1813" totalsRowDxfId="1812" dataCellStyle="Comma"/>
    <tableColumn id="38" xr3:uid="{70CE9CF4-C007-4692-8311-0BC64B9F3395}" name="Tháng 10" dataDxfId="1811" totalsRowDxfId="1810" dataCellStyle="Comma"/>
    <tableColumn id="39" xr3:uid="{04E84556-5D4C-4DA4-B749-C98FB45C0BAF}" name="Tháng 11" dataDxfId="1809" totalsRowDxfId="1808" dataCellStyle="Comma"/>
    <tableColumn id="40" xr3:uid="{68F1F4EB-3B1D-42A1-AC0E-1DCF48610F1E}" name="Tháng 12" dataDxfId="1807" totalsRowDxfId="1806" dataCellStyle="Comma"/>
    <tableColumn id="4" xr3:uid="{0E570896-0519-4F88-8B9B-744525FF3C16}" name="Add" dataDxfId="1805" totalsRowDxfId="1804" dataCellStyle="Comma"/>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62:P64" totalsRowCount="1" headerRowDxfId="1803" dataDxfId="1802" totalsRowDxfId="1801">
  <autoFilter ref="B62:P63" xr:uid="{711209EA-EEC6-4FC4-BAC5-C6E63F6E3A21}"/>
  <tableColumns count="15">
    <tableColumn id="1" xr3:uid="{F22794FE-2FF3-4CE4-82EB-81614189B352}" name="Kế hoạch doanh thu gộp" totalsRowLabel="Tổng" dataDxfId="1800" totalsRowDxfId="1799"/>
    <tableColumn id="3" xr3:uid="{76F75EB8-7687-48A4-A860-C3AABF1EACB2}" name="Tham chiếu" totalsRowFunction="custom" dataDxfId="1798" totalsRowDxfId="1797" dataCellStyle="Comma" totalsRowCellStyle="Comma">
      <calculatedColumnFormula array="1" xml:space="preserve">
(+IFERROR(SUM(
_xlfn._xlws.FILTER(Table_Main[Giá trị bán trước VAT],
(Table_Main[Mã SKU] = $B63) *
NOT(ISBLANK(Table_Main[Đơn bán]))*
(Table_Main[Loại] = "Xuất")*
(Table_Main[Ngày lên đơn] &gt;= BCQT_BatDau)*
(Table_Main[Ngày lên đơn] &lt; BCQT_KetThuc)
)),0)
-IFERROR(SUM(
_xlfn._xlws.FILTER(Table_Main[Giá trị bán trước VAT],
(Table_Main[Mã SKU] = $B63) *
NOT(ISBLANK(Table_Main[Đơn bán]))*
(Table_Main[Loại] = "Nhập")*
(Table_Main[Ngày lên đơn] &gt;= BCQT_BatDau)*
(Table_Main[Ngày lên đơn] &lt; BCQT_KetThuc)
)),0)) /
ROUND((BCQT_KetThuc-BCQT_BatDau)/(365.25/12),0)</calculatedColumnFormula>
      <totalsRowFormula>SUM(Table_KeHoach_DoanhThu[Tham chiếu])</totalsRowFormula>
    </tableColumn>
    <tableColumn id="29" xr3:uid="{50184772-8DC7-4AF1-AAC3-18E289C04F3E}" name="Tháng 1" totalsRowFunction="custom" dataDxfId="1796" totalsRowDxfId="1795" dataCellStyle="Comma" totalsRowCellStyle="Comma">
      <calculatedColumnFormula xml:space="preserve">
INDEX(Table_KeHoach_SanLuong[[#Headers],[#Data]],
MATCH(Table_KeHoach_DoanhThu[[#This Row],[Kế hoạch doanh thu gộp]],Table_KeHoach_SanLuong[[#Headers],[#Data],[Kế hoạch sản lượng]],0),
MATCH(D$53,Table_KeHoach_SanLuong[#Headers],0)) *
INDEX(Table_KeHoach_Gia[#All],
MATCH(Table_KeHoach_DoanhThu[[#This Row],[Kế hoạch doanh thu gộp]],Table_KeHoach_Gia[[#All],[Kế hoạch giá niêm yết thành phẩm]],0),
MATCH(D$62,Table_KeHoach_Gia[#Headers],0))</calculatedColumnFormula>
      <totalsRowFormula>SUM(Table_KeHoach_DoanhThu[Tháng 1])</totalsRowFormula>
    </tableColumn>
    <tableColumn id="30" xr3:uid="{7A212235-4EA0-4179-B870-D606FE76B216}" name="Tháng 2" totalsRowFunction="custom" dataDxfId="1794" totalsRowDxfId="1793" dataCellStyle="Comma" totalsRowCellStyle="Comma">
      <calculatedColumnFormula xml:space="preserve">
INDEX(Table_KeHoach_SanLuong[[#Headers],[#Data]],
MATCH(Table_KeHoach_DoanhThu[[#This Row],[Kế hoạch doanh thu gộp]],Table_KeHoach_SanLuong[[#Headers],[#Data],[Kế hoạch sản lượng]],0),
MATCH(E$53,Table_KeHoach_SanLuong[#Headers],0)) *
INDEX(Table_KeHoach_Gia[#All],
MATCH(Table_KeHoach_DoanhThu[[#This Row],[Kế hoạch doanh thu gộp]],Table_KeHoach_Gia[[#All],[Kế hoạch giá niêm yết thành phẩm]],0),
MATCH(E$62,Table_KeHoach_Gia[#Headers],0))</calculatedColumnFormula>
      <totalsRowFormula>SUM(Table_KeHoach_DoanhThu[Tháng 2])</totalsRowFormula>
    </tableColumn>
    <tableColumn id="31" xr3:uid="{D9825A39-9B19-4658-8560-DDDD891E0205}" name="Tháng 3" totalsRowFunction="custom" dataDxfId="1792" totalsRowDxfId="1791" dataCellStyle="Comma" totalsRowCellStyle="Comma">
      <calculatedColumnFormula xml:space="preserve">
INDEX(Table_KeHoach_SanLuong[[#Headers],[#Data]],
MATCH(Table_KeHoach_DoanhThu[[#This Row],[Kế hoạch doanh thu gộp]],Table_KeHoach_SanLuong[[#Headers],[#Data],[Kế hoạch sản lượng]],0),
MATCH(F$53,Table_KeHoach_SanLuong[#Headers],0)) *
INDEX(Table_KeHoach_Gia[#All],
MATCH(Table_KeHoach_DoanhThu[[#This Row],[Kế hoạch doanh thu gộp]],Table_KeHoach_Gia[[#All],[Kế hoạch giá niêm yết thành phẩm]],0),
MATCH(F$62,Table_KeHoach_Gia[#Headers],0))</calculatedColumnFormula>
      <totalsRowFormula>SUM(Table_KeHoach_DoanhThu[Tháng 3])</totalsRowFormula>
    </tableColumn>
    <tableColumn id="32" xr3:uid="{CF1D56F3-AD70-4276-BB0C-AD1DB6B57C66}" name="Tháng 4" totalsRowFunction="custom" dataDxfId="1790" totalsRowDxfId="1789" dataCellStyle="Comma" totalsRowCellStyle="Comma">
      <calculatedColumnFormula xml:space="preserve">
INDEX(Table_KeHoach_SanLuong[[#Headers],[#Data]],
MATCH(Table_KeHoach_DoanhThu[[#This Row],[Kế hoạch doanh thu gộp]],Table_KeHoach_SanLuong[[#Headers],[#Data],[Kế hoạch sản lượng]],0),
MATCH(G$53,Table_KeHoach_SanLuong[#Headers],0)) *
INDEX(Table_KeHoach_Gia[#All],
MATCH(Table_KeHoach_DoanhThu[[#This Row],[Kế hoạch doanh thu gộp]],Table_KeHoach_Gia[[#All],[Kế hoạch giá niêm yết thành phẩm]],0),
MATCH(G$62,Table_KeHoach_Gia[#Headers],0))</calculatedColumnFormula>
      <totalsRowFormula>SUM(Table_KeHoach_DoanhThu[Tháng 4])</totalsRowFormula>
    </tableColumn>
    <tableColumn id="33" xr3:uid="{00880281-B1E6-4212-96C1-4D19F388A28B}" name="Tháng 5" totalsRowFunction="custom" dataDxfId="1788" totalsRowDxfId="1787" dataCellStyle="Comma" totalsRowCellStyle="Comma">
      <calculatedColumnFormula xml:space="preserve">
INDEX(Table_KeHoach_SanLuong[[#Headers],[#Data]],
MATCH(Table_KeHoach_DoanhThu[[#This Row],[Kế hoạch doanh thu gộp]],Table_KeHoach_SanLuong[[#Headers],[#Data],[Kế hoạch sản lượng]],0),
MATCH(H$53,Table_KeHoach_SanLuong[#Headers],0)) *
INDEX(Table_KeHoach_Gia[#All],
MATCH(Table_KeHoach_DoanhThu[[#This Row],[Kế hoạch doanh thu gộp]],Table_KeHoach_Gia[[#All],[Kế hoạch giá niêm yết thành phẩm]],0),
MATCH(H$62,Table_KeHoach_Gia[#Headers],0))</calculatedColumnFormula>
      <totalsRowFormula>SUM(Table_KeHoach_DoanhThu[Tháng 5])</totalsRowFormula>
    </tableColumn>
    <tableColumn id="34" xr3:uid="{0C65B697-F7AA-4DE3-ADAE-0ADCA8351B2F}" name="Tháng 6" totalsRowFunction="custom" dataDxfId="1786" totalsRowDxfId="1785" dataCellStyle="Comma" totalsRowCellStyle="Comma">
      <calculatedColumnFormula xml:space="preserve">
INDEX(Table_KeHoach_SanLuong[[#Headers],[#Data]],
MATCH(Table_KeHoach_DoanhThu[[#This Row],[Kế hoạch doanh thu gộp]],Table_KeHoach_SanLuong[[#Headers],[#Data],[Kế hoạch sản lượng]],0),
MATCH(I$53,Table_KeHoach_SanLuong[#Headers],0)) *
INDEX(Table_KeHoach_Gia[#All],
MATCH(Table_KeHoach_DoanhThu[[#This Row],[Kế hoạch doanh thu gộp]],Table_KeHoach_Gia[[#All],[Kế hoạch giá niêm yết thành phẩm]],0),
MATCH(I$62,Table_KeHoach_Gia[#Headers],0))</calculatedColumnFormula>
      <totalsRowFormula>SUM(Table_KeHoach_DoanhThu[Tháng 6])</totalsRowFormula>
    </tableColumn>
    <tableColumn id="35" xr3:uid="{FD5FC443-FABD-40AE-A1B2-AF43E5583B4A}" name="Tháng 7" totalsRowFunction="custom" dataDxfId="1784" totalsRowDxfId="1783" dataCellStyle="Comma" totalsRowCellStyle="Comma">
      <calculatedColumnFormula xml:space="preserve">
INDEX(Table_KeHoach_SanLuong[[#Headers],[#Data]],
MATCH(Table_KeHoach_DoanhThu[[#This Row],[Kế hoạch doanh thu gộp]],Table_KeHoach_SanLuong[[#Headers],[#Data],[Kế hoạch sản lượng]],0),
MATCH(J$53,Table_KeHoach_SanLuong[#Headers],0)) *
INDEX(Table_KeHoach_Gia[#All],
MATCH(Table_KeHoach_DoanhThu[[#This Row],[Kế hoạch doanh thu gộp]],Table_KeHoach_Gia[[#All],[Kế hoạch giá niêm yết thành phẩm]],0),
MATCH(J$62,Table_KeHoach_Gia[#Headers],0))</calculatedColumnFormula>
      <totalsRowFormula>SUM(Table_KeHoach_DoanhThu[Tháng 7])</totalsRowFormula>
    </tableColumn>
    <tableColumn id="36" xr3:uid="{F5D51FF9-EFB8-4B10-BD35-9DFB587A52C7}" name="Tháng 8" totalsRowFunction="custom" dataDxfId="1782" totalsRowDxfId="1781" dataCellStyle="Comma" totalsRowCellStyle="Comma">
      <calculatedColumnFormula xml:space="preserve">
INDEX(Table_KeHoach_SanLuong[[#Headers],[#Data]],
MATCH(Table_KeHoach_DoanhThu[[#This Row],[Kế hoạch doanh thu gộp]],Table_KeHoach_SanLuong[[#Headers],[#Data],[Kế hoạch sản lượng]],0),
MATCH(K$53,Table_KeHoach_SanLuong[#Headers],0)) *
INDEX(Table_KeHoach_Gia[#All],
MATCH(Table_KeHoach_DoanhThu[[#This Row],[Kế hoạch doanh thu gộp]],Table_KeHoach_Gia[[#All],[Kế hoạch giá niêm yết thành phẩm]],0),
MATCH(K$62,Table_KeHoach_Gia[#Headers],0))</calculatedColumnFormula>
      <totalsRowFormula>SUM(Table_KeHoach_DoanhThu[Tháng 8])</totalsRowFormula>
    </tableColumn>
    <tableColumn id="37" xr3:uid="{C6C15622-E8E9-487A-959D-8C220B56DE76}" name="Tháng 9" totalsRowFunction="custom" dataDxfId="1780" totalsRowDxfId="1779" dataCellStyle="Comma" totalsRowCellStyle="Comma">
      <calculatedColumnFormula xml:space="preserve">
INDEX(Table_KeHoach_SanLuong[[#Headers],[#Data]],
MATCH(Table_KeHoach_DoanhThu[[#This Row],[Kế hoạch doanh thu gộp]],Table_KeHoach_SanLuong[[#Headers],[#Data],[Kế hoạch sản lượng]],0),
MATCH(L$53,Table_KeHoach_SanLuong[#Headers],0)) *
INDEX(Table_KeHoach_Gia[#All],
MATCH(Table_KeHoach_DoanhThu[[#This Row],[Kế hoạch doanh thu gộp]],Table_KeHoach_Gia[[#All],[Kế hoạch giá niêm yết thành phẩm]],0),
MATCH(L$62,Table_KeHoach_Gia[#Headers],0))</calculatedColumnFormula>
      <totalsRowFormula>SUM(Table_KeHoach_DoanhThu[Tháng 9])</totalsRowFormula>
    </tableColumn>
    <tableColumn id="38" xr3:uid="{7BFC1C3B-6EF3-4CF7-A300-C11AEEBB0E1A}" name="Tháng 10" totalsRowFunction="custom" dataDxfId="1778" totalsRowDxfId="1777" dataCellStyle="Comma" totalsRowCellStyle="Comma">
      <calculatedColumnFormula xml:space="preserve">
INDEX(Table_KeHoach_SanLuong[[#Headers],[#Data]],
MATCH(Table_KeHoach_DoanhThu[[#This Row],[Kế hoạch doanh thu gộp]],Table_KeHoach_SanLuong[[#Headers],[#Data],[Kế hoạch sản lượng]],0),
MATCH(M$53,Table_KeHoach_SanLuong[#Headers],0)) *
INDEX(Table_KeHoach_Gia[#All],
MATCH(Table_KeHoach_DoanhThu[[#This Row],[Kế hoạch doanh thu gộp]],Table_KeHoach_Gia[[#All],[Kế hoạch giá niêm yết thành phẩm]],0),
MATCH(M$62,Table_KeHoach_Gia[#Headers],0))</calculatedColumnFormula>
      <totalsRowFormula>SUM(Table_KeHoach_DoanhThu[Tháng 10])</totalsRowFormula>
    </tableColumn>
    <tableColumn id="39" xr3:uid="{4D0CAB13-02F5-4D43-93DB-79792960CDFB}" name="Tháng 11" totalsRowFunction="custom" dataDxfId="1776" totalsRowDxfId="1775" dataCellStyle="Comma" totalsRowCellStyle="Comma">
      <calculatedColumnFormula xml:space="preserve">
INDEX(Table_KeHoach_SanLuong[[#Headers],[#Data]],
MATCH(Table_KeHoach_DoanhThu[[#This Row],[Kế hoạch doanh thu gộp]],Table_KeHoach_SanLuong[[#Headers],[#Data],[Kế hoạch sản lượng]],0),
MATCH(N$53,Table_KeHoach_SanLuong[#Headers],0)) *
INDEX(Table_KeHoach_Gia[#All],
MATCH(Table_KeHoach_DoanhThu[[#This Row],[Kế hoạch doanh thu gộp]],Table_KeHoach_Gia[[#All],[Kế hoạch giá niêm yết thành phẩm]],0),
MATCH(N$62,Table_KeHoach_Gia[#Headers],0))</calculatedColumnFormula>
      <totalsRowFormula>SUM(Table_KeHoach_DoanhThu[Tháng 11])</totalsRowFormula>
    </tableColumn>
    <tableColumn id="40" xr3:uid="{784CDCAA-C9FB-447F-AAED-DD0A17FEAB77}" name="Tháng 12" totalsRowFunction="custom" dataDxfId="1774" totalsRowDxfId="1773" dataCellStyle="Comma" totalsRowCellStyle="Comma">
      <calculatedColumnFormula xml:space="preserve">
INDEX(Table_KeHoach_SanLuong[[#Headers],[#Data]],
MATCH(Table_KeHoach_DoanhThu[[#This Row],[Kế hoạch doanh thu gộp]],Table_KeHoach_SanLuong[[#Headers],[#Data],[Kế hoạch sản lượng]],0),
MATCH(O$53,Table_KeHoach_SanLuong[#Headers],0)) *
INDEX(Table_KeHoach_Gia[#All],
MATCH(Table_KeHoach_DoanhThu[[#This Row],[Kế hoạch doanh thu gộp]],Table_KeHoach_Gia[[#All],[Kế hoạch giá niêm yết thành phẩm]],0),
MATCH(O$62,Table_KeHoach_Gia[#Headers],0))</calculatedColumnFormula>
      <totalsRowFormula>SUM(Table_KeHoach_DoanhThu[Tháng 12])</totalsRowFormula>
    </tableColumn>
    <tableColumn id="4" xr3:uid="{AB7BA7A5-13D5-45DF-9B90-D3674E94410E}" name="Add" dataDxfId="1772" totalsRowDxfId="1771" dataCellStyle="Comma" totalsRow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72:P73" totalsRowShown="0" headerRowDxfId="1770" dataDxfId="1769">
  <autoFilter ref="B72:P73" xr:uid="{50D75140-F33D-450B-ACC0-7F92B177C57D}"/>
  <tableColumns count="15">
    <tableColumn id="1" xr3:uid="{C9B9741A-9357-40AD-8883-2D1E650453F5}" name="Kế hoạch giá nhập hàng hóa" dataDxfId="1768" totalsRowDxfId="1767"/>
    <tableColumn id="3" xr3:uid="{28B2834A-7CE4-43D5-ACA9-8317F7A289D2}" name="Tham chiếu" dataDxfId="1766" totalsRowDxfId="1765" dataCellStyle="Comma">
      <calculatedColumnFormula array="1">+IFERROR(
AVERAGE(
_xlfn._xlws.FILTER(Table_Main[Giá trị hàng nhập],
(Table_Main[Mã SKU] = $B73) *
(Table_Main[Ngày lên đơn] &gt;= BCQT_BatDau)*
(Table_Main[Ngày lên đơn] &lt; BCQT_KetThuc)
)) /
AVERAGE(
_xlfn._xlws.FILTER(Table_Main[Số lượng],
(Table_Main[Mã SKU] = $B73) *
(Table_Main[Ngày lên đơn] &gt;= BCQT_BatDau)*
(Table_Main[Ngày lên đơn] &lt; BCQT_KetThuc)
)),0)</calculatedColumnFormula>
    </tableColumn>
    <tableColumn id="29" xr3:uid="{019E5F1B-DE2D-464D-8063-064C5116CFCC}" name="Tháng 1" dataDxfId="1764" totalsRowDxfId="1763" dataCellStyle="Comma"/>
    <tableColumn id="30" xr3:uid="{90AFC99B-1620-4C46-BD12-553A1C3FFDD8}" name="Tháng 2" dataDxfId="1762" totalsRowDxfId="1761" dataCellStyle="Comma"/>
    <tableColumn id="31" xr3:uid="{FBF2D68D-F4EB-4171-BD9D-E76539DF938C}" name="Tháng 3" dataDxfId="1760" totalsRowDxfId="1759" dataCellStyle="Comma"/>
    <tableColumn id="32" xr3:uid="{F41B1887-7A08-4DC9-BDE9-E43ABE4AE1BE}" name="Tháng 4" dataDxfId="1758" totalsRowDxfId="1757" dataCellStyle="Comma"/>
    <tableColumn id="33" xr3:uid="{D369E62A-3CDD-4B01-A431-C39C2CBE1293}" name="Tháng 5" dataDxfId="1756" totalsRowDxfId="1755" dataCellStyle="Comma"/>
    <tableColumn id="34" xr3:uid="{F0115D72-64F0-4CBC-A8C5-6835DCA86A12}" name="Tháng 6" dataDxfId="1754" totalsRowDxfId="1753" dataCellStyle="Comma"/>
    <tableColumn id="35" xr3:uid="{4AEC4DCF-162D-499F-A186-5800A521A71B}" name="Tháng 7" dataDxfId="1752" totalsRowDxfId="1751" dataCellStyle="Comma"/>
    <tableColumn id="36" xr3:uid="{5A6B4CEF-0269-4C8A-B8D5-9CB34819A8C8}" name="Tháng 8" dataDxfId="1750" totalsRowDxfId="1749" dataCellStyle="Comma"/>
    <tableColumn id="37" xr3:uid="{15EBC225-23BE-414B-B8C6-FF6D2C2DA707}" name="Tháng 9" dataDxfId="1748" totalsRowDxfId="1747" dataCellStyle="Comma"/>
    <tableColumn id="38" xr3:uid="{68785765-EC8D-400C-A53D-C098BAEB2867}" name="Tháng 10" dataDxfId="1746" totalsRowDxfId="1745" dataCellStyle="Comma"/>
    <tableColumn id="39" xr3:uid="{FE6CAAF6-4E91-48E9-BE30-736B71AE2517}" name="Tháng 11" dataDxfId="1744" totalsRowDxfId="1743" dataCellStyle="Comma"/>
    <tableColumn id="40" xr3:uid="{9B1D1B2C-78EE-4936-BA9C-70DE6FAEB0D5}" name="Tháng 12" dataDxfId="1742" totalsRowDxfId="1741" dataCellStyle="Comma"/>
    <tableColumn id="4" xr3:uid="{F6BA2DB9-C7C4-4136-A29C-3988740AF60B}" name="Add" dataDxfId="1740" totalsRowDxfId="1739"/>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6:P78" totalsRowCount="1" headerRowDxfId="1738" dataDxfId="1737" totalsRowDxfId="1736">
  <autoFilter ref="B76:P77" xr:uid="{673B555B-AF75-419C-8864-7B66DF2C2C6F}"/>
  <tableColumns count="15">
    <tableColumn id="1" xr3:uid="{91AE107E-7E90-4FD8-9894-89A53DE58960}" name="Kế hoạch chi phí hàng hóa" totalsRowLabel="Total" dataDxfId="1735" totalsRowDxfId="1734"/>
    <tableColumn id="3" xr3:uid="{89E2E365-2517-477F-B95E-6FD048EFFFF0}" name="Tham chiếu" totalsRowFunction="sum" dataDxfId="1733" totalsRowDxfId="1732" dataCellStyle="Comma" totalsRowCellStyle="Comma">
      <calculatedColumnFormula array="1"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calculatedColumnFormula>
    </tableColumn>
    <tableColumn id="29" xr3:uid="{F85F740B-EE9D-4A38-AED0-D66B55D25ADB}" name="Tháng 1" totalsRowFunction="sum" dataDxfId="1731" totalsRowDxfId="1730" dataCellStyle="Comma" totalsRowCellStyle="Comma">
      <calculatedColumnFormula xml:space="preserve">
-IFERROR(
INDEX(Table_KeHoach_SanLuong[[#Headers],[#Data]],
MATCH(Table_KeHoach_ChiPhiSKU[[#This Row],[Kế hoạch chi phí hàng hóa]],Table_KeHoach_SanLuong[[#Headers],[#Data],[Kế hoạch sản lượng]],0),
MATCH(D$76,Table_KeHoach_SanLuong[#Headers],0)) *
INDEX(Table_KeHoach_GiaNhápKU[#All],
MATCH(Table_KeHoach_ChiPhiSKU[[#This Row],[Kế hoạch chi phí hàng hóa]],Table_KeHoach_GiaNhápKU[[#All],[Kế hoạch giá nhập hàng hóa]],0),
MATCH(D$76, Table_KeHoach_GiaNhápKU[#Headers],0)),0)</calculatedColumnFormula>
    </tableColumn>
    <tableColumn id="30" xr3:uid="{37F68F66-8DC6-4721-995B-A9C565EDC074}" name="Tháng 2" totalsRowFunction="sum" dataDxfId="1729" totalsRowDxfId="1728" dataCellStyle="Comma" totalsRowCellStyle="Comma">
      <calculatedColumnFormula xml:space="preserve">
-IFERROR(
INDEX(Table_KeHoach_SanLuong[[#Headers],[#Data]],
MATCH(Table_KeHoach_ChiPhiSKU[[#This Row],[Kế hoạch chi phí hàng hóa]],Table_KeHoach_SanLuong[[#Headers],[#Data],[Kế hoạch sản lượng]],0),
MATCH(E$76,Table_KeHoach_SanLuong[#Headers],0)) *
INDEX(Table_KeHoach_GiaNhápKU[#All],
MATCH(Table_KeHoach_ChiPhiSKU[[#This Row],[Kế hoạch chi phí hàng hóa]],Table_KeHoach_GiaNhápKU[[#All],[Kế hoạch giá nhập hàng hóa]],0),
MATCH(E$76, Table_KeHoach_GiaNhápKU[#Headers],0)),0)</calculatedColumnFormula>
    </tableColumn>
    <tableColumn id="31" xr3:uid="{2BC7CA73-4BD0-470B-9B0D-9F76DAA6E07C}" name="Tháng 3" totalsRowFunction="sum" dataDxfId="1727" totalsRowDxfId="1726" dataCellStyle="Comma" totalsRowCellStyle="Comma">
      <calculatedColumnFormula xml:space="preserve">
-IFERROR(
INDEX(Table_KeHoach_SanLuong[[#Headers],[#Data]],
MATCH(Table_KeHoach_ChiPhiSKU[[#This Row],[Kế hoạch chi phí hàng hóa]],Table_KeHoach_SanLuong[[#Headers],[#Data],[Kế hoạch sản lượng]],0),
MATCH(F$76,Table_KeHoach_SanLuong[#Headers],0)) *
INDEX(Table_KeHoach_GiaNhápKU[#All],
MATCH(Table_KeHoach_ChiPhiSKU[[#This Row],[Kế hoạch chi phí hàng hóa]],Table_KeHoach_GiaNhápKU[[#All],[Kế hoạch giá nhập hàng hóa]],0),
MATCH(F$76, Table_KeHoach_GiaNhápKU[#Headers],0)),0)</calculatedColumnFormula>
    </tableColumn>
    <tableColumn id="32" xr3:uid="{5644AD1C-3FFA-42FB-9ADE-2E483592E846}" name="Tháng 4" totalsRowFunction="sum" dataDxfId="1725" totalsRowDxfId="1724" dataCellStyle="Comma" totalsRowCellStyle="Comma">
      <calculatedColumnFormula xml:space="preserve">
-IFERROR(
INDEX(Table_KeHoach_SanLuong[[#Headers],[#Data]],
MATCH(Table_KeHoach_ChiPhiSKU[[#This Row],[Kế hoạch chi phí hàng hóa]],Table_KeHoach_SanLuong[[#Headers],[#Data],[Kế hoạch sản lượng]],0),
MATCH(G$76,Table_KeHoach_SanLuong[#Headers],0)) *
INDEX(Table_KeHoach_GiaNhápKU[#All],
MATCH(Table_KeHoach_ChiPhiSKU[[#This Row],[Kế hoạch chi phí hàng hóa]],Table_KeHoach_GiaNhápKU[[#All],[Kế hoạch giá nhập hàng hóa]],0),
MATCH(G$76, Table_KeHoach_GiaNhápKU[#Headers],0)),0)</calculatedColumnFormula>
    </tableColumn>
    <tableColumn id="33" xr3:uid="{2FFF0947-01AC-41E7-ACDF-FAC1A6DA515C}" name="Tháng 5" totalsRowFunction="sum" dataDxfId="1723" totalsRowDxfId="1722" dataCellStyle="Comma" totalsRowCellStyle="Comma">
      <calculatedColumnFormula xml:space="preserve">
-IFERROR(
INDEX(Table_KeHoach_SanLuong[[#Headers],[#Data]],
MATCH(Table_KeHoach_ChiPhiSKU[[#This Row],[Kế hoạch chi phí hàng hóa]],Table_KeHoach_SanLuong[[#Headers],[#Data],[Kế hoạch sản lượng]],0),
MATCH(H$76,Table_KeHoach_SanLuong[#Headers],0)) *
INDEX(Table_KeHoach_GiaNhápKU[#All],
MATCH(Table_KeHoach_ChiPhiSKU[[#This Row],[Kế hoạch chi phí hàng hóa]],Table_KeHoach_GiaNhápKU[[#All],[Kế hoạch giá nhập hàng hóa]],0),
MATCH(H$76, Table_KeHoach_GiaNhápKU[#Headers],0)),0)</calculatedColumnFormula>
    </tableColumn>
    <tableColumn id="34" xr3:uid="{5750EFE5-25E1-499F-A818-F1A750D13220}" name="Tháng 6" totalsRowFunction="sum" dataDxfId="1721" totalsRowDxfId="1720" dataCellStyle="Comma" totalsRowCellStyle="Comma">
      <calculatedColumnFormula xml:space="preserve">
-IFERROR(
INDEX(Table_KeHoach_SanLuong[[#Headers],[#Data]],
MATCH(Table_KeHoach_ChiPhiSKU[[#This Row],[Kế hoạch chi phí hàng hóa]],Table_KeHoach_SanLuong[[#Headers],[#Data],[Kế hoạch sản lượng]],0),
MATCH(I$76,Table_KeHoach_SanLuong[#Headers],0)) *
INDEX(Table_KeHoach_GiaNhápKU[#All],
MATCH(Table_KeHoach_ChiPhiSKU[[#This Row],[Kế hoạch chi phí hàng hóa]],Table_KeHoach_GiaNhápKU[[#All],[Kế hoạch giá nhập hàng hóa]],0),
MATCH(I$76, Table_KeHoach_GiaNhápKU[#Headers],0)),0)</calculatedColumnFormula>
    </tableColumn>
    <tableColumn id="35" xr3:uid="{A4D3AFA5-70E9-450C-8894-1DE0C94FD9C1}" name="Tháng 7" totalsRowFunction="sum" dataDxfId="1719" totalsRowDxfId="1718" dataCellStyle="Comma" totalsRowCellStyle="Comma">
      <calculatedColumnFormula xml:space="preserve">
-IFERROR(
INDEX(Table_KeHoach_SanLuong[[#Headers],[#Data]],
MATCH(Table_KeHoach_ChiPhiSKU[[#This Row],[Kế hoạch chi phí hàng hóa]],Table_KeHoach_SanLuong[[#Headers],[#Data],[Kế hoạch sản lượng]],0),
MATCH(J$76,Table_KeHoach_SanLuong[#Headers],0)) *
INDEX(Table_KeHoach_GiaNhápKU[#All],
MATCH(Table_KeHoach_ChiPhiSKU[[#This Row],[Kế hoạch chi phí hàng hóa]],Table_KeHoach_GiaNhápKU[[#All],[Kế hoạch giá nhập hàng hóa]],0),
MATCH(J$76, Table_KeHoach_GiaNhápKU[#Headers],0)),0)</calculatedColumnFormula>
    </tableColumn>
    <tableColumn id="36" xr3:uid="{0098CC1D-55DA-4BE3-AF11-DC348343C5FD}" name="Tháng 8" totalsRowFunction="sum" dataDxfId="1717" totalsRowDxfId="1716" dataCellStyle="Comma" totalsRowCellStyle="Comma">
      <calculatedColumnFormula xml:space="preserve">
-IFERROR(
INDEX(Table_KeHoach_SanLuong[[#Headers],[#Data]],
MATCH(Table_KeHoach_ChiPhiSKU[[#This Row],[Kế hoạch chi phí hàng hóa]],Table_KeHoach_SanLuong[[#Headers],[#Data],[Kế hoạch sản lượng]],0),
MATCH(K$76,Table_KeHoach_SanLuong[#Headers],0)) *
INDEX(Table_KeHoach_GiaNhápKU[#All],
MATCH(Table_KeHoach_ChiPhiSKU[[#This Row],[Kế hoạch chi phí hàng hóa]],Table_KeHoach_GiaNhápKU[[#All],[Kế hoạch giá nhập hàng hóa]],0),
MATCH(K$76, Table_KeHoach_GiaNhápKU[#Headers],0)),0)</calculatedColumnFormula>
    </tableColumn>
    <tableColumn id="37" xr3:uid="{92521C97-0D88-45E6-AABC-A297D3839A8E}" name="Tháng 9" totalsRowFunction="sum" dataDxfId="1715" totalsRowDxfId="1714" dataCellStyle="Comma" totalsRowCellStyle="Comma">
      <calculatedColumnFormula xml:space="preserve">
-IFERROR(
INDEX(Table_KeHoach_SanLuong[[#Headers],[#Data]],
MATCH(Table_KeHoach_ChiPhiSKU[[#This Row],[Kế hoạch chi phí hàng hóa]],Table_KeHoach_SanLuong[[#Headers],[#Data],[Kế hoạch sản lượng]],0),
MATCH(L$76,Table_KeHoach_SanLuong[#Headers],0)) *
INDEX(Table_KeHoach_GiaNhápKU[#All],
MATCH(Table_KeHoach_ChiPhiSKU[[#This Row],[Kế hoạch chi phí hàng hóa]],Table_KeHoach_GiaNhápKU[[#All],[Kế hoạch giá nhập hàng hóa]],0),
MATCH(L$76, Table_KeHoach_GiaNhápKU[#Headers],0)),0)</calculatedColumnFormula>
    </tableColumn>
    <tableColumn id="38" xr3:uid="{89D3235E-1CED-47EE-8B5A-44E67EFFB28C}" name="Tháng 10" totalsRowFunction="sum" dataDxfId="1713" totalsRowDxfId="1712" dataCellStyle="Comma" totalsRowCellStyle="Comma">
      <calculatedColumnFormula xml:space="preserve">
-IFERROR(
INDEX(Table_KeHoach_SanLuong[[#Headers],[#Data]],
MATCH(Table_KeHoach_ChiPhiSKU[[#This Row],[Kế hoạch chi phí hàng hóa]],Table_KeHoach_SanLuong[[#Headers],[#Data],[Kế hoạch sản lượng]],0),
MATCH(M$76,Table_KeHoach_SanLuong[#Headers],0)) *
INDEX(Table_KeHoach_GiaNhápKU[#All],
MATCH(Table_KeHoach_ChiPhiSKU[[#This Row],[Kế hoạch chi phí hàng hóa]],Table_KeHoach_GiaNhápKU[[#All],[Kế hoạch giá nhập hàng hóa]],0),
MATCH(M$76, Table_KeHoach_GiaNhápKU[#Headers],0)),0)</calculatedColumnFormula>
    </tableColumn>
    <tableColumn id="39" xr3:uid="{15B70680-6B84-4E74-9D09-80A9E804313E}" name="Tháng 11" totalsRowFunction="sum" dataDxfId="1711" totalsRowDxfId="1710" dataCellStyle="Comma" totalsRowCellStyle="Comma">
      <calculatedColumnFormula xml:space="preserve">
-IFERROR(
INDEX(Table_KeHoach_SanLuong[[#Headers],[#Data]],
MATCH(Table_KeHoach_ChiPhiSKU[[#This Row],[Kế hoạch chi phí hàng hóa]],Table_KeHoach_SanLuong[[#Headers],[#Data],[Kế hoạch sản lượng]],0),
MATCH(N$76,Table_KeHoach_SanLuong[#Headers],0)) *
INDEX(Table_KeHoach_GiaNhápKU[#All],
MATCH(Table_KeHoach_ChiPhiSKU[[#This Row],[Kế hoạch chi phí hàng hóa]],Table_KeHoach_GiaNhápKU[[#All],[Kế hoạch giá nhập hàng hóa]],0),
MATCH(N$76, Table_KeHoach_GiaNhápKU[#Headers],0)),0)</calculatedColumnFormula>
    </tableColumn>
    <tableColumn id="40" xr3:uid="{AA453F5D-621A-48ED-AE68-1464823DFBED}" name="Tháng 12" totalsRowFunction="sum" dataDxfId="1709" totalsRowDxfId="1708" dataCellStyle="Comma" totalsRowCellStyle="Comma">
      <calculatedColumnFormula xml:space="preserve">
-IFERROR(
INDEX(Table_KeHoach_SanLuong[[#Headers],[#Data]],
MATCH(Table_KeHoach_ChiPhiSKU[[#This Row],[Kế hoạch chi phí hàng hóa]],Table_KeHoach_SanLuong[[#Headers],[#Data],[Kế hoạch sản lượng]],0),
MATCH(O$76,Table_KeHoach_SanLuong[#Headers],0)) *
INDEX(Table_KeHoach_GiaNhápKU[#All],
MATCH(Table_KeHoach_ChiPhiSKU[[#This Row],[Kế hoạch chi phí hàng hóa]],Table_KeHoach_GiaNhápKU[[#All],[Kế hoạch giá nhập hàng hóa]],0),
MATCH(O$76, Table_KeHoach_GiaNhápKU[#Headers],0)),0)</calculatedColumnFormula>
    </tableColumn>
    <tableColumn id="4" xr3:uid="{1DA38066-0235-47D9-9C13-A949D7DC71F3}" name="Add" dataDxfId="1707" totalsRowDxfId="1706"/>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7:P98" totalsRowShown="0" headerRowDxfId="1705" dataDxfId="1704" headerRowCellStyle="Percent" dataCellStyle="Percent">
  <autoFilter ref="B97:P98" xr:uid="{571A7629-CD3D-4301-B87F-F24F63AD2A81}"/>
  <tableColumns count="15">
    <tableColumn id="1" xr3:uid="{89CE5103-5F2F-473A-8285-61F7E158BE32}" name="Kế hoạch tỷ lệ hoa hồng" dataDxfId="1703" totalsRowDxfId="1702" dataCellStyle="Percent"/>
    <tableColumn id="3" xr3:uid="{A1C5A2FF-BE5E-4865-9699-E09EA6B78869}" name="Tham chiếu" dataDxfId="1701" totalsRowDxfId="1700" dataCellStyle="Percent">
      <calculatedColumnFormula array="1"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calculatedColumnFormula>
    </tableColumn>
    <tableColumn id="29" xr3:uid="{42CEEF9C-84DE-45DF-BFFB-8E1D0BC996A0}" name="Tháng 1" dataDxfId="1699" totalsRowDxfId="1698" dataCellStyle="Percent"/>
    <tableColumn id="30" xr3:uid="{B17D0FDB-5B56-4429-9BF8-633417993FBB}" name="Tháng 2" dataDxfId="1697" totalsRowDxfId="1696" dataCellStyle="Percent"/>
    <tableColumn id="31" xr3:uid="{7F3739EE-012B-4AB4-ACE1-CBC110526F9D}" name="Tháng 3" dataDxfId="1695" totalsRowDxfId="1694" dataCellStyle="Percent"/>
    <tableColumn id="32" xr3:uid="{6103A08B-5854-4BEB-B0F6-AF7602FCE44A}" name="Tháng 4" dataDxfId="1693" totalsRowDxfId="1692" dataCellStyle="Percent"/>
    <tableColumn id="33" xr3:uid="{EE55A315-C233-4CC6-B5AF-32C405AB383B}" name="Tháng 5" dataDxfId="1691" totalsRowDxfId="1690" dataCellStyle="Percent"/>
    <tableColumn id="34" xr3:uid="{12B659E6-642C-4140-AA0D-2D84AB9B6125}" name="Tháng 6" dataDxfId="1689" totalsRowDxfId="1688" dataCellStyle="Percent"/>
    <tableColumn id="35" xr3:uid="{A00D81B6-DF88-4E88-8CFC-8C7C28D732F7}" name="Tháng 7" dataDxfId="1687" totalsRowDxfId="1686" dataCellStyle="Percent"/>
    <tableColumn id="36" xr3:uid="{211F463D-5EDA-41F3-803D-F665490CFE40}" name="Tháng 8" dataDxfId="1685" totalsRowDxfId="1684" dataCellStyle="Percent"/>
    <tableColumn id="37" xr3:uid="{B4EC8197-3C1F-43AB-A435-36D6AD6B3E13}" name="Tháng 9" dataDxfId="1683" totalsRowDxfId="1682" dataCellStyle="Percent"/>
    <tableColumn id="38" xr3:uid="{7C84B51B-A957-4A53-AC29-4A036ABA4C20}" name="Tháng 10" dataDxfId="1681" totalsRowDxfId="1680" dataCellStyle="Percent"/>
    <tableColumn id="39" xr3:uid="{E5FAA999-8C52-4A9F-B6FA-CA39A6D759DA}" name="Tháng 11" dataDxfId="1679" totalsRowDxfId="1678" dataCellStyle="Percent"/>
    <tableColumn id="40" xr3:uid="{5936866B-F994-4BD4-9014-345AD0715655}" name="Tháng 12" dataDxfId="1677" totalsRowDxfId="1676" dataCellStyle="Percent"/>
    <tableColumn id="4" xr3:uid="{D216F6B4-B989-49AA-A487-C608C9A0C4AE}" name="Add" dataDxfId="1675" totalsRowDxfId="1674" dataCellStyle="Percent"/>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101:P103" totalsRowCount="1" headerRowDxfId="1673" dataDxfId="1672" totalsRowDxfId="1671" headerRowCellStyle="Comma" dataCellStyle="Comma" totalsRowCellStyle="Comma">
  <autoFilter ref="B101:P102" xr:uid="{917CE6FA-BA76-44BB-B776-281155435948}"/>
  <tableColumns count="15">
    <tableColumn id="1" xr3:uid="{B069FC19-6704-4041-B913-34A9A708A151}" name="Kế hoạch chi phí hoa hồng" totalsRowLabel="Total" dataDxfId="1670" totalsRowDxfId="1669" dataCellStyle="Comma" totalsRowCellStyle="Comma"/>
    <tableColumn id="3" xr3:uid="{45A81392-9858-4624-9F4F-3DB6DC54E1DD}" name="Tham chiếu" totalsRowFunction="sum" dataDxfId="1668" totalsRowDxfId="1667" dataCellStyle="Comma" totalsRowCellStyle="Comma">
      <calculatedColumnFormula array="1">-SUM(_xlfn._xlws.FILTER(Table_Main[Hoa hồng],
(Table_Main[Mã SKU] = Table_KeHoach_ChiPhiHoaHong[[#This Row],[Kế hoạch chi phí hoa hồng]]) *
(Table_Main[Ngày lên đơn] &gt;= BCQT_BatDau) *
(Table_Main[Ngày lên đơn] &lt; BCQT_KetThuc)
)) /
ROUND((BCQT_KetThuc-BCQT_BatDau)/(365.25/12),0)</calculatedColumnFormula>
    </tableColumn>
    <tableColumn id="29" xr3:uid="{44FF01A0-EDB3-4A6A-92FD-1674BC0087AE}" name="Tháng 1" totalsRowFunction="sum" dataDxfId="1666" totalsRowDxfId="1665" dataCellStyle="Comma" totalsRowCellStyle="Comma">
      <calculatedColumnFormula>-
INDEX(Table_KeHoach_TyleHoaHong[#All],
MATCH(Table_KeHoach_ChiPhiHoaHong[[#This Row],[Kế hoạch chi phí hoa hồng]],Table_KeHoach_TyleHoaHong[[#All],[Kế hoạch tỷ lệ hoa hồng]],0),
MATCH(D$101,Table_KeHoach_TyleHoaHong[#Headers],0)) *
INDEX(Table_KeHoach_DoanhThu[[#Headers],[#Data]],
MATCH(Table_KeHoach_ChiPhiHoaHong[[#This Row],[Kế hoạch chi phí hoa hồng]],Table_KeHoach_DoanhThu[[#Headers],[#Data],[Kế hoạch doanh thu gộp]],0),
MATCH(D$101, Table_KeHoach_DoanhThu[#Headers],0))</calculatedColumnFormula>
    </tableColumn>
    <tableColumn id="30" xr3:uid="{AA758440-3D9D-4EED-984C-92AC297C6E87}" name="Tháng 2" totalsRowFunction="sum" dataDxfId="1664" totalsRowDxfId="1663" dataCellStyle="Comma" totalsRowCellStyle="Comma">
      <calculatedColumnFormula>-
INDEX(Table_KeHoach_TyleHoaHong[#All],
MATCH(Table_KeHoach_ChiPhiHoaHong[[#This Row],[Kế hoạch chi phí hoa hồng]],Table_KeHoach_TyleHoaHong[[#All],[Kế hoạch tỷ lệ hoa hồng]],0),
MATCH(E$101,Table_KeHoach_TyleHoaHong[#Headers],0)) *
INDEX(Table_KeHoach_DoanhThu[[#Headers],[#Data]],
MATCH(Table_KeHoach_ChiPhiHoaHong[[#This Row],[Kế hoạch chi phí hoa hồng]],Table_KeHoach_DoanhThu[[#Headers],[#Data],[Kế hoạch doanh thu gộp]],0),
MATCH(E$101, Table_KeHoach_DoanhThu[#Headers],0))</calculatedColumnFormula>
    </tableColumn>
    <tableColumn id="31" xr3:uid="{F07668AE-AD66-4052-9593-D1A9368E6169}" name="Tháng 3" totalsRowFunction="sum" dataDxfId="1662" totalsRowDxfId="1661" dataCellStyle="Comma" totalsRowCellStyle="Comma">
      <calculatedColumnFormula>-
INDEX(Table_KeHoach_TyleHoaHong[#All],
MATCH(Table_KeHoach_ChiPhiHoaHong[[#This Row],[Kế hoạch chi phí hoa hồng]],Table_KeHoach_TyleHoaHong[[#All],[Kế hoạch tỷ lệ hoa hồng]],0),
MATCH(F$101,Table_KeHoach_TyleHoaHong[#Headers],0)) *
INDEX(Table_KeHoach_DoanhThu[[#Headers],[#Data]],
MATCH(Table_KeHoach_ChiPhiHoaHong[[#This Row],[Kế hoạch chi phí hoa hồng]],Table_KeHoach_DoanhThu[[#Headers],[#Data],[Kế hoạch doanh thu gộp]],0),
MATCH(F$101, Table_KeHoach_DoanhThu[#Headers],0))</calculatedColumnFormula>
    </tableColumn>
    <tableColumn id="32" xr3:uid="{019F83CA-1D86-4894-9E1C-B97411E02CE3}" name="Tháng 4" totalsRowFunction="sum" dataDxfId="1660" totalsRowDxfId="1659" dataCellStyle="Comma" totalsRowCellStyle="Comma">
      <calculatedColumnFormula>-
INDEX(Table_KeHoach_TyleHoaHong[#All],
MATCH(Table_KeHoach_ChiPhiHoaHong[[#This Row],[Kế hoạch chi phí hoa hồng]],Table_KeHoach_TyleHoaHong[[#All],[Kế hoạch tỷ lệ hoa hồng]],0),
MATCH(G$101,Table_KeHoach_TyleHoaHong[#Headers],0)) *
INDEX(Table_KeHoach_DoanhThu[[#Headers],[#Data]],
MATCH(Table_KeHoach_ChiPhiHoaHong[[#This Row],[Kế hoạch chi phí hoa hồng]],Table_KeHoach_DoanhThu[[#Headers],[#Data],[Kế hoạch doanh thu gộp]],0),
MATCH(G$101, Table_KeHoach_DoanhThu[#Headers],0))</calculatedColumnFormula>
    </tableColumn>
    <tableColumn id="33" xr3:uid="{98A21E41-7307-4A31-8516-C3BAAF1B6A71}" name="Tháng 5" totalsRowFunction="sum" dataDxfId="1658" totalsRowDxfId="1657" dataCellStyle="Comma" totalsRowCellStyle="Comma">
      <calculatedColumnFormula>-
INDEX(Table_KeHoach_TyleHoaHong[#All],
MATCH(Table_KeHoach_ChiPhiHoaHong[[#This Row],[Kế hoạch chi phí hoa hồng]],Table_KeHoach_TyleHoaHong[[#All],[Kế hoạch tỷ lệ hoa hồng]],0),
MATCH(H$101,Table_KeHoach_TyleHoaHong[#Headers],0)) *
INDEX(Table_KeHoach_DoanhThu[[#Headers],[#Data]],
MATCH(Table_KeHoach_ChiPhiHoaHong[[#This Row],[Kế hoạch chi phí hoa hồng]],Table_KeHoach_DoanhThu[[#Headers],[#Data],[Kế hoạch doanh thu gộp]],0),
MATCH(H$101, Table_KeHoach_DoanhThu[#Headers],0))</calculatedColumnFormula>
    </tableColumn>
    <tableColumn id="34" xr3:uid="{A35D5DAD-05B9-47A1-BE73-C5B4D7AC14D2}" name="Tháng 6" totalsRowFunction="sum" dataDxfId="1656" totalsRowDxfId="1655" dataCellStyle="Comma" totalsRowCellStyle="Comma">
      <calculatedColumnFormula>-
INDEX(Table_KeHoach_TyleHoaHong[#All],
MATCH(Table_KeHoach_ChiPhiHoaHong[[#This Row],[Kế hoạch chi phí hoa hồng]],Table_KeHoach_TyleHoaHong[[#All],[Kế hoạch tỷ lệ hoa hồng]],0),
MATCH(I$101,Table_KeHoach_TyleHoaHong[#Headers],0)) *
INDEX(Table_KeHoach_DoanhThu[[#Headers],[#Data]],
MATCH(Table_KeHoach_ChiPhiHoaHong[[#This Row],[Kế hoạch chi phí hoa hồng]],Table_KeHoach_DoanhThu[[#Headers],[#Data],[Kế hoạch doanh thu gộp]],0),
MATCH(I$101, Table_KeHoach_DoanhThu[#Headers],0))</calculatedColumnFormula>
    </tableColumn>
    <tableColumn id="35" xr3:uid="{DB88872F-43F3-4B29-B6D2-7C307941341D}" name="Tháng 7" totalsRowFunction="sum" dataDxfId="1654" totalsRowDxfId="1653" dataCellStyle="Comma" totalsRowCellStyle="Comma">
      <calculatedColumnFormula>-
INDEX(Table_KeHoach_TyleHoaHong[#All],
MATCH(Table_KeHoach_ChiPhiHoaHong[[#This Row],[Kế hoạch chi phí hoa hồng]],Table_KeHoach_TyleHoaHong[[#All],[Kế hoạch tỷ lệ hoa hồng]],0),
MATCH(J$101,Table_KeHoach_TyleHoaHong[#Headers],0)) *
INDEX(Table_KeHoach_DoanhThu[[#Headers],[#Data]],
MATCH(Table_KeHoach_ChiPhiHoaHong[[#This Row],[Kế hoạch chi phí hoa hồng]],Table_KeHoach_DoanhThu[[#Headers],[#Data],[Kế hoạch doanh thu gộp]],0),
MATCH(J$101, Table_KeHoach_DoanhThu[#Headers],0))</calculatedColumnFormula>
    </tableColumn>
    <tableColumn id="36" xr3:uid="{4293C101-8A6A-48CA-BB50-59282E2317CE}" name="Tháng 8" totalsRowFunction="sum" dataDxfId="1652" totalsRowDxfId="1651" dataCellStyle="Comma" totalsRowCellStyle="Comma">
      <calculatedColumnFormula>-
INDEX(Table_KeHoach_TyleHoaHong[#All],
MATCH(Table_KeHoach_ChiPhiHoaHong[[#This Row],[Kế hoạch chi phí hoa hồng]],Table_KeHoach_TyleHoaHong[[#All],[Kế hoạch tỷ lệ hoa hồng]],0),
MATCH(K$101,Table_KeHoach_TyleHoaHong[#Headers],0)) *
INDEX(Table_KeHoach_DoanhThu[[#Headers],[#Data]],
MATCH(Table_KeHoach_ChiPhiHoaHong[[#This Row],[Kế hoạch chi phí hoa hồng]],Table_KeHoach_DoanhThu[[#Headers],[#Data],[Kế hoạch doanh thu gộp]],0),
MATCH(K$101, Table_KeHoach_DoanhThu[#Headers],0))</calculatedColumnFormula>
    </tableColumn>
    <tableColumn id="37" xr3:uid="{95FBAF24-EB51-44D8-B651-26FE188B4B40}" name="Tháng 9" totalsRowFunction="sum" dataDxfId="1650" totalsRowDxfId="1649" dataCellStyle="Comma" totalsRowCellStyle="Comma">
      <calculatedColumnFormula>-
INDEX(Table_KeHoach_TyleHoaHong[#All],
MATCH(Table_KeHoach_ChiPhiHoaHong[[#This Row],[Kế hoạch chi phí hoa hồng]],Table_KeHoach_TyleHoaHong[[#All],[Kế hoạch tỷ lệ hoa hồng]],0),
MATCH(L$101,Table_KeHoach_TyleHoaHong[#Headers],0)) *
INDEX(Table_KeHoach_DoanhThu[[#Headers],[#Data]],
MATCH(Table_KeHoach_ChiPhiHoaHong[[#This Row],[Kế hoạch chi phí hoa hồng]],Table_KeHoach_DoanhThu[[#Headers],[#Data],[Kế hoạch doanh thu gộp]],0),
MATCH(L$101, Table_KeHoach_DoanhThu[#Headers],0))</calculatedColumnFormula>
    </tableColumn>
    <tableColumn id="38" xr3:uid="{E4FFC353-4C31-4E0A-ABD0-521861BA3766}" name="Tháng 10" totalsRowFunction="sum" dataDxfId="1648" totalsRowDxfId="1647" dataCellStyle="Comma" totalsRowCellStyle="Comma">
      <calculatedColumnFormula>-
INDEX(Table_KeHoach_TyleHoaHong[#All],
MATCH(Table_KeHoach_ChiPhiHoaHong[[#This Row],[Kế hoạch chi phí hoa hồng]],Table_KeHoach_TyleHoaHong[[#All],[Kế hoạch tỷ lệ hoa hồng]],0),
MATCH(M$101,Table_KeHoach_TyleHoaHong[#Headers],0)) *
INDEX(Table_KeHoach_DoanhThu[[#Headers],[#Data]],
MATCH(Table_KeHoach_ChiPhiHoaHong[[#This Row],[Kế hoạch chi phí hoa hồng]],Table_KeHoach_DoanhThu[[#Headers],[#Data],[Kế hoạch doanh thu gộp]],0),
MATCH(M$101, Table_KeHoach_DoanhThu[#Headers],0))</calculatedColumnFormula>
    </tableColumn>
    <tableColumn id="39" xr3:uid="{1176195A-F2D0-491F-ADAF-FEE4B331168F}" name="Tháng 11" totalsRowFunction="sum" dataDxfId="1646" totalsRowDxfId="1645" dataCellStyle="Comma" totalsRowCellStyle="Comma">
      <calculatedColumnFormula>-
INDEX(Table_KeHoach_TyleHoaHong[#All],
MATCH(Table_KeHoach_ChiPhiHoaHong[[#This Row],[Kế hoạch chi phí hoa hồng]],Table_KeHoach_TyleHoaHong[[#All],[Kế hoạch tỷ lệ hoa hồng]],0),
MATCH(N$101,Table_KeHoach_TyleHoaHong[#Headers],0)) *
INDEX(Table_KeHoach_DoanhThu[[#Headers],[#Data]],
MATCH(Table_KeHoach_ChiPhiHoaHong[[#This Row],[Kế hoạch chi phí hoa hồng]],Table_KeHoach_DoanhThu[[#Headers],[#Data],[Kế hoạch doanh thu gộp]],0),
MATCH(N$101, Table_KeHoach_DoanhThu[#Headers],0))</calculatedColumnFormula>
    </tableColumn>
    <tableColumn id="40" xr3:uid="{F7A3A82A-D538-4F76-8571-151155BB1E03}" name="Tháng 12" totalsRowFunction="sum" dataDxfId="1644" totalsRowDxfId="1643" dataCellStyle="Comma" totalsRowCellStyle="Comma">
      <calculatedColumnFormula>-
INDEX(Table_KeHoach_TyleHoaHong[#All],
MATCH(Table_KeHoach_ChiPhiHoaHong[[#This Row],[Kế hoạch chi phí hoa hồng]],Table_KeHoach_TyleHoaHong[[#All],[Kế hoạch tỷ lệ hoa hồng]],0),
MATCH(O$101,Table_KeHoach_TyleHoaHong[#Headers],0)) *
INDEX(Table_KeHoach_DoanhThu[[#Headers],[#Data]],
MATCH(Table_KeHoach_ChiPhiHoaHong[[#This Row],[Kế hoạch chi phí hoa hồng]],Table_KeHoach_DoanhThu[[#Headers],[#Data],[Kế hoạch doanh thu gộp]],0),
MATCH(O$101, Table_KeHoach_DoanhThu[#Headers],0))</calculatedColumnFormula>
    </tableColumn>
    <tableColumn id="4" xr3:uid="{14A5F491-D272-4B46-90C0-7B58515C4C63}" name="Add" dataDxfId="1642" totalsRowDxfId="1641" dataCellStyle="Comma" totalsRowCellStyle="Comma"/>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19:P121" totalsRowShown="0" headerRowDxfId="1640" dataDxfId="1639">
  <autoFilter ref="B119:P121" xr:uid="{908E4510-1D66-4B62-BD4E-8366A63DB2D9}"/>
  <tableColumns count="15">
    <tableColumn id="1" xr3:uid="{4974AA81-EDE8-48A1-972A-BD6B8748ED4C}" name="Kế hoạch chi phí ship" dataDxfId="1638" totalsRowDxfId="1637"/>
    <tableColumn id="3" xr3:uid="{B298E000-F4DB-4ECC-9D0C-FCA782A86771}" name="Tham chiếu" dataDxfId="1636">
      <calculatedColumnFormula array="1">-IFERROR(
SUM(_xlfn._xlws.FILTER(Table_VanDon[Phí ship],
(Table_VanDon[Bên chịu phí] = "Bên bán") *
(Table_VanDon[Ngày lập] &gt;= KeHoach_BatDau) *
(Table_VanDon[Ngày lập] &lt; KeHoach_KetThuc)
)),0)
-IFERROR(
SUM(_xlfn._xlws.FILTER(Table_DonMua[Phụ phí],
(Table_DonMua[Ngày lập] &gt;= KeHoach_BatDau)*
(Table_DonMua[Ngày lập] &lt; KeHoach_KetThuc)
)),0)</calculatedColumnFormula>
    </tableColumn>
    <tableColumn id="29" xr3:uid="{0E8CCF25-9538-4858-B4EB-66D14E65C5E6}" name="Tháng 1" dataDxfId="1635">
      <calculatedColumnFormula>VLOOKUP(Table_KeHoach_ChiPhiShip[[#This Row],[Kế hoạch chi phí ship]],#REF!,Sheet_SKU!#REF!,0)</calculatedColumnFormula>
    </tableColumn>
    <tableColumn id="30" xr3:uid="{AF72C6DF-EB35-4A98-ABEC-099350C31E27}" name="Tháng 2" dataDxfId="1634">
      <calculatedColumnFormula>VLOOKUP(Table_KeHoach_ChiPhiShip[[#This Row],[Kế hoạch chi phí ship]],#REF!,Sheet_SKU!#REF!,0)</calculatedColumnFormula>
    </tableColumn>
    <tableColumn id="31" xr3:uid="{3EAF95EE-2F6B-43B3-9D13-5D7C0429B475}" name="Tháng 3" dataDxfId="1633">
      <calculatedColumnFormula>VLOOKUP(Table_KeHoach_ChiPhiShip[[#This Row],[Kế hoạch chi phí ship]],#REF!,Sheet_SKU!#REF!,0)</calculatedColumnFormula>
    </tableColumn>
    <tableColumn id="32" xr3:uid="{D96EEB51-7417-4655-BDDC-D0E338E941FB}" name="Tháng 4" dataDxfId="1632">
      <calculatedColumnFormula>VLOOKUP(Table_KeHoach_ChiPhiShip[[#This Row],[Kế hoạch chi phí ship]],#REF!,Sheet_SKU!#REF!,0)</calculatedColumnFormula>
    </tableColumn>
    <tableColumn id="33" xr3:uid="{257E62C8-5051-48B2-85A8-3358E9656E87}" name="Tháng 5" dataDxfId="1631">
      <calculatedColumnFormula>VLOOKUP(Table_KeHoach_ChiPhiShip[[#This Row],[Kế hoạch chi phí ship]],#REF!,Sheet_SKU!#REF!,0)</calculatedColumnFormula>
    </tableColumn>
    <tableColumn id="34" xr3:uid="{0E06FA86-8BB1-4A39-B5C1-0D5C45891AD0}" name="Tháng 6" dataDxfId="1630">
      <calculatedColumnFormula>VLOOKUP(Table_KeHoach_ChiPhiShip[[#This Row],[Kế hoạch chi phí ship]],#REF!,Sheet_SKU!#REF!,0)</calculatedColumnFormula>
    </tableColumn>
    <tableColumn id="35" xr3:uid="{9F9131FD-5E00-446F-BB5F-FA90CC9D32D8}" name="Tháng 7" dataDxfId="1629">
      <calculatedColumnFormula>VLOOKUP(Table_KeHoach_ChiPhiShip[[#This Row],[Kế hoạch chi phí ship]],#REF!,Sheet_SKU!#REF!,0)</calculatedColumnFormula>
    </tableColumn>
    <tableColumn id="36" xr3:uid="{780160DC-AD91-4578-974A-DAA46A0EFA55}" name="Tháng 8" dataDxfId="1628">
      <calculatedColumnFormula>VLOOKUP(Table_KeHoach_ChiPhiShip[[#This Row],[Kế hoạch chi phí ship]],#REF!,Sheet_SKU!#REF!,0)</calculatedColumnFormula>
    </tableColumn>
    <tableColumn id="37" xr3:uid="{8F0619B7-DD39-44BB-919F-7190F8C66661}" name="Tháng 9" dataDxfId="1627">
      <calculatedColumnFormula>VLOOKUP(Table_KeHoach_ChiPhiShip[[#This Row],[Kế hoạch chi phí ship]],#REF!,Sheet_SKU!#REF!,0)</calculatedColumnFormula>
    </tableColumn>
    <tableColumn id="38" xr3:uid="{85E0E657-1656-49DE-ACC4-ECD2C5A8BD77}" name="Tháng 10" dataDxfId="1626">
      <calculatedColumnFormula>VLOOKUP(Table_KeHoach_ChiPhiShip[[#This Row],[Kế hoạch chi phí ship]],#REF!,Sheet_SKU!#REF!,0)</calculatedColumnFormula>
    </tableColumn>
    <tableColumn id="39" xr3:uid="{871494F5-3229-4D50-A00E-F79B1EC4C89C}" name="Tháng 11" dataDxfId="1625">
      <calculatedColumnFormula>VLOOKUP(Table_KeHoach_ChiPhiShip[[#This Row],[Kế hoạch chi phí ship]],#REF!,Sheet_SKU!#REF!,0)</calculatedColumnFormula>
    </tableColumn>
    <tableColumn id="40" xr3:uid="{93DF0D7F-F948-4D01-9B0F-5A68A405CC28}" name="Tháng 12" dataDxfId="1624">
      <calculatedColumnFormula>VLOOKUP(Table_KeHoach_ChiPhiShip[[#This Row],[Kế hoạch chi phí ship]],#REF!,Sheet_SKU!#REF!,0)</calculatedColumnFormula>
    </tableColumn>
    <tableColumn id="4" xr3:uid="{2D4C2D48-BC42-4E31-9323-72EFF86ED93C}" name="Add" dataDxfId="1623">
      <calculatedColumnFormula>-P119*HLOOKUP(P$119,Table_KeHoach_DoanhThu[#All],COUNTA(Table_KeHoach_DoanhThu[[#All],[Kế hoạch doanh thu gộp]]),0)</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4:P125" totalsRowShown="0" headerRowDxfId="1622" dataDxfId="1621" headerRowCellStyle="Comma" dataCellStyle="Comma">
  <autoFilter ref="B124:P125" xr:uid="{3AA81467-7CA1-47A8-90EC-3D38BDD54257}"/>
  <tableColumns count="15">
    <tableColumn id="1" xr3:uid="{3C4D3BE7-FFE8-4AA6-9046-2E900FEAAF24}" name="Kế hoạch lương gross" dataDxfId="1620" totalsRowDxfId="1619" dataCellStyle="Comma"/>
    <tableColumn id="3" xr3:uid="{5406D85A-8CE2-4CC8-8623-275C8DAC4DB0}" name="Tham chiếu" dataDxfId="1618" totalsRowDxfId="1617" dataCellStyle="Comma">
      <calculatedColumnFormula>-VLOOKUP(Table_KeHoach_LuongNet[[#This Row],[Kế hoạch lương gross]],Table_NhanVien[],COUNTA(Table_NhanVien[[#Headers],[Mã NV]:[Lương gross]]),0)</calculatedColumnFormula>
    </tableColumn>
    <tableColumn id="29" xr3:uid="{22CFBB3B-BFA7-42CB-BA20-AC6D1269A08E}" name="Tháng 1" dataDxfId="1616" totalsRowDxfId="1615" dataCellStyle="Comma"/>
    <tableColumn id="30" xr3:uid="{3C7E21A7-1D02-40CC-B621-9BA1EE2F5AF0}" name="Tháng 2" dataDxfId="1614" totalsRowDxfId="1613" dataCellStyle="Comma"/>
    <tableColumn id="31" xr3:uid="{0EA71E79-00ED-47C7-9E3F-25D06EA1FE91}" name="Tháng 3" dataDxfId="1612" totalsRowDxfId="1611" dataCellStyle="Comma"/>
    <tableColumn id="32" xr3:uid="{BC596114-217F-4B94-AD95-C681D74C7AEE}" name="Tháng 4" dataDxfId="1610" totalsRowDxfId="1609" dataCellStyle="Comma"/>
    <tableColumn id="33" xr3:uid="{4D50F754-44AB-4EA0-8411-B3DA58FA9F77}" name="Tháng 5" dataDxfId="1608" totalsRowDxfId="1607" dataCellStyle="Comma"/>
    <tableColumn id="34" xr3:uid="{095DA541-8FFF-4D4A-B0B1-0F628DFE99D0}" name="Tháng 6" dataDxfId="1606" dataCellStyle="Comma"/>
    <tableColumn id="35" xr3:uid="{D3E05F56-0880-4153-91D3-D886DE1340C5}" name="Tháng 7" dataDxfId="1605" dataCellStyle="Comma"/>
    <tableColumn id="36" xr3:uid="{D1923F54-11DB-4249-B122-FA71BE50ED0F}" name="Tháng 8" dataDxfId="1604" dataCellStyle="Comma"/>
    <tableColumn id="37" xr3:uid="{01190BA1-8776-41CD-8213-306DC9E72917}" name="Tháng 9" dataDxfId="1603" dataCellStyle="Comma"/>
    <tableColumn id="38" xr3:uid="{D4E78B4D-AEFC-4A5A-90AA-D2B0186513FD}" name="Tháng 10" dataDxfId="1602" dataCellStyle="Comma"/>
    <tableColumn id="39" xr3:uid="{39541C43-C729-4B8C-A2DF-8B46DB19934F}" name="Tháng 11" dataDxfId="1601" dataCellStyle="Comma"/>
    <tableColumn id="40" xr3:uid="{B507645B-A83E-40A1-8131-DC22121E7942}" name="Tháng 12" dataDxfId="1600" dataCellStyle="Comma"/>
    <tableColumn id="4" xr3:uid="{D2D75DE3-EB7B-496E-AFF1-41BEC8813A93}" name="Add" dataDxfId="1599" data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8:P130" totalsRowCount="1" headerRowDxfId="1598" dataDxfId="1597" totalsRowDxfId="1596" headerRowCellStyle="Comma" dataCellStyle="Comma" totalsRowCellStyle="Comma">
  <autoFilter ref="B128:P129" xr:uid="{91BBA9C3-FC15-4CD7-9733-B5B5DB650110}"/>
  <tableColumns count="15">
    <tableColumn id="1" xr3:uid="{2E43917D-C813-4D56-BD16-1D4A8D96F05A}" name="Kế hoạch chi phí nhân sự (+ bảo hiểm)" totalsRowLabel="Total" dataDxfId="1595" totalsRowDxfId="1594" dataCellStyle="Comma"/>
    <tableColumn id="3" xr3:uid="{A57E4123-9FD6-4DF6-9D3E-62EF299F2B98}" name="Tham chiếu" totalsRowFunction="sum" dataDxfId="1593" totalsRowDxfId="1592" dataCellStyle="Comma">
      <calculatedColumnFormula array="1"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calculatedColumnFormula>
    </tableColumn>
    <tableColumn id="29" xr3:uid="{B2E2777D-DFCF-4D07-B498-2CCCF122CEE7}" name="Tháng 1" totalsRowFunction="sum" dataDxfId="1591" totalsRowDxfId="1590" dataCellStyle="Comma">
      <calculatedColumnFormula xml:space="preserve">
INDEX(Table_KeHoach_LuongNet[#All],
MATCH(Table_KeHoach_LuongGross[[#This Row],[Kế hoạch chi phí nhân sự (+ bảo hiểm)]],Table_KeHoach_LuongNet[[#All],[Kế hoạch lương gross]],0),
MATCH(D$128,Table_KeHoach_LuongNet[#Headers],0))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0" xr3:uid="{30A364DF-C3BF-441E-95BE-2636E496ACC9}" name="Tháng 2" totalsRowFunction="sum" dataDxfId="1589" totalsRowDxfId="1588" dataCellStyle="Comma">
      <calculatedColumnFormula xml:space="preserve">
INDEX(Table_KeHoach_LuongNet[#All],
MATCH(Table_KeHoach_LuongGross[[#This Row],[Kế hoạch chi phí nhân sự (+ bảo hiểm)]],Table_KeHoach_LuongNet[[#All],[Kế hoạch lương gross]],0),
MATCH(E$128,Table_KeHoach_LuongNet[#Headers],0))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1" xr3:uid="{F79E7C83-DE64-4D3F-A770-8721FA722A0B}" name="Tháng 3" totalsRowFunction="sum" dataDxfId="1587" totalsRowDxfId="1586" dataCellStyle="Comma">
      <calculatedColumnFormula xml:space="preserve">
INDEX(Table_KeHoach_LuongNet[#All],
MATCH(Table_KeHoach_LuongGross[[#This Row],[Kế hoạch chi phí nhân sự (+ bảo hiểm)]],Table_KeHoach_LuongNet[[#All],[Kế hoạch lương gross]],0),
MATCH(F$128,Table_KeHoach_LuongNet[#Headers],0))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2" xr3:uid="{12CDFC08-D112-49FB-BA4C-3889A6F962C8}" name="Tháng 4" totalsRowFunction="sum" dataDxfId="1585" totalsRowDxfId="1584" dataCellStyle="Comma">
      <calculatedColumnFormula xml:space="preserve">
INDEX(Table_KeHoach_LuongNet[#All],
MATCH(Table_KeHoach_LuongGross[[#This Row],[Kế hoạch chi phí nhân sự (+ bảo hiểm)]],Table_KeHoach_LuongNet[[#All],[Kế hoạch lương gross]],0),
MATCH(G$128,Table_KeHoach_LuongNet[#Headers],0))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3" xr3:uid="{BA17BEBB-819B-4DA5-8ECA-94C0F9F54D1E}" name="Tháng 5" totalsRowFunction="sum" dataDxfId="1583" totalsRowDxfId="1582" dataCellStyle="Comma">
      <calculatedColumnFormula xml:space="preserve">
INDEX(Table_KeHoach_LuongNet[#All],
MATCH(Table_KeHoach_LuongGross[[#This Row],[Kế hoạch chi phí nhân sự (+ bảo hiểm)]],Table_KeHoach_LuongNet[[#All],[Kế hoạch lương gross]],0),
MATCH(H$128,Table_KeHoach_LuongNet[#Headers],0))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4" xr3:uid="{006080A1-D98E-4C4E-8496-FC8D3C3FACBE}" name="Tháng 6" totalsRowFunction="sum" dataDxfId="1581" totalsRowDxfId="1580" dataCellStyle="Comma">
      <calculatedColumnFormula xml:space="preserve">
INDEX(Table_KeHoach_LuongNet[#All],
MATCH(Table_KeHoach_LuongGross[[#This Row],[Kế hoạch chi phí nhân sự (+ bảo hiểm)]],Table_KeHoach_LuongNet[[#All],[Kế hoạch lương gross]],0),
MATCH(I$128,Table_KeHoach_LuongNet[#Headers],0))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5" xr3:uid="{15395AAC-B928-47CE-B742-B4EF8F476198}" name="Tháng 7" totalsRowFunction="sum" dataDxfId="1579" totalsRowDxfId="1578" dataCellStyle="Comma">
      <calculatedColumnFormula xml:space="preserve">
INDEX(Table_KeHoach_LuongNet[#All],
MATCH(Table_KeHoach_LuongGross[[#This Row],[Kế hoạch chi phí nhân sự (+ bảo hiểm)]],Table_KeHoach_LuongNet[[#All],[Kế hoạch lương gross]],0),
MATCH(J$128,Table_KeHoach_LuongNet[#Headers],0))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6" xr3:uid="{81FF2137-1BA7-4AE8-B8C0-29D2D9FB6360}" name="Tháng 8" totalsRowFunction="sum" dataDxfId="1577" totalsRowDxfId="1576" dataCellStyle="Comma">
      <calculatedColumnFormula xml:space="preserve">
INDEX(Table_KeHoach_LuongNet[#All],
MATCH(Table_KeHoach_LuongGross[[#This Row],[Kế hoạch chi phí nhân sự (+ bảo hiểm)]],Table_KeHoach_LuongNet[[#All],[Kế hoạch lương gross]],0),
MATCH(K$128,Table_KeHoach_LuongNet[#Headers],0))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7" xr3:uid="{E242B3E5-8EE2-4684-B5A4-EC975FBCAD0D}" name="Tháng 9" totalsRowFunction="sum" dataDxfId="1575" totalsRowDxfId="1574" dataCellStyle="Comma">
      <calculatedColumnFormula xml:space="preserve">
INDEX(Table_KeHoach_LuongNet[#All],
MATCH(Table_KeHoach_LuongGross[[#This Row],[Kế hoạch chi phí nhân sự (+ bảo hiểm)]],Table_KeHoach_LuongNet[[#All],[Kế hoạch lương gross]],0),
MATCH(L$128,Table_KeHoach_LuongNet[#Headers],0))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8" xr3:uid="{4A471B8A-96F3-4C18-B153-5501384DE608}" name="Tháng 10" totalsRowFunction="sum" dataDxfId="1573" totalsRowDxfId="1572" dataCellStyle="Comma">
      <calculatedColumnFormula xml:space="preserve">
INDEX(Table_KeHoach_LuongNet[#All],
MATCH(Table_KeHoach_LuongGross[[#This Row],[Kế hoạch chi phí nhân sự (+ bảo hiểm)]],Table_KeHoach_LuongNet[[#All],[Kế hoạch lương gross]],0),
MATCH(M$128,Table_KeHoach_LuongNet[#Headers],0))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9" xr3:uid="{7033B668-BF4D-42C6-8569-E47101B12BC8}" name="Tháng 11" totalsRowFunction="sum" dataDxfId="1571" totalsRowDxfId="1570" dataCellStyle="Comma">
      <calculatedColumnFormula xml:space="preserve">
INDEX(Table_KeHoach_LuongNet[#All],
MATCH(Table_KeHoach_LuongGross[[#This Row],[Kế hoạch chi phí nhân sự (+ bảo hiểm)]],Table_KeHoach_LuongNet[[#All],[Kế hoạch lương gross]],0),
MATCH(N$128,Table_KeHoach_LuongNet[#Headers],0))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0" xr3:uid="{A0BF1392-5881-4F1A-8B3E-2CFBA566D9AB}" name="Tháng 12" totalsRowFunction="sum" dataDxfId="1569" totalsRowDxfId="1568" dataCellStyle="Comma">
      <calculatedColumnFormula xml:space="preserve">
INDEX(Table_KeHoach_LuongNet[#All],
MATCH(Table_KeHoach_LuongGross[[#This Row],[Kế hoạch chi phí nhân sự (+ bảo hiểm)]],Table_KeHoach_LuongNet[[#All],[Kế hoạch lương gross]],0),
MATCH(O$128,Table_KeHoach_LuongNet[#Headers],0))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 xr3:uid="{F9B57AD9-1FB5-44FC-ABFD-F2B10703DE21}" name="Add" dataDxfId="1567" totalsRowDxfId="1566" data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33:P135" totalsRowCount="1" headerRowDxfId="1565" dataDxfId="1564" totalsRowDxfId="1563" headerRowCellStyle="Comma" dataCellStyle="Comma" totalsRowCellStyle="Comma">
  <autoFilter ref="B133:P134" xr:uid="{51C1DF05-35B2-4BFD-8DF4-9018A45F6CC9}"/>
  <tableColumns count="15">
    <tableColumn id="1" xr3:uid="{DE902550-E20E-4920-9A1F-69869534EED6}" name="Kế hoạch thưởng KPI" totalsRowLabel="Total" dataDxfId="1562" totalsRowDxfId="1561" dataCellStyle="Comma" totalsRowCellStyle="Comma"/>
    <tableColumn id="3" xr3:uid="{23B56988-FA74-49DE-860C-652B89832633}" name="Tham chiếu" totalsRowFunction="sum" dataDxfId="1560" totalsRowDxfId="1559" dataCellStyle="Comma" totalsRowCellStyle="Comma">
      <calculatedColumnFormula array="1"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calculatedColumnFormula>
    </tableColumn>
    <tableColumn id="29" xr3:uid="{218C951F-2A25-4221-8C6F-BC60515EF8B8}" name="Tháng 1" totalsRowFunction="sum" dataDxfId="1558" totalsRowDxfId="1557" dataCellStyle="Comma" totalsRowCellStyle="Comma"/>
    <tableColumn id="30" xr3:uid="{79562E96-A57B-4C97-B581-1FC0ECDC0E76}" name="Tháng 2" totalsRowFunction="sum" dataDxfId="1556" totalsRowDxfId="1555" dataCellStyle="Comma" totalsRowCellStyle="Comma"/>
    <tableColumn id="31" xr3:uid="{0A4730AF-73B6-4A07-958A-C8FF52EC6A41}" name="Tháng 3" totalsRowFunction="sum" dataDxfId="1554" totalsRowDxfId="1553" dataCellStyle="Comma" totalsRowCellStyle="Comma"/>
    <tableColumn id="32" xr3:uid="{F0F88703-DBDC-407F-8F7E-4483AECA0242}" name="Tháng 4" totalsRowFunction="sum" dataDxfId="1552" totalsRowDxfId="1551" dataCellStyle="Comma" totalsRowCellStyle="Comma"/>
    <tableColumn id="33" xr3:uid="{D10E704C-0465-4AE8-BCD8-36942ABB8208}" name="Tháng 5" totalsRowFunction="sum" dataDxfId="1550" totalsRowDxfId="1549" dataCellStyle="Comma" totalsRowCellStyle="Comma"/>
    <tableColumn id="34" xr3:uid="{D8F6CCAA-AFE4-4EC1-AE0D-510FB5B92FB5}" name="Tháng 6" totalsRowFunction="sum" dataDxfId="1548" totalsRowDxfId="1547" dataCellStyle="Comma" totalsRowCellStyle="Comma"/>
    <tableColumn id="35" xr3:uid="{678187C6-1705-4738-B037-28706C93C220}" name="Tháng 7" totalsRowFunction="sum" dataDxfId="1546" totalsRowDxfId="1545" dataCellStyle="Comma" totalsRowCellStyle="Comma"/>
    <tableColumn id="36" xr3:uid="{D79FF401-459B-4FD8-8631-FD8F00B21CE3}" name="Tháng 8" totalsRowFunction="sum" dataDxfId="1544" totalsRowDxfId="1543" dataCellStyle="Comma" totalsRowCellStyle="Comma"/>
    <tableColumn id="37" xr3:uid="{36801A4E-98B6-4028-8EBF-B03919843482}" name="Tháng 9" totalsRowFunction="sum" dataDxfId="1542" totalsRowDxfId="1541" dataCellStyle="Comma" totalsRowCellStyle="Comma"/>
    <tableColumn id="38" xr3:uid="{30753DC8-004B-477F-B388-CBD4F9EF4ECE}" name="Tháng 10" totalsRowFunction="sum" dataDxfId="1540" totalsRowDxfId="1539" dataCellStyle="Comma" totalsRowCellStyle="Comma"/>
    <tableColumn id="39" xr3:uid="{638B4AF6-6F7F-43EC-A0CE-20762E3E036D}" name="Tháng 11" totalsRowFunction="sum" dataDxfId="1538" totalsRowDxfId="1537" dataCellStyle="Comma" totalsRowCellStyle="Comma"/>
    <tableColumn id="40" xr3:uid="{2C7C1BC1-E77A-4FA3-9C3B-873B2BA91660}" name="Tháng 12" totalsRowFunction="sum" dataDxfId="1536" totalsRowDxfId="1535" dataCellStyle="Comma" totalsRowCellStyle="Comma"/>
    <tableColumn id="4" xr3:uid="{C75BA92E-3442-4B90-BCC9-4C1EBA166D5F}" name="Add" dataDxfId="1534" totalsRowDxfId="1533" dataCellStyle="Comma" totalsRowCellStyle="Comma"/>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91:P94" totalsRowCount="1" headerRowDxfId="1532" dataDxfId="1531" totalsRowDxfId="1530" headerRowCellStyle="Comma" dataCellStyle="Comma" totalsRowCellStyle="Comma">
  <autoFilter ref="B91:P93" xr:uid="{65310F32-2FD4-490F-884B-1AA81C582DF4}"/>
  <tableColumns count="15">
    <tableColumn id="1" xr3:uid="{BE423CEE-B6E7-4111-8870-82E3FE033021}" name="Kế hoạch chi phí vật tư &amp; tiện ích văn phòng" totalsRowLabel="Total" dataDxfId="1529" totalsRowDxfId="1528" dataCellStyle="Comma" totalsRowCellStyle="Comma"/>
    <tableColumn id="3" xr3:uid="{EBB8A3FA-398D-4A82-9B88-93A338431418}" name="Tham chiếu" totalsRowFunction="sum" dataDxfId="1527" totalsRowDxfId="1526" dataCellStyle="Comma" totalsRowCellStyle="Comma">
      <calculatedColumnFormula array="1"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
_xlfn._xlws.FILTER(Table_ChiPhiKD[Giá trị]-Table_ChiPhiKD[Phân bổ sản xuất],
(Table_ChiPhiKD[Kỳ] &gt;=BCQT_BatDau) *
(Table_ChiPhiKD[Kỳ] &lt;BCQT_KetThuc) *
(Table_ChiPhiKD[Nhóm chi phí] = Table_KeHoach_ChiPhiVatTuVP[[#This Row],[Kế hoạch chi phí vật tư &amp; tiện ích văn phòng]] )
)),0)
- IFERROR(SUMPRODUCT(
_xlfn._xlws.FILTER(Table_ChiPhiKD[Giá trị]-Table_ChiPhiKD[Phân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calculatedColumnFormula>
    </tableColumn>
    <tableColumn id="29" xr3:uid="{18458E08-BB69-483A-BFF6-CC58414AD0D7}" name="Tháng 1" totalsRowFunction="sum" dataDxfId="1525" totalsRowDxfId="1524" dataCellStyle="Comma" totalsRowCellStyle="Comma"/>
    <tableColumn id="30" xr3:uid="{7FD75624-7DC6-49A7-8E05-A71039153BF1}" name="Tháng 2" totalsRowFunction="sum" dataDxfId="1523" totalsRowDxfId="1522" dataCellStyle="Comma" totalsRowCellStyle="Comma"/>
    <tableColumn id="31" xr3:uid="{42CB0602-6C2C-429F-9B84-98C757C5C5E4}" name="Tháng 3" totalsRowFunction="sum" dataDxfId="1521" totalsRowDxfId="1520" dataCellStyle="Comma" totalsRowCellStyle="Comma"/>
    <tableColumn id="32" xr3:uid="{01087BC2-EBDB-4095-8A4A-732B0A6FE87E}" name="Tháng 4" totalsRowFunction="sum" dataDxfId="1519" totalsRowDxfId="1518" dataCellStyle="Comma" totalsRowCellStyle="Comma"/>
    <tableColumn id="33" xr3:uid="{304B7945-3140-472A-AD9E-868515C0D16C}" name="Tháng 5" totalsRowFunction="sum" dataDxfId="1517" totalsRowDxfId="1516" dataCellStyle="Comma" totalsRowCellStyle="Comma"/>
    <tableColumn id="34" xr3:uid="{3261FDF8-4E8D-44A5-9B23-D773F0C7B65B}" name="Tháng 6" totalsRowFunction="sum" dataDxfId="1515" totalsRowDxfId="1514" dataCellStyle="Comma" totalsRowCellStyle="Comma"/>
    <tableColumn id="35" xr3:uid="{C2668BA7-C9F7-4559-90D2-274692CC68BA}" name="Tháng 7" totalsRowFunction="sum" dataDxfId="1513" totalsRowDxfId="1512" dataCellStyle="Comma" totalsRowCellStyle="Comma"/>
    <tableColumn id="36" xr3:uid="{B8B3836E-E188-4747-8152-C6E22B15EA27}" name="Tháng 8" totalsRowFunction="sum" dataDxfId="1511" totalsRowDxfId="1510" dataCellStyle="Comma" totalsRowCellStyle="Comma"/>
    <tableColumn id="37" xr3:uid="{4124E7A8-F80D-4B28-A7AF-3D2F53163B04}" name="Tháng 9" totalsRowFunction="sum" dataDxfId="1509" totalsRowDxfId="1508" dataCellStyle="Comma" totalsRowCellStyle="Comma"/>
    <tableColumn id="38" xr3:uid="{4E61618F-7E56-433A-9F3D-A7BEF1423B52}" name="Tháng 10" totalsRowFunction="sum" dataDxfId="1507" totalsRowDxfId="1506" dataCellStyle="Comma" totalsRowCellStyle="Comma"/>
    <tableColumn id="39" xr3:uid="{42F0304F-0136-47F5-A156-67D1C6D5A0F8}" name="Tháng 11" totalsRowFunction="sum" dataDxfId="1505" totalsRowDxfId="1504" dataCellStyle="Comma" totalsRowCellStyle="Comma"/>
    <tableColumn id="40" xr3:uid="{32AC9F09-DE67-48F6-8C67-9DC92EE4D4CC}" name="Tháng 12" totalsRowFunction="sum" dataDxfId="1503" totalsRowDxfId="1502" dataCellStyle="Comma" totalsRowCellStyle="Comma"/>
    <tableColumn id="4" xr3:uid="{762515F4-2F66-471A-83A4-BE59179608FF}" name="Add" dataDxfId="1501" totalsRowDxfId="1500"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8:P142" totalsRowCount="1" headerRowDxfId="1499" dataDxfId="1498" totalsRowDxfId="1497" headerRowCellStyle="Comma" dataCellStyle="Comma" totalsRowCellStyle="Comma">
  <autoFilter ref="B138:P141" xr:uid="{3D0FA759-8479-488D-839B-1BE0075A8A6C}"/>
  <tableColumns count="15">
    <tableColumn id="1" xr3:uid="{A3A5B59D-65BE-4BDD-8D15-A6692B89122C}" name="Kế hoạch ngân sách" totalsRowLabel="Total" dataDxfId="1496" totalsRowDxfId="1495" dataCellStyle="Comma" totalsRowCellStyle="Comma"/>
    <tableColumn id="3" xr3:uid="{9A361F38-A974-4042-8B26-AC09A6AC678E}" name="Tham chiếu" totalsRowFunction="sum" dataDxfId="1494" totalsRowDxfId="1493" dataCellStyle="Comma" totalsRowCellStyle="Comma">
      <calculatedColumnFormula array="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calculatedColumnFormula>
    </tableColumn>
    <tableColumn id="29" xr3:uid="{814D5643-16CD-47F4-A1E0-208A06B8A9D3}" name="Tháng 1" totalsRowFunction="sum" dataDxfId="1492" totalsRowDxfId="1491" dataCellStyle="Comma" totalsRowCellStyle="Comma"/>
    <tableColumn id="30" xr3:uid="{7A393414-42CB-443D-9D95-3533718E1A1D}" name="Tháng 2" totalsRowFunction="sum" dataDxfId="1490" totalsRowDxfId="1489" dataCellStyle="Comma" totalsRowCellStyle="Comma"/>
    <tableColumn id="31" xr3:uid="{1547A942-2141-4B1A-981E-FAFA34800349}" name="Tháng 3" totalsRowFunction="sum" dataDxfId="1488" totalsRowDxfId="1487" dataCellStyle="Comma" totalsRowCellStyle="Comma"/>
    <tableColumn id="32" xr3:uid="{4BA2A346-C5A9-4F66-B866-D24B20A9F657}" name="Tháng 4" totalsRowFunction="sum" dataDxfId="1486" totalsRowDxfId="1485" dataCellStyle="Comma" totalsRowCellStyle="Comma"/>
    <tableColumn id="33" xr3:uid="{72D605EF-2B61-4603-BCEA-EDBA2E24899C}" name="Tháng 5" totalsRowFunction="sum" dataDxfId="1484" totalsRowDxfId="1483" dataCellStyle="Comma" totalsRowCellStyle="Comma"/>
    <tableColumn id="34" xr3:uid="{D875344A-BA11-4CC1-BB3B-8739F71AC936}" name="Tháng 6" totalsRowFunction="sum" dataDxfId="1482" totalsRowDxfId="1481" dataCellStyle="Comma" totalsRowCellStyle="Comma"/>
    <tableColumn id="35" xr3:uid="{8B9B1D70-3FB2-4F52-B888-826982A5B247}" name="Tháng 7" totalsRowFunction="sum" dataDxfId="1480" totalsRowDxfId="1479" dataCellStyle="Comma" totalsRowCellStyle="Comma"/>
    <tableColumn id="36" xr3:uid="{0B8202AD-3A51-404D-9F3F-05D009961822}" name="Tháng 8" totalsRowFunction="sum" dataDxfId="1478" totalsRowDxfId="1477" dataCellStyle="Comma" totalsRowCellStyle="Comma"/>
    <tableColumn id="37" xr3:uid="{C122372F-CA84-4684-9337-528B16AB5609}" name="Tháng 9" totalsRowFunction="sum" dataDxfId="1476" totalsRowDxfId="1475" dataCellStyle="Comma" totalsRowCellStyle="Comma"/>
    <tableColumn id="38" xr3:uid="{62E64D4F-8F5D-45B9-B48B-B5ADDCB026D3}" name="Tháng 10" totalsRowFunction="sum" dataDxfId="1474" totalsRowDxfId="1473" dataCellStyle="Comma" totalsRowCellStyle="Comma"/>
    <tableColumn id="39" xr3:uid="{ECACEED0-E3A6-411F-9422-7CEA08BA2E8D}" name="Tháng 11" totalsRowFunction="sum" dataDxfId="1472" totalsRowDxfId="1471" dataCellStyle="Comma" totalsRowCellStyle="Comma"/>
    <tableColumn id="40" xr3:uid="{9697E292-6880-42E7-A8AE-EE172DE9F15A}" name="Tháng 12" totalsRowFunction="sum" dataDxfId="1470" totalsRowDxfId="1469" dataCellStyle="Comma" totalsRowCellStyle="Comma"/>
    <tableColumn id="4" xr3:uid="{39A00EAC-35E2-476E-9C03-58DC60EBCFD7}" name="Add" dataDxfId="1468" totalsRowDxfId="1467" dataCellStyle="Comma" totalsRowCellStyle="Comma"/>
  </tableColumns>
  <tableStyleInfo name="TableStyleMedium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51:P154" totalsRowShown="0" headerRowDxfId="1466" dataDxfId="1465" headerRowCellStyle="Comma" dataCellStyle="Comma">
  <autoFilter ref="B151:P154" xr:uid="{97E71E07-08C3-4D75-87B9-575C55B5318E}"/>
  <tableColumns count="15">
    <tableColumn id="1" xr3:uid="{8C61939D-D1D3-4AA6-B8EC-9BF9733718F4}" name="Lịch khấu hao &amp; lãi vay" dataDxfId="1464" totalsRowDxfId="1463" dataCellStyle="Comma"/>
    <tableColumn id="3" xr3:uid="{EDAC3FF8-E543-464D-9B08-967E5E55A4FA}" name="Tham chiếu" dataDxfId="1462" dataCellStyle="Comma"/>
    <tableColumn id="29" xr3:uid="{B71573E4-B697-46AB-9AAD-919DBC8C2FE4}" name="Tháng 1" dataDxfId="1461" dataCellStyle="Comma"/>
    <tableColumn id="30" xr3:uid="{BB6EF50D-0D28-463F-A546-0322F2AA023F}" name="Tháng 2" dataDxfId="1460" dataCellStyle="Comma"/>
    <tableColumn id="31" xr3:uid="{BEEDA225-F934-4EC8-A044-EF51D67FFEA6}" name="Tháng 3" dataDxfId="1459" dataCellStyle="Comma"/>
    <tableColumn id="32" xr3:uid="{B6239208-B5A0-4BB3-876A-5D5156EDB6DD}" name="Tháng 4" dataDxfId="1458" dataCellStyle="Comma"/>
    <tableColumn id="33" xr3:uid="{7E493B9B-A5A9-4C91-9CC4-83B34E29EE50}" name="Tháng 5" dataDxfId="1457" dataCellStyle="Comma"/>
    <tableColumn id="34" xr3:uid="{37ACC2D8-4DEE-4789-AFB8-5D6B17420595}" name="Tháng 6" dataDxfId="1456" dataCellStyle="Comma"/>
    <tableColumn id="35" xr3:uid="{C38990B5-9F3B-4DB4-9798-79782F699076}" name="Tháng 7" dataDxfId="1455" dataCellStyle="Comma"/>
    <tableColumn id="36" xr3:uid="{11218192-6632-468B-9EE7-26F36E3398AE}" name="Tháng 8" dataDxfId="1454" dataCellStyle="Comma"/>
    <tableColumn id="37" xr3:uid="{CFC4D188-33E2-4A7B-A9BD-E10A0C069D17}" name="Tháng 9" dataDxfId="1453" dataCellStyle="Comma"/>
    <tableColumn id="38" xr3:uid="{98901CFD-0E90-426A-B1AE-8391DAC8D976}" name="Tháng 10" dataDxfId="1452" dataCellStyle="Comma"/>
    <tableColumn id="39" xr3:uid="{1F566442-3E89-4C65-9077-775BF6EF3FB6}" name="Tháng 11" dataDxfId="1451" dataCellStyle="Comma"/>
    <tableColumn id="40" xr3:uid="{58E047CC-369A-45E9-970B-69863F3C0B10}" name="Tháng 12" dataDxfId="1450" dataCellStyle="Comma"/>
    <tableColumn id="4" xr3:uid="{A3D771E3-1BF0-4769-9E5D-0A43A6EE075D}" name="Add" dataDxfId="1449" dataCellStyle="Comma"/>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5:P148" totalsRowCount="1" headerRowDxfId="1448" dataDxfId="1447" totalsRowDxfId="1446" headerRowCellStyle="Comma" dataCellStyle="Comma" totalsRowCellStyle="Comma">
  <autoFilter ref="B145:P147" xr:uid="{9E645D46-1A44-4F2B-8728-BC01BC6E8461}"/>
  <tableColumns count="15">
    <tableColumn id="1" xr3:uid="{5AA33CFF-2395-41B5-BF4C-27903568360B}" name="Kế hoạch ngân sách" totalsRowLabel="Total" dataDxfId="1445" totalsRowDxfId="1444" dataCellStyle="Comma" totalsRowCellStyle="Comma"/>
    <tableColumn id="3" xr3:uid="{DAE9A5E1-2CB3-4173-B33F-044FDCA10A62}" name="Tham chiếu" totalsRowFunction="sum" dataDxfId="1443" totalsRowDxfId="1442" dataCellStyle="Comma" totalsRowCellStyle="Comma">
      <calculatedColumnFormula array="1"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calculatedColumnFormula>
    </tableColumn>
    <tableColumn id="29" xr3:uid="{89D89AB7-BC0F-4F78-B5ED-5E36151E42EB}" name="Tháng 1" totalsRowFunction="sum" dataDxfId="1441" totalsRowDxfId="1440" dataCellStyle="Comma" totalsRowCellStyle="Comma"/>
    <tableColumn id="30" xr3:uid="{34C4D473-7E36-46F9-9EBA-E56D5FD0E172}" name="Tháng 2" totalsRowFunction="sum" dataDxfId="1439" totalsRowDxfId="1438" dataCellStyle="Comma" totalsRowCellStyle="Comma"/>
    <tableColumn id="31" xr3:uid="{20ECC82F-669A-4503-8155-4E0BD0CD521E}" name="Tháng 3" totalsRowFunction="sum" dataDxfId="1437" totalsRowDxfId="1436" dataCellStyle="Comma" totalsRowCellStyle="Comma"/>
    <tableColumn id="32" xr3:uid="{D7DF4C08-EF0D-459E-A993-EC17AB53D1BF}" name="Tháng 4" totalsRowFunction="sum" dataDxfId="1435" totalsRowDxfId="1434" dataCellStyle="Comma" totalsRowCellStyle="Comma"/>
    <tableColumn id="33" xr3:uid="{508CE090-5BF6-43D6-9AA3-7D2F39531309}" name="Tháng 5" totalsRowFunction="sum" dataDxfId="1433" totalsRowDxfId="1432" dataCellStyle="Comma" totalsRowCellStyle="Comma"/>
    <tableColumn id="34" xr3:uid="{6E7DB939-A67C-4B62-A246-94DEF021C7FA}" name="Tháng 6" totalsRowFunction="sum" dataDxfId="1431" totalsRowDxfId="1430" dataCellStyle="Comma" totalsRowCellStyle="Comma"/>
    <tableColumn id="35" xr3:uid="{E8F31322-4527-4EB4-8EBD-8E8CFD5F5E16}" name="Tháng 7" totalsRowFunction="sum" dataDxfId="1429" totalsRowDxfId="1428" dataCellStyle="Comma" totalsRowCellStyle="Comma"/>
    <tableColumn id="36" xr3:uid="{749398F3-9AB9-41DA-86BA-A41AB260C8A0}" name="Tháng 8" totalsRowFunction="sum" dataDxfId="1427" totalsRowDxfId="1426" dataCellStyle="Comma" totalsRowCellStyle="Comma"/>
    <tableColumn id="37" xr3:uid="{679E67DA-BE73-4F1E-904E-D4BAB51D59D2}" name="Tháng 9" totalsRowFunction="sum" dataDxfId="1425" totalsRowDxfId="1424" dataCellStyle="Comma" totalsRowCellStyle="Comma"/>
    <tableColumn id="38" xr3:uid="{C8B5B370-BD7A-42F4-ACA7-19D7B1064E9D}" name="Tháng 10" totalsRowFunction="sum" dataDxfId="1423" totalsRowDxfId="1422" dataCellStyle="Comma" totalsRowCellStyle="Comma"/>
    <tableColumn id="39" xr3:uid="{00FB2879-3329-4378-ACCB-05253AA210A9}" name="Tháng 11" totalsRowFunction="sum" dataDxfId="1421" totalsRowDxfId="1420" dataCellStyle="Comma" totalsRowCellStyle="Comma"/>
    <tableColumn id="40" xr3:uid="{EF5EC11B-262C-449B-BCD4-40B6D08C6A4E}" name="Tháng 12" totalsRowFunction="sum" dataDxfId="1419" totalsRowDxfId="1418" dataCellStyle="Comma" totalsRowCellStyle="Comma"/>
    <tableColumn id="4" xr3:uid="{CCC250CA-6149-4031-BDD7-4D41AD38E16A}" name="Add" dataDxfId="1417" totalsRowDxfId="1416" dataCellStyle="Comma" totalsRowCellStyle="Comma"/>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81:P83" totalsRowCount="1" headerRowDxfId="1415" dataDxfId="1414" totalsRowDxfId="1413">
  <autoFilter ref="B81:P82" xr:uid="{90CB3F43-228B-42C8-8033-82A9C464218A}"/>
  <tableColumns count="15">
    <tableColumn id="1" xr3:uid="{3372742A-D250-4646-8967-F0313A30B44F}" name="Kế hoạch chi phí nguyên liệu, vật tư" totalsRowLabel="Total" dataDxfId="1412" totalsRowDxfId="1411" dataCellStyle="Comma" totalsRowCellStyle="Comma"/>
    <tableColumn id="3" xr3:uid="{44871731-2E3E-470C-8662-4B271913AE86}" name="Tham chiếu" totalsRowFunction="sum" dataDxfId="1410" totalsRowDxfId="1409" dataCellStyle="Comma" totalsRowCellStyle="Comma">
      <calculatedColumnFormula array="1">-IFERROR(
SUM(_xlfn._xlws.FILTER(Table_TonKho[Chi phí ghi nhận],
(Table_TonKho[Nguyên liệu] = Table_KeHoach_ChiPhiVatTuSX[[#This Row],[Kế hoạch chi phí nguyên liệu, vật tư]]) *
(Table_TonKho[Kỳ] &gt;=BCQT_BatDau) *
(Table_TonKho[Kỳ] &lt;BCQT_KetThuc)
)),0) /
ROUND((BCQT_KetThuc-BCQT_BatDau)/(365.25/12),0)</calculatedColumnFormula>
    </tableColumn>
    <tableColumn id="27" xr3:uid="{8ED96F53-513C-4E33-A5C5-182322C75381}" name="Tháng 1" totalsRowFunction="sum" dataDxfId="1408" totalsRowDxfId="1407" dataCellStyle="Comma" totalsRowCellStyle="Comma"/>
    <tableColumn id="28" xr3:uid="{EB268450-C92C-4EF4-B250-D1327E4DB0DD}" name="Tháng 2" totalsRowFunction="sum" dataDxfId="1406" totalsRowDxfId="1405" dataCellStyle="Comma" totalsRowCellStyle="Comma"/>
    <tableColumn id="29" xr3:uid="{9F8929A2-D8E6-4D5D-85C6-982E5C57DFB2}" name="Tháng 3" totalsRowFunction="sum" dataDxfId="1404" totalsRowDxfId="1403" dataCellStyle="Comma" totalsRowCellStyle="Comma"/>
    <tableColumn id="30" xr3:uid="{3B0680D1-6885-4501-8FDB-F1318F6CB0D8}" name="Tháng 4" totalsRowFunction="sum" dataDxfId="1402" totalsRowDxfId="1401" dataCellStyle="Comma" totalsRowCellStyle="Comma"/>
    <tableColumn id="31" xr3:uid="{BBAA5574-2400-46B0-9AF9-20B2BFDBD9DF}" name="Tháng 5" totalsRowFunction="sum" dataDxfId="1400" totalsRowDxfId="1399" dataCellStyle="Comma" totalsRowCellStyle="Comma"/>
    <tableColumn id="32" xr3:uid="{25BFBF1C-5AF4-49AE-8773-D775BD10541C}" name="Tháng 6" totalsRowFunction="sum" dataDxfId="1398" totalsRowDxfId="1397" dataCellStyle="Comma" totalsRowCellStyle="Comma"/>
    <tableColumn id="33" xr3:uid="{9DD9B0AB-9ADC-404B-A15A-150336570D6B}" name="Tháng 7" totalsRowFunction="sum" dataDxfId="1396" totalsRowDxfId="1395" dataCellStyle="Comma" totalsRowCellStyle="Comma"/>
    <tableColumn id="34" xr3:uid="{DB26B895-DA94-430D-B8B1-C4810F234A02}" name="Tháng 8" totalsRowFunction="sum" dataDxfId="1394" totalsRowDxfId="1393" dataCellStyle="Comma" totalsRowCellStyle="Comma"/>
    <tableColumn id="35" xr3:uid="{B41AAD7F-0471-425C-9C94-E0F57D8A3FD4}" name="Tháng 9" totalsRowFunction="sum" dataDxfId="1392" totalsRowDxfId="1391" dataCellStyle="Comma" totalsRowCellStyle="Comma"/>
    <tableColumn id="36" xr3:uid="{3C7456A8-64D5-4793-A017-A86820EA5328}" name="Tháng 10" totalsRowFunction="sum" dataDxfId="1390" totalsRowDxfId="1389" dataCellStyle="Comma" totalsRowCellStyle="Comma"/>
    <tableColumn id="37" xr3:uid="{4A752FBB-A857-49FA-9DFF-0746C4B7C7B3}" name="Tháng 11" totalsRowFunction="sum" dataDxfId="1388" totalsRowDxfId="1387" dataCellStyle="Comma" totalsRowCellStyle="Comma"/>
    <tableColumn id="38" xr3:uid="{25FB919C-492A-46B1-B521-987406C79B89}" name="Tháng 12" totalsRowFunction="sum" dataDxfId="1386" totalsRowDxfId="1385" dataCellStyle="Comma" totalsRowCellStyle="Comma"/>
    <tableColumn id="4" xr3:uid="{76B04028-0E93-449E-88F6-4D49CB59F867}" name="Add" dataDxfId="1384" totalsRowDxfId="1383"/>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6:P88" totalsRowCount="1" headerRowDxfId="1382" dataDxfId="1381" totalsRowDxfId="1380" headerRowCellStyle="Comma" dataCellStyle="Comma" totalsRowCellStyle="Comma">
  <autoFilter ref="B86:P87" xr:uid="{221B0537-5FEB-4DED-A19F-3E6B77DA9996}"/>
  <tableColumns count="15">
    <tableColumn id="1" xr3:uid="{17A55D1D-8A7F-46C4-A78E-E6D88609A0ED}" name="Kế hoạch chi phí tiện ích sản xuất" totalsRowLabel="Total" dataDxfId="1379" totalsRowDxfId="1378" dataCellStyle="Comma" totalsRowCellStyle="Comma"/>
    <tableColumn id="3" xr3:uid="{03133537-8970-47C4-9CB1-F57A233D5355}" name="Tham chiếu" totalsRowFunction="sum" dataDxfId="1377" totalsRowDxfId="1376" dataCellStyle="Comma" totalsRowCellStyle="Comma">
      <calculatedColumnFormula array="1" xml:space="preserve">
(-IFERROR(SUM(
_xlfn._xlws.FILTER(Table_ChiPhiKD[Phân bổ sản xuất],
(Table_ChiPhiKD[Kỳ] &gt;=BCQT_BatDau) *
(Table_ChiPhiKD[Kỳ] &lt;BCQT_KetThuc) *
(Table_ChiPhiKD[Nhóm chi phí] = Table_KeHoach_ChiPhiTienIchSX[[#This Row],[Kế hoạch chi phí tiện ích sản xuất]] )
)),0)
- IFERROR(SUMPRODUCT(
_xlfn._xlws.FILTER(Table_ChiPhiKD[Phân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calculatedColumnFormula>
    </tableColumn>
    <tableColumn id="27" xr3:uid="{0E5F53FE-DD99-49BB-956B-C5B039632FC3}" name="Tháng 1" totalsRowFunction="sum" dataDxfId="1375" totalsRowDxfId="1374" dataCellStyle="Comma" totalsRowCellStyle="Comma"/>
    <tableColumn id="28" xr3:uid="{408F329E-A3BD-4780-A836-586D06F3F5F6}" name="Tháng 2" totalsRowFunction="sum" dataDxfId="1373" totalsRowDxfId="1372" dataCellStyle="Comma" totalsRowCellStyle="Comma"/>
    <tableColumn id="29" xr3:uid="{93B60ABC-5251-432D-8B09-2C62360426B9}" name="Tháng 3" totalsRowFunction="sum" dataDxfId="1371" totalsRowDxfId="1370" dataCellStyle="Comma" totalsRowCellStyle="Comma"/>
    <tableColumn id="30" xr3:uid="{8CA584FC-B8D9-4903-8138-100091B50430}" name="Tháng 4" totalsRowFunction="sum" dataDxfId="1369" totalsRowDxfId="1368" dataCellStyle="Comma" totalsRowCellStyle="Comma"/>
    <tableColumn id="31" xr3:uid="{D7148F32-51F6-407D-BA56-EEF0BAAFF045}" name="Tháng 5" totalsRowFunction="sum" dataDxfId="1367" totalsRowDxfId="1366" dataCellStyle="Comma" totalsRowCellStyle="Comma"/>
    <tableColumn id="32" xr3:uid="{E4B3771C-3F5D-4E1B-B8C5-F0AB7A779F31}" name="Tháng 6" totalsRowFunction="sum" dataDxfId="1365" totalsRowDxfId="1364" dataCellStyle="Comma" totalsRowCellStyle="Comma"/>
    <tableColumn id="33" xr3:uid="{BB5112F1-DF2B-46EF-A759-0B8526A16202}" name="Tháng 7" totalsRowFunction="sum" dataDxfId="1363" totalsRowDxfId="1362" dataCellStyle="Comma" totalsRowCellStyle="Comma"/>
    <tableColumn id="34" xr3:uid="{53491907-D6B4-44B1-B631-825C9AB3EAC9}" name="Tháng 8" totalsRowFunction="sum" dataDxfId="1361" totalsRowDxfId="1360" dataCellStyle="Comma" totalsRowCellStyle="Comma"/>
    <tableColumn id="35" xr3:uid="{DBD3DFBF-CB4A-4279-B26F-2294BD4221B8}" name="Tháng 9" totalsRowFunction="sum" dataDxfId="1359" totalsRowDxfId="1358" dataCellStyle="Comma" totalsRowCellStyle="Comma"/>
    <tableColumn id="36" xr3:uid="{99835027-2C0C-4E07-8D04-B5AEE2FCAED3}" name="Tháng 10" totalsRowFunction="sum" dataDxfId="1357" totalsRowDxfId="1356" dataCellStyle="Comma" totalsRowCellStyle="Comma"/>
    <tableColumn id="37" xr3:uid="{E54489E3-CF50-4AF1-8114-420E4169CF1C}" name="Tháng 11" totalsRowFunction="sum" dataDxfId="1355" totalsRowDxfId="1354" dataCellStyle="Comma" totalsRowCellStyle="Comma"/>
    <tableColumn id="38" xr3:uid="{81D93D54-7809-486C-8C6D-B20D35EC3603}" name="Tháng 12" totalsRowFunction="sum" dataDxfId="1353" totalsRowDxfId="1352" dataCellStyle="Comma" totalsRowCellStyle="Comma"/>
    <tableColumn id="4" xr3:uid="{D87FE2DC-D034-48F9-B0EF-D04F9DE6812D}" name="Add" dataDxfId="1351" totalsRowDxfId="1350" dataCellStyle="Comma" totalsRowCellStyle="Comma"/>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6:P107" totalsRowShown="0" headerRowDxfId="1349" dataDxfId="1348" headerRowCellStyle="Percent" dataCellStyle="Percent">
  <autoFilter ref="B106:P107" xr:uid="{6F4378BF-C48C-4BF7-978E-B05133837A9C}"/>
  <tableColumns count="15">
    <tableColumn id="1" xr3:uid="{0AB704CD-6E77-4A19-8A14-44B491ED44A9}" name="Kế hoạch tỷ lệ CK thanh toán" dataDxfId="1347" dataCellStyle="Percent"/>
    <tableColumn id="3" xr3:uid="{2D2F2141-648C-44C4-A38F-63B74B7ADD09}" name="Tham chiếu" dataDxfId="1346" dataCellStyle="Percent">
      <calculatedColumnFormula array="1">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calculatedColumnFormula>
    </tableColumn>
    <tableColumn id="27" xr3:uid="{8572BB42-B998-4847-BD79-619E9E413158}" name="Tháng 1" dataDxfId="1345" dataCellStyle="Percent"/>
    <tableColumn id="28" xr3:uid="{84EE1221-DEC1-4F70-9345-67F537D90FF1}" name="Tháng 2" dataDxfId="1344" dataCellStyle="Percent"/>
    <tableColumn id="29" xr3:uid="{529C4CF1-0CD0-4188-9775-240208D63558}" name="Tháng 3" dataDxfId="1343" dataCellStyle="Percent"/>
    <tableColumn id="30" xr3:uid="{388C03E3-701B-43CD-98FF-FB59C839699F}" name="Tháng 4" dataDxfId="1342" dataCellStyle="Percent"/>
    <tableColumn id="31" xr3:uid="{A27FB24F-7DB3-45CA-9BB7-26DE3660DD4A}" name="Tháng 5" dataDxfId="1341" dataCellStyle="Percent"/>
    <tableColumn id="32" xr3:uid="{CDFB964C-256B-4671-9E9A-6736F6E35215}" name="Tháng 6" dataDxfId="1340" dataCellStyle="Percent"/>
    <tableColumn id="33" xr3:uid="{9F5978D1-9D0F-435B-B981-77F26AB879EC}" name="Tháng 7" dataDxfId="1339" dataCellStyle="Percent"/>
    <tableColumn id="34" xr3:uid="{9C76757D-0A13-4B88-A3E0-8FB691A90FD6}" name="Tháng 8" dataDxfId="1338" dataCellStyle="Percent"/>
    <tableColumn id="35" xr3:uid="{42FBE347-EDDD-4577-A72B-093288F992EA}" name="Tháng 9" dataDxfId="1337" dataCellStyle="Percent"/>
    <tableColumn id="36" xr3:uid="{C10786ED-D15A-4048-B931-CE8FE052E0BB}" name="Tháng 10" dataDxfId="1336" dataCellStyle="Percent"/>
    <tableColumn id="37" xr3:uid="{E0E1F05E-4DF9-48A2-A327-71B98B576B04}" name="Tháng 11" dataDxfId="1335" dataCellStyle="Percent"/>
    <tableColumn id="38" xr3:uid="{1B2BC369-8B67-4EA4-B6B1-78066DCB5241}" name="Tháng 12" dataDxfId="1334" dataCellStyle="Percent"/>
    <tableColumn id="4" xr3:uid="{AD6DF885-CE62-49F9-A015-3CAAF11FE2E4}" name="Add" dataDxfId="1333" dataCellStyle="Percent"/>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10:P111" totalsRowShown="0" headerRowDxfId="1332" dataDxfId="1331" headerRowCellStyle="Percent" dataCellStyle="Percent">
  <autoFilter ref="B110:P111" xr:uid="{4DB4E945-1A05-4874-A72A-EEAF59322C13}"/>
  <tableColumns count="15">
    <tableColumn id="1" xr3:uid="{EBB5E7C6-D939-4589-8704-A0CFFC685DB4}" name="Kế hoạch tỷ trọng doanh thu" dataDxfId="1330" dataCellStyle="Percent"/>
    <tableColumn id="3" xr3:uid="{F510D5AB-1223-433A-9DD7-BB949C5603C7}" name="Tham chiếu" dataDxfId="1329" dataCellStyle="Percent">
      <calculatedColumnFormula array="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calculatedColumnFormula>
    </tableColumn>
    <tableColumn id="27" xr3:uid="{DFF02D24-4281-4ED6-A6C5-733B4AECC52A}" name="Tháng 1" dataDxfId="1328" dataCellStyle="Percent"/>
    <tableColumn id="28" xr3:uid="{AC15DDAC-1488-496D-A1FD-755A17C1765C}" name="Tháng 2" dataDxfId="1327" dataCellStyle="Percent"/>
    <tableColumn id="29" xr3:uid="{8F89C81C-9306-4476-9065-1C9055D23101}" name="Tháng 3" dataDxfId="1326" dataCellStyle="Percent"/>
    <tableColumn id="30" xr3:uid="{FB51BEB5-3EBC-4225-AFA9-1582A2D0E694}" name="Tháng 4" dataDxfId="1325" dataCellStyle="Percent"/>
    <tableColumn id="31" xr3:uid="{D59A1D80-6E2A-4F74-B9B2-3CB8EE5D48AC}" name="Tháng 5" dataDxfId="1324" dataCellStyle="Percent"/>
    <tableColumn id="32" xr3:uid="{B5BA3823-4DA6-4052-877C-67FB19C2D153}" name="Tháng 6" dataDxfId="1323" dataCellStyle="Percent"/>
    <tableColumn id="33" xr3:uid="{87A57697-B2D6-4D67-AF6D-87B1A2F2031D}" name="Tháng 7" dataDxfId="1322" dataCellStyle="Percent"/>
    <tableColumn id="34" xr3:uid="{52576BFB-2F7A-44B4-BE29-972875199C82}" name="Tháng 8" dataDxfId="1321" dataCellStyle="Percent"/>
    <tableColumn id="35" xr3:uid="{60667DE0-46F3-41A5-B737-276C5E83E46B}" name="Tháng 9" dataDxfId="1320" dataCellStyle="Percent"/>
    <tableColumn id="36" xr3:uid="{79D79A59-26BF-4C3B-BAB3-FCDB2B9DBFA0}" name="Tháng 10" dataDxfId="1319" dataCellStyle="Percent"/>
    <tableColumn id="37" xr3:uid="{EE95E868-2995-43EE-8E53-035105D694A9}" name="Tháng 11" dataDxfId="1318" dataCellStyle="Percent"/>
    <tableColumn id="38" xr3:uid="{1C4C6182-AF5E-42F6-A7FF-40D2E44EBD89}" name="Tháng 12" dataDxfId="1317" dataCellStyle="Percent"/>
    <tableColumn id="4" xr3:uid="{18EAC69D-6080-4C06-8FE2-E9D20A33237A}" name="Add" dataDxfId="1316" dataCellStyle="Percent"/>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4:P116" totalsRowCount="1" headerRowDxfId="1315" dataDxfId="1314" totalsRowDxfId="1313" headerRowCellStyle="Comma" dataCellStyle="Comma" totalsRowCellStyle="Comma">
  <autoFilter ref="B114:P115" xr:uid="{4E79D7EF-FE20-446B-8CC3-46D2CC3EA444}"/>
  <tableColumns count="15">
    <tableColumn id="1" xr3:uid="{26A35DC7-8E8B-45E3-BB3A-C37DFD8EE114}" name="Kế hoạch chi phí thanh toán" totalsRowLabel="Total" dataDxfId="1312" totalsRowDxfId="1311" dataCellStyle="Comma" totalsRowCellStyle="Comma"/>
    <tableColumn id="3" xr3:uid="{57AF8CD3-7273-4172-8B35-08BB4E2A0CEF}" name="Tham chiếu" totalsRowFunction="sum" dataDxfId="1310" totalsRowDxfId="1309" dataCellStyle="Comma" totalsRowCellStyle="Comma">
      <calculatedColumnFormula array="1">-IFERROR(
SUM(_xlfn._xlws.FILTER(Table_ThuChiKD[Phí GD],
(Table_ThuChiKD[TK GD] = Table_KeHoach_ChiPhiThanhToan[[#This Row],[Kế hoạch chi phí thanh toán]]) *
(Table_ThuChiKD[Ngày GD] &gt;=BCQT_BatDau) *
(Table_ThuChiKD[Ngày GD] &lt; BCQT_KetThuc )
)),0)/
ROUND((BCQT_KetThuc-BCQT_BatDau)/(365.25/12),0)</calculatedColumnFormula>
    </tableColumn>
    <tableColumn id="27" xr3:uid="{86C37662-7BBE-4106-9E4A-7220856970C4}" name="Tháng 1" totalsRowFunction="sum" dataDxfId="1308" totalsRowDxfId="1307" dataCellStyle="Comma" totalsRowCellStyle="Comma">
      <calculatedColumnFormula>-
INDEX(Table_KeHoach_DoanhThuTaiKhoan[#All],
MATCH(Table_KeHoach_ChiPhiThanhToan[[#This Row],[Kế hoạch chi phí thanh toán]],Table_KeHoach_DoanhThuTaiKhoan[[#All],[Kế hoạch tỷ trọng doanh thu]],0),
MATCH(D$114,Table_KeHoach_DoanhThuTaiKhoan[#Headers],0)) *
INDEX(Table_KeHoach_ChietKhauThanToan[#All],
MATCH(Table_KeHoach_ChiPhiThanhToan[[#This Row],[Kế hoạch chi phí thanh toán]],Table_KeHoach_ChietKhauThanToan[[#All],[Kế hoạch tỷ lệ CK thanh toán]],0),
MATCH(D$114,Table_KeHoach_ChietKhauThanToan[#Headers],0)) *
HLOOKUP(D$114,Table_KeHoach_DoanhThu[#All],COUNTA(Table_KeHoach_DoanhThu[[#All],[Kế hoạch doanh thu gộp]]),0)</calculatedColumnFormula>
    </tableColumn>
    <tableColumn id="28" xr3:uid="{3C1FD459-BE52-476C-A231-93612BDC781D}" name="Tháng 2" totalsRowFunction="sum" dataDxfId="1306" totalsRowDxfId="1305" dataCellStyle="Comma" totalsRowCellStyle="Comma">
      <calculatedColumnFormula>-
INDEX(Table_KeHoach_DoanhThuTaiKhoan[#All],
MATCH(Table_KeHoach_ChiPhiThanhToan[[#This Row],[Kế hoạch chi phí thanh toán]],Table_KeHoach_DoanhThuTaiKhoan[[#All],[Kế hoạch tỷ trọng doanh thu]],0),
MATCH(E$114,Table_KeHoach_DoanhThuTaiKhoan[#Headers],0)) *
INDEX(Table_KeHoach_ChietKhauThanToan[#All],
MATCH(Table_KeHoach_ChiPhiThanhToan[[#This Row],[Kế hoạch chi phí thanh toán]],Table_KeHoach_ChietKhauThanToan[[#All],[Kế hoạch tỷ lệ CK thanh toán]],0),
MATCH(E$114,Table_KeHoach_ChietKhauThanToan[#Headers],0)) *
HLOOKUP(E$114,Table_KeHoach_DoanhThu[#All],COUNTA(Table_KeHoach_DoanhThu[[#All],[Kế hoạch doanh thu gộp]]),0)</calculatedColumnFormula>
    </tableColumn>
    <tableColumn id="29" xr3:uid="{44E99AC0-CE1E-4FEA-B1EC-56FE319B7BDB}" name="Tháng 3" totalsRowFunction="sum" dataDxfId="1304" totalsRowDxfId="1303" dataCellStyle="Comma" totalsRowCellStyle="Comma">
      <calculatedColumnFormula>-
INDEX(Table_KeHoach_DoanhThuTaiKhoan[#All],
MATCH(Table_KeHoach_ChiPhiThanhToan[[#This Row],[Kế hoạch chi phí thanh toán]],Table_KeHoach_DoanhThuTaiKhoan[[#All],[Kế hoạch tỷ trọng doanh thu]],0),
MATCH(F$114,Table_KeHoach_DoanhThuTaiKhoan[#Headers],0)) *
INDEX(Table_KeHoach_ChietKhauThanToan[#All],
MATCH(Table_KeHoach_ChiPhiThanhToan[[#This Row],[Kế hoạch chi phí thanh toán]],Table_KeHoach_ChietKhauThanToan[[#All],[Kế hoạch tỷ lệ CK thanh toán]],0),
MATCH(F$114,Table_KeHoach_ChietKhauThanToan[#Headers],0)) *
HLOOKUP(F$114,Table_KeHoach_DoanhThu[#All],COUNTA(Table_KeHoach_DoanhThu[[#All],[Kế hoạch doanh thu gộp]]),0)</calculatedColumnFormula>
    </tableColumn>
    <tableColumn id="30" xr3:uid="{96C0360B-2A89-485D-AF92-3B6FF178430A}" name="Tháng 4" totalsRowFunction="sum" dataDxfId="1302" totalsRowDxfId="1301" dataCellStyle="Comma" totalsRowCellStyle="Comma">
      <calculatedColumnFormula>-
INDEX(Table_KeHoach_DoanhThuTaiKhoan[#All],
MATCH(Table_KeHoach_ChiPhiThanhToan[[#This Row],[Kế hoạch chi phí thanh toán]],Table_KeHoach_DoanhThuTaiKhoan[[#All],[Kế hoạch tỷ trọng doanh thu]],0),
MATCH(G$114,Table_KeHoach_DoanhThuTaiKhoan[#Headers],0)) *
INDEX(Table_KeHoach_ChietKhauThanToan[#All],
MATCH(Table_KeHoach_ChiPhiThanhToan[[#This Row],[Kế hoạch chi phí thanh toán]],Table_KeHoach_ChietKhauThanToan[[#All],[Kế hoạch tỷ lệ CK thanh toán]],0),
MATCH(G$114,Table_KeHoach_ChietKhauThanToan[#Headers],0)) *
HLOOKUP(G$114,Table_KeHoach_DoanhThu[#All],COUNTA(Table_KeHoach_DoanhThu[[#All],[Kế hoạch doanh thu gộp]]),0)</calculatedColumnFormula>
    </tableColumn>
    <tableColumn id="31" xr3:uid="{42586720-5824-4FE3-A8DF-B80FDE5EF3D4}" name="Tháng 5" totalsRowFunction="sum" dataDxfId="1300" totalsRowDxfId="1299" dataCellStyle="Comma" totalsRowCellStyle="Comma">
      <calculatedColumnFormula>-
INDEX(Table_KeHoach_DoanhThuTaiKhoan[#All],
MATCH(Table_KeHoach_ChiPhiThanhToan[[#This Row],[Kế hoạch chi phí thanh toán]],Table_KeHoach_DoanhThuTaiKhoan[[#All],[Kế hoạch tỷ trọng doanh thu]],0),
MATCH(H$114,Table_KeHoach_DoanhThuTaiKhoan[#Headers],0)) *
INDEX(Table_KeHoach_ChietKhauThanToan[#All],
MATCH(Table_KeHoach_ChiPhiThanhToan[[#This Row],[Kế hoạch chi phí thanh toán]],Table_KeHoach_ChietKhauThanToan[[#All],[Kế hoạch tỷ lệ CK thanh toán]],0),
MATCH(H$114,Table_KeHoach_ChietKhauThanToan[#Headers],0)) *
HLOOKUP(H$114,Table_KeHoach_DoanhThu[#All],COUNTA(Table_KeHoach_DoanhThu[[#All],[Kế hoạch doanh thu gộp]]),0)</calculatedColumnFormula>
    </tableColumn>
    <tableColumn id="32" xr3:uid="{07F0297E-062C-4051-8E96-4FA401FF61A4}" name="Tháng 6" totalsRowFunction="sum" dataDxfId="1298" totalsRowDxfId="1297" dataCellStyle="Comma" totalsRowCellStyle="Comma">
      <calculatedColumnFormula>-
INDEX(Table_KeHoach_DoanhThuTaiKhoan[#All],
MATCH(Table_KeHoach_ChiPhiThanhToan[[#This Row],[Kế hoạch chi phí thanh toán]],Table_KeHoach_DoanhThuTaiKhoan[[#All],[Kế hoạch tỷ trọng doanh thu]],0),
MATCH(I$114,Table_KeHoach_DoanhThuTaiKhoan[#Headers],0)) *
INDEX(Table_KeHoach_ChietKhauThanToan[#All],
MATCH(Table_KeHoach_ChiPhiThanhToan[[#This Row],[Kế hoạch chi phí thanh toán]],Table_KeHoach_ChietKhauThanToan[[#All],[Kế hoạch tỷ lệ CK thanh toán]],0),
MATCH(I$114,Table_KeHoach_ChietKhauThanToan[#Headers],0)) *
HLOOKUP(I$114,Table_KeHoach_DoanhThu[#All],COUNTA(Table_KeHoach_DoanhThu[[#All],[Kế hoạch doanh thu gộp]]),0)</calculatedColumnFormula>
    </tableColumn>
    <tableColumn id="33" xr3:uid="{B905C123-8F78-469A-881C-7FF04EC6AA39}" name="Tháng 7" totalsRowFunction="sum" dataDxfId="1296" totalsRowDxfId="1295" dataCellStyle="Comma" totalsRowCellStyle="Comma">
      <calculatedColumnFormula>-
INDEX(Table_KeHoach_DoanhThuTaiKhoan[#All],
MATCH(Table_KeHoach_ChiPhiThanhToan[[#This Row],[Kế hoạch chi phí thanh toán]],Table_KeHoach_DoanhThuTaiKhoan[[#All],[Kế hoạch tỷ trọng doanh thu]],0),
MATCH(J$114,Table_KeHoach_DoanhThuTaiKhoan[#Headers],0)) *
INDEX(Table_KeHoach_ChietKhauThanToan[#All],
MATCH(Table_KeHoach_ChiPhiThanhToan[[#This Row],[Kế hoạch chi phí thanh toán]],Table_KeHoach_ChietKhauThanToan[[#All],[Kế hoạch tỷ lệ CK thanh toán]],0),
MATCH(J$114,Table_KeHoach_ChietKhauThanToan[#Headers],0)) *
HLOOKUP(J$114,Table_KeHoach_DoanhThu[#All],COUNTA(Table_KeHoach_DoanhThu[[#All],[Kế hoạch doanh thu gộp]]),0)</calculatedColumnFormula>
    </tableColumn>
    <tableColumn id="34" xr3:uid="{7F55150A-0CF2-4CFB-BFE1-2A95E9D95074}" name="Tháng 8" totalsRowFunction="sum" dataDxfId="1294" totalsRowDxfId="1293" dataCellStyle="Comma" totalsRowCellStyle="Comma">
      <calculatedColumnFormula>-
INDEX(Table_KeHoach_DoanhThuTaiKhoan[#All],
MATCH(Table_KeHoach_ChiPhiThanhToan[[#This Row],[Kế hoạch chi phí thanh toán]],Table_KeHoach_DoanhThuTaiKhoan[[#All],[Kế hoạch tỷ trọng doanh thu]],0),
MATCH(K$114,Table_KeHoach_DoanhThuTaiKhoan[#Headers],0)) *
INDEX(Table_KeHoach_ChietKhauThanToan[#All],
MATCH(Table_KeHoach_ChiPhiThanhToan[[#This Row],[Kế hoạch chi phí thanh toán]],Table_KeHoach_ChietKhauThanToan[[#All],[Kế hoạch tỷ lệ CK thanh toán]],0),
MATCH(K$114,Table_KeHoach_ChietKhauThanToan[#Headers],0)) *
HLOOKUP(K$114,Table_KeHoach_DoanhThu[#All],COUNTA(Table_KeHoach_DoanhThu[[#All],[Kế hoạch doanh thu gộp]]),0)</calculatedColumnFormula>
    </tableColumn>
    <tableColumn id="35" xr3:uid="{73FA5353-45C9-4ED4-999D-14E70B99E824}" name="Tháng 9" totalsRowFunction="sum" dataDxfId="1292" totalsRowDxfId="1291" dataCellStyle="Comma" totalsRowCellStyle="Comma">
      <calculatedColumnFormula>-
INDEX(Table_KeHoach_DoanhThuTaiKhoan[#All],
MATCH(Table_KeHoach_ChiPhiThanhToan[[#This Row],[Kế hoạch chi phí thanh toán]],Table_KeHoach_DoanhThuTaiKhoan[[#All],[Kế hoạch tỷ trọng doanh thu]],0),
MATCH(L$114,Table_KeHoach_DoanhThuTaiKhoan[#Headers],0)) *
INDEX(Table_KeHoach_ChietKhauThanToan[#All],
MATCH(Table_KeHoach_ChiPhiThanhToan[[#This Row],[Kế hoạch chi phí thanh toán]],Table_KeHoach_ChietKhauThanToan[[#All],[Kế hoạch tỷ lệ CK thanh toán]],0),
MATCH(L$114,Table_KeHoach_ChietKhauThanToan[#Headers],0)) *
HLOOKUP(L$114,Table_KeHoach_DoanhThu[#All],COUNTA(Table_KeHoach_DoanhThu[[#All],[Kế hoạch doanh thu gộp]]),0)</calculatedColumnFormula>
    </tableColumn>
    <tableColumn id="36" xr3:uid="{D4791067-9357-49C2-84E1-DFAC0F17A84F}" name="Tháng 10" totalsRowFunction="sum" dataDxfId="1290" totalsRowDxfId="1289" dataCellStyle="Comma" totalsRowCellStyle="Comma">
      <calculatedColumnFormula>-
INDEX(Table_KeHoach_DoanhThuTaiKhoan[#All],
MATCH(Table_KeHoach_ChiPhiThanhToan[[#This Row],[Kế hoạch chi phí thanh toán]],Table_KeHoach_DoanhThuTaiKhoan[[#All],[Kế hoạch tỷ trọng doanh thu]],0),
MATCH(M$114,Table_KeHoach_DoanhThuTaiKhoan[#Headers],0)) *
INDEX(Table_KeHoach_ChietKhauThanToan[#All],
MATCH(Table_KeHoach_ChiPhiThanhToan[[#This Row],[Kế hoạch chi phí thanh toán]],Table_KeHoach_ChietKhauThanToan[[#All],[Kế hoạch tỷ lệ CK thanh toán]],0),
MATCH(M$114,Table_KeHoach_ChietKhauThanToan[#Headers],0)) *
HLOOKUP(M$114,Table_KeHoach_DoanhThu[#All],COUNTA(Table_KeHoach_DoanhThu[[#All],[Kế hoạch doanh thu gộp]]),0)</calculatedColumnFormula>
    </tableColumn>
    <tableColumn id="37" xr3:uid="{5611D5E6-8D29-43D1-9B81-864F4CE55C4C}" name="Tháng 11" totalsRowFunction="sum" dataDxfId="1288" totalsRowDxfId="1287" dataCellStyle="Comma" totalsRowCellStyle="Comma">
      <calculatedColumnFormula>-
INDEX(Table_KeHoach_DoanhThuTaiKhoan[#All],
MATCH(Table_KeHoach_ChiPhiThanhToan[[#This Row],[Kế hoạch chi phí thanh toán]],Table_KeHoach_DoanhThuTaiKhoan[[#All],[Kế hoạch tỷ trọng doanh thu]],0),
MATCH(N$114,Table_KeHoach_DoanhThuTaiKhoan[#Headers],0)) *
INDEX(Table_KeHoach_ChietKhauThanToan[#All],
MATCH(Table_KeHoach_ChiPhiThanhToan[[#This Row],[Kế hoạch chi phí thanh toán]],Table_KeHoach_ChietKhauThanToan[[#All],[Kế hoạch tỷ lệ CK thanh toán]],0),
MATCH(N$114,Table_KeHoach_ChietKhauThanToan[#Headers],0)) *
HLOOKUP(N$114,Table_KeHoach_DoanhThu[#All],COUNTA(Table_KeHoach_DoanhThu[[#All],[Kế hoạch doanh thu gộp]]),0)</calculatedColumnFormula>
    </tableColumn>
    <tableColumn id="38" xr3:uid="{8181C98D-3CAA-4B60-8AD7-1538621D71FC}" name="Tháng 12" totalsRowFunction="sum" dataDxfId="1286" totalsRowDxfId="1285" dataCellStyle="Comma" totalsRowCellStyle="Comma">
      <calculatedColumnFormula>-
INDEX(Table_KeHoach_DoanhThuTaiKhoan[#All],
MATCH(Table_KeHoach_ChiPhiThanhToan[[#This Row],[Kế hoạch chi phí thanh toán]],Table_KeHoach_DoanhThuTaiKhoan[[#All],[Kế hoạch tỷ trọng doanh thu]],0),
MATCH(O$114,Table_KeHoach_DoanhThuTaiKhoan[#Headers],0)) *
INDEX(Table_KeHoach_ChietKhauThanToan[#All],
MATCH(Table_KeHoach_ChiPhiThanhToan[[#This Row],[Kế hoạch chi phí thanh toán]],Table_KeHoach_ChietKhauThanToan[[#All],[Kế hoạch tỷ lệ CK thanh toán]],0),
MATCH(O$114,Table_KeHoach_ChietKhauThanToan[#Headers],0)) *
HLOOKUP(O$114,Table_KeHoach_DoanhThu[#All],COUNTA(Table_KeHoach_DoanhThu[[#All],[Kế hoạch doanh thu gộp]]),0)</calculatedColumnFormula>
    </tableColumn>
    <tableColumn id="4" xr3:uid="{B0478169-E6F8-42CC-8421-DE117A26B7F0}" name="Add" dataDxfId="1284" totalsRowDxfId="1283" dataCellStyle="Comma" totalsRowCellStyle="Comma"/>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7:P69" totalsRowShown="0" headerRowDxfId="1282" dataDxfId="1281">
  <autoFilter ref="B67:P69" xr:uid="{0C63FCA5-374F-45E9-B948-7D48CC19EBA8}"/>
  <tableColumns count="15">
    <tableColumn id="1" xr3:uid="{76415C8B-364D-4D08-A827-14CA674598A8}" name="Kế hoạch chiết khấu thương mại" dataDxfId="1280"/>
    <tableColumn id="3" xr3:uid="{2D1F0164-FE3F-4FC6-81B1-670A52FB817F}" name="Tham chiếu" dataDxfId="1279">
      <calculatedColumnFormula>-C69/Table_KeHoach_DoanhThu[[#Totals],[Tham chiếu]]</calculatedColumnFormula>
    </tableColumn>
    <tableColumn id="27" xr3:uid="{F4421827-F4C5-411A-96EC-B157E5401B70}" name="Tháng 1" dataDxfId="1278">
      <calculatedColumnFormula>IFERROR(-D67*SUM(Table_KeHoach_SanLuong[Tháng 1]),0)</calculatedColumnFormula>
    </tableColumn>
    <tableColumn id="28" xr3:uid="{3D5D0C1B-0AF8-4F92-BBAC-01DC57CAA70C}" name="Tháng 2" dataDxfId="1277">
      <calculatedColumnFormula>-E67*SUM(Table_KeHoach_SanLuong[Tháng 1])</calculatedColumnFormula>
    </tableColumn>
    <tableColumn id="29" xr3:uid="{2184DEE7-0896-49DE-836E-27156D3DB4E3}" name="Tháng 3" dataDxfId="1276">
      <calculatedColumnFormula>-F67*SUM(Table_KeHoach_SanLuong[Tháng 1])</calculatedColumnFormula>
    </tableColumn>
    <tableColumn id="30" xr3:uid="{C24C7C88-ED1E-45EC-A3F8-182C13247E9C}" name="Tháng 4" dataDxfId="1275">
      <calculatedColumnFormula>-G67*SUM(Table_KeHoach_SanLuong[Tháng 1])</calculatedColumnFormula>
    </tableColumn>
    <tableColumn id="31" xr3:uid="{BB7AD995-EE6B-4BF7-A5F7-FCADABCEA453}" name="Tháng 5" dataDxfId="1274">
      <calculatedColumnFormula>-H67*SUM(Table_KeHoach_SanLuong[Tháng 1])</calculatedColumnFormula>
    </tableColumn>
    <tableColumn id="32" xr3:uid="{76BFFA42-73D8-439A-9CD4-3BBB1077ADC8}" name="Tháng 6" dataDxfId="1273">
      <calculatedColumnFormula>-I67*SUM(Table_KeHoach_SanLuong[Tháng 1])</calculatedColumnFormula>
    </tableColumn>
    <tableColumn id="33" xr3:uid="{32662CD6-B520-4DC0-9AD1-2C6240AFB0B2}" name="Tháng 7" dataDxfId="1272">
      <calculatedColumnFormula>-J67*SUM(Table_KeHoach_SanLuong[Tháng 1])</calculatedColumnFormula>
    </tableColumn>
    <tableColumn id="34" xr3:uid="{2E0AEA39-18D9-4BA8-AFDD-957A02179027}" name="Tháng 8" dataDxfId="1271">
      <calculatedColumnFormula>-K67*SUM(Table_KeHoach_SanLuong[Tháng 1])</calculatedColumnFormula>
    </tableColumn>
    <tableColumn id="35" xr3:uid="{D0234ED1-E665-4A9E-BB14-46DADF752A7F}" name="Tháng 9" dataDxfId="1270">
      <calculatedColumnFormula>-L67*SUM(Table_KeHoach_SanLuong[Tháng 1])</calculatedColumnFormula>
    </tableColumn>
    <tableColumn id="36" xr3:uid="{AD609898-BC6C-4B43-B083-24250902B7C3}" name="Tháng 10" dataDxfId="1269">
      <calculatedColumnFormula>-M67*SUM(Table_KeHoach_SanLuong[Tháng 1])</calculatedColumnFormula>
    </tableColumn>
    <tableColumn id="37" xr3:uid="{BAAC8AB2-3DB4-4465-A261-52A69FB1BEF0}" name="Tháng 11" dataDxfId="1268">
      <calculatedColumnFormula>-N67*SUM(Table_KeHoach_SanLuong[Tháng 1])</calculatedColumnFormula>
    </tableColumn>
    <tableColumn id="38" xr3:uid="{BC8D763A-019F-43F4-BDD8-DB95305BE6E2}" name="Tháng 12" dataDxfId="1267">
      <calculatedColumnFormula>-O67*SUM(Table_KeHoach_SanLuong[Tháng 1])</calculatedColumnFormula>
    </tableColumn>
    <tableColumn id="4" xr3:uid="{11843696-7620-496B-B09D-CF638E025668}" name="Add" dataDxfId="1266">
      <calculatedColumnFormula>IFERROR(-P67*Table_KeHoach_DoanhThu[[#Totals],[Tháng 1]],0)</calculatedColumnFormula>
    </tableColumn>
  </tableColumns>
  <tableStyleInfo name="TableStyleMedium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R6:T46" totalsRowShown="0" headerRowDxfId="1265" dataDxfId="1264">
  <autoFilter ref="R6:T46" xr:uid="{1035B389-90D7-47BF-AE83-78827CD02611}"/>
  <tableColumns count="3">
    <tableColumn id="1" xr3:uid="{D1EA0B06-F776-4AE7-AFFA-8DDC0BEBB2C7}" name="Gtri" dataDxfId="1263"/>
    <tableColumn id="2" xr3:uid="{0706F8C0-4E8F-4E17-944F-ADD88182B0AD}" name="Năm đầu"/>
    <tableColumn id="15" xr3:uid="{0A76CFCF-213F-4B57-ACE5-C49B82D60DF1}" name="Add" dataDxfId="1262"/>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V6:X46" totalsRowShown="0" headerRowDxfId="1261" dataDxfId="1260">
  <autoFilter ref="V6:X46" xr:uid="{F0D1B767-E383-406E-8FDE-2130594FDFAA}"/>
  <tableColumns count="3">
    <tableColumn id="1" xr3:uid="{E01F3758-F6DC-4D50-BA14-C5C056EB4B41}" name="Gtri" dataDxfId="1259"/>
    <tableColumn id="2" xr3:uid="{CB73AAAC-EF9D-4925-906C-58B5DD9788C4}" name="Tháng" dataDxfId="1258" dataCellStyle="Comma"/>
    <tableColumn id="15" xr3:uid="{4E548353-44A3-44DF-A1B7-3D2C4835FE97}" name="Add" dataDxfId="1257" dataCellStyle="Comma"/>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D11160-D408-4F9E-8B62-E6189C384C94}" name="Table_KeHoach_TyTrongThang" displayName="Table_KeHoach_TyTrongThang" ref="B49:P50" totalsRowShown="0" headerRowDxfId="1256" dataDxfId="1255">
  <autoFilter ref="B49:P50" xr:uid="{E0D11160-D408-4F9E-8B62-E6189C384C94}"/>
  <tableColumns count="15">
    <tableColumn id="1" xr3:uid="{16C9D670-EA68-4A8B-8672-EE3107C3457C}" name="Tăng trưởng sản lượng" dataDxfId="1254"/>
    <tableColumn id="4" xr3:uid="{552A8344-0BA7-4A80-9F4F-C60A1502FBBF}" name="Tăng trưởng năm" dataDxfId="1253" dataCellStyle="Percent">
      <calculatedColumnFormula array="1" xml:space="preserve">
(
(+IFERROR(SUM(
_xlfn._xlws.FILTER(Table_Main[Số lượng],
(Table_Main[Mã SKU] = $B50) *
NOT(ISBLANK(Table_Main[Đơn bán]))*
(Table_Main[Loại] = "Xuất")*
(Table_Main[Ngày lên đơn] &gt;= DATE(YEAR(BCQT_KetThuc)-1,1,1))*
(Table_Main[Ngày lên đơn] &lt; DATE(YEAR(BCQT_KetThuc),1,1))
)),0)
-IFERROR(SUM(
_xlfn._xlws.FILTER(Table_Main[Số lượng],
(Table_Main[Mã SKU] = $B50) *
NOT(ISBLANK(Table_Main[Đơn bán]))*
(Table_Main[Loại] = "Nhập")*
(Table_Main[Ngày lên đơn] &gt;= DATE(YEAR(BCQT_KetThuc)-1,1,1))*
(Table_Main[Ngày lên đơn] &lt; DATE(YEAR(BCQT_KetThuc),1,1))
)),0)) /
(+IFERROR(SUM(
_xlfn._xlws.FILTER(Table_Main[Số lượng],
(Table_Main[Mã SKU] = $B50) *
NOT(ISBLANK(Table_Main[Đơn bán]))*
(Table_Main[Loại] = "Xuất")*
(Table_Main[Ngày lên đơn] &gt;= DATE(YEAR(BCQT_BatDau),1,1))*
(Table_Main[Ngày lên đơn] &lt; DATE(YEAR(BCQT_BatDau)+1,1,1))
)),0)
-IFERROR(SUM(
_xlfn._xlws.FILTER(Table_Main[Số lượng],
(Table_Main[Mã SKU] = $B50) *
NOT(ISBLANK(Table_Main[Đơn bán]))*
(Table_Main[Loại] = "Nhập")*
(Table_Main[Ngày lên đơn] &gt;= DATE(YEAR(BCQT_BatDau),1,1))*
(Table_Main[Ngày lên đơn] &lt; DATE(YEAR(BCQT_BatDau)+1,1,1))
)),0))
) ^(1/(YEAR(BCQT_KetThuc)-YEAR(BCQT_BatDau)))
-1</calculatedColumnFormula>
    </tableColumn>
    <tableColumn id="29" xr3:uid="{9B8A7F6E-897A-44BE-BD66-B660519A701D}" name="Tháng 1" dataDxfId="1252"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D$1)
)),0)
-IFERROR(SUM(
_xlfn._xlws.FILTER(Table_Main[Số lượng],
(Table_Main[Mã SKU] = $B50) *
NOT(ISBLANK(Table_Main[Đơn bán]))*
(Table_Main[Loại] = "Nhập")*
(Table_Main[Ngày lên đơn] &gt;= BCQT_BatDau)*
(Table_Main[Ngày lên đơn] &lt; BCQT_KetThuc)*
(Table_Main[Tháng lên đơn] = D$1)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0" xr3:uid="{8EF1BEEF-325B-4442-BB24-1F43AC12FFA3}" name="Tháng 2" dataDxfId="1251"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E$1)
)),0)
-IFERROR(SUM(
_xlfn._xlws.FILTER(Table_Main[Số lượng],
(Table_Main[Mã SKU] = $B50) *
NOT(ISBLANK(Table_Main[Đơn bán]))*
(Table_Main[Loại] = "Nhập")*
(Table_Main[Ngày lên đơn] &gt;= BCQT_BatDau)*
(Table_Main[Ngày lên đơn] &lt; BCQT_KetThuc)*
(Table_Main[Tháng lên đơn] = E$1)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1" xr3:uid="{E04AA4CF-F4E3-4DCF-8E7A-D54722B46F67}" name="Tháng 3" dataDxfId="1250"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F$1)
)),0)
-IFERROR(SUM(
_xlfn._xlws.FILTER(Table_Main[Số lượng],
(Table_Main[Mã SKU] = $B50) *
NOT(ISBLANK(Table_Main[Đơn bán]))*
(Table_Main[Loại] = "Nhập")*
(Table_Main[Ngày lên đơn] &gt;= BCQT_BatDau)*
(Table_Main[Ngày lên đơn] &lt; BCQT_KetThuc)*
(Table_Main[Tháng lên đơn] = F$1)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2" xr3:uid="{F63803E2-3B6F-4126-81EA-2C9E579D5991}" name="Tháng 4" dataDxfId="1249"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G$1)
)),0)
-IFERROR(SUM(
_xlfn._xlws.FILTER(Table_Main[Số lượng],
(Table_Main[Mã SKU] = $B50) *
NOT(ISBLANK(Table_Main[Đơn bán]))*
(Table_Main[Loại] = "Nhập")*
(Table_Main[Ngày lên đơn] &gt;= BCQT_BatDau)*
(Table_Main[Ngày lên đơn] &lt; BCQT_KetThuc)*
(Table_Main[Tháng lên đơn] = G$1)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3" xr3:uid="{874CE8E0-0A71-4303-A7B7-5FB1B611EE8C}" name="Tháng 5" dataDxfId="1248"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H$1)
)),0)
-IFERROR(SUM(
_xlfn._xlws.FILTER(Table_Main[Số lượng],
(Table_Main[Mã SKU] = $B50) *
NOT(ISBLANK(Table_Main[Đơn bán]))*
(Table_Main[Loại] = "Nhập")*
(Table_Main[Ngày lên đơn] &gt;= BCQT_BatDau)*
(Table_Main[Ngày lên đơn] &lt; BCQT_KetThuc)*
(Table_Main[Tháng lên đơn] = H$1)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4" xr3:uid="{7CA199D1-3DB8-43FB-8755-3CBCCABF080A}" name="Tháng 6" dataDxfId="1247"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I$1)
)),0)
-IFERROR(SUM(
_xlfn._xlws.FILTER(Table_Main[Số lượng],
(Table_Main[Mã SKU] = $B50) *
NOT(ISBLANK(Table_Main[Đơn bán]))*
(Table_Main[Loại] = "Nhập")*
(Table_Main[Ngày lên đơn] &gt;= BCQT_BatDau)*
(Table_Main[Ngày lên đơn] &lt; BCQT_KetThuc)*
(Table_Main[Tháng lên đơn] = I$1)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5" xr3:uid="{9CC0E82D-F333-4227-8CA5-F1A3CF87188C}" name="Tháng 7" dataDxfId="1246"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J$1)
)),0)
-IFERROR(SUM(
_xlfn._xlws.FILTER(Table_Main[Số lượng],
(Table_Main[Mã SKU] = $B50) *
NOT(ISBLANK(Table_Main[Đơn bán]))*
(Table_Main[Loại] = "Nhập")*
(Table_Main[Ngày lên đơn] &gt;= BCQT_BatDau)*
(Table_Main[Ngày lên đơn] &lt; BCQT_KetThuc)*
(Table_Main[Tháng lên đơn] = J$1)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6" xr3:uid="{59DBBAB6-3012-4CD6-8537-4389AA6F2953}" name="Tháng 8" dataDxfId="1245"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K$1)
)),0)
-IFERROR(SUM(
_xlfn._xlws.FILTER(Table_Main[Số lượng],
(Table_Main[Mã SKU] = $B50) *
NOT(ISBLANK(Table_Main[Đơn bán]))*
(Table_Main[Loại] = "Nhập")*
(Table_Main[Ngày lên đơn] &gt;= BCQT_BatDau)*
(Table_Main[Ngày lên đơn] &lt; BCQT_KetThuc)*
(Table_Main[Tháng lên đơn] = K$1)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7" xr3:uid="{0A3FD45B-7275-443A-8DBC-86E07F136B40}" name="Tháng 9" dataDxfId="1244"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L$1)
)),0)
-IFERROR(SUM(
_xlfn._xlws.FILTER(Table_Main[Số lượng],
(Table_Main[Mã SKU] = $B50) *
NOT(ISBLANK(Table_Main[Đơn bán]))*
(Table_Main[Loại] = "Nhập")*
(Table_Main[Ngày lên đơn] &gt;= BCQT_BatDau)*
(Table_Main[Ngày lên đơn] &lt; BCQT_KetThuc)*
(Table_Main[Tháng lên đơn] = L$1)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8" xr3:uid="{5B266711-53AD-44D7-95ED-1DC134679346}" name="Tháng 10" dataDxfId="1243"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M$1)
)),0)
-IFERROR(SUM(
_xlfn._xlws.FILTER(Table_Main[Số lượng],
(Table_Main[Mã SKU] = $B50) *
NOT(ISBLANK(Table_Main[Đơn bán]))*
(Table_Main[Loại] = "Nhập")*
(Table_Main[Ngày lên đơn] &gt;= BCQT_BatDau)*
(Table_Main[Ngày lên đơn] &lt; BCQT_KetThuc)*
(Table_Main[Tháng lên đơn] = M$1)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9" xr3:uid="{B12019BE-715B-42FF-A5FC-C2FE7364C4B5}" name="Tháng 11" dataDxfId="1242"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N$1)
)),0)
-IFERROR(SUM(
_xlfn._xlws.FILTER(Table_Main[Số lượng],
(Table_Main[Mã SKU] = $B50) *
NOT(ISBLANK(Table_Main[Đơn bán]))*
(Table_Main[Loại] = "Nhập")*
(Table_Main[Ngày lên đơn] &gt;= BCQT_BatDau)*
(Table_Main[Ngày lên đơn] &lt; BCQT_KetThuc)*
(Table_Main[Tháng lên đơn] = N$1)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40" xr3:uid="{05232CF4-48AB-496F-830A-FCD5F7BB338B}" name="Tháng 12" dataDxfId="1241"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O$1)
)),0)
-IFERROR(SUM(
_xlfn._xlws.FILTER(Table_Main[Số lượng],
(Table_Main[Mã SKU] = $B50) *
NOT(ISBLANK(Table_Main[Đơn bán]))*
(Table_Main[Loại] = "Nhập")*
(Table_Main[Ngày lên đơn] &gt;= BCQT_BatDau)*
(Table_Main[Ngày lên đơn] &lt; BCQT_KetThuc)*
(Table_Main[Tháng lên đơn] = O$1)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 xr3:uid="{5E31E96A-638F-4B28-9985-F643B89D342A}" name="Add" dataDxfId="1240" dataCellStyle="Percent"/>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8:P200" totalsRowCount="1" headerRowDxfId="1239" dataDxfId="1237" headerRowBorderDxfId="1238" tableBorderDxfId="1236">
  <autoFilter ref="B198:P199" xr:uid="{808A2169-8554-4C17-96AC-814597A28FCD}"/>
  <tableColumns count="15">
    <tableColumn id="1" xr3:uid="{49D0F695-8A6B-4F93-8F8B-468B99DE390C}" name="Kế hoạch cổ tức" totalsRowLabel="      Total      " dataDxfId="1235" totalsRowDxfId="1234"/>
    <tableColumn id="2" xr3:uid="{DD60580E-24DA-42B0-B365-15B56EFBD16B}" name="Tỷ lệ lợi ích" totalsRowFunction="sum" dataDxfId="1233" totalsRowDxfId="1232" dataCellStyle="Percent" totalsRowCellStyle="Percent">
      <calculatedColumnFormula>VLOOKUP(Table_KeHoach_CoTuc[[#This Row],[Kế hoạch cổ tức]],Table_CoDong[],COUNTA(Table_CoDong[[#Headers],[Mã Cổ đông]:[Tỷ lệ chia lợi nhuận]]),0)</calculatedColumnFormula>
    </tableColumn>
    <tableColumn id="3" xr3:uid="{A86E0184-D6A9-4F55-9781-6D86B31090DF}" name="Tháng 1" totalsRowFunction="sum" dataDxfId="1231" totalsRowDxfId="1230" dataCellStyle="Comma" totalsRowCellStyle="Comma">
      <calculatedColumnFormula>Table_KeHoach_CoTuc[[#This Row],[Tỷ lệ lợi ích]]*D$45</calculatedColumnFormula>
    </tableColumn>
    <tableColumn id="4" xr3:uid="{1E3DF815-1A4A-43CB-9723-2E250B7B2039}" name="Tháng 2" totalsRowFunction="sum" dataDxfId="1229" totalsRowDxfId="1228" dataCellStyle="Comma" totalsRowCellStyle="Comma">
      <calculatedColumnFormula>Table_KeHoach_CoTuc[[#This Row],[Tỷ lệ lợi ích]]*E$45</calculatedColumnFormula>
    </tableColumn>
    <tableColumn id="5" xr3:uid="{798EBA13-5C1C-4B3B-886D-7B42854CD1DE}" name="Tháng 3" totalsRowFunction="sum" dataDxfId="1227" totalsRowDxfId="1226" dataCellStyle="Comma" totalsRowCellStyle="Comma">
      <calculatedColumnFormula>Table_KeHoach_CoTuc[[#This Row],[Tỷ lệ lợi ích]]*F$45</calculatedColumnFormula>
    </tableColumn>
    <tableColumn id="6" xr3:uid="{8830216C-BA41-42D5-876B-AE721F398DED}" name="Tháng 4" totalsRowFunction="sum" dataDxfId="1225" totalsRowDxfId="1224" dataCellStyle="Comma" totalsRowCellStyle="Comma">
      <calculatedColumnFormula>Table_KeHoach_CoTuc[[#This Row],[Tỷ lệ lợi ích]]*G$45</calculatedColumnFormula>
    </tableColumn>
    <tableColumn id="7" xr3:uid="{CFBE895E-3AF4-435F-A0A6-AD782E142082}" name="Tháng 5" totalsRowFunction="sum" dataDxfId="1223" totalsRowDxfId="1222" dataCellStyle="Comma" totalsRowCellStyle="Comma">
      <calculatedColumnFormula>Table_KeHoach_CoTuc[[#This Row],[Tỷ lệ lợi ích]]*H$45</calculatedColumnFormula>
    </tableColumn>
    <tableColumn id="8" xr3:uid="{6AF681AF-ADB8-4ED1-A741-AB1B95CE411B}" name="Tháng 6" totalsRowFunction="sum" dataDxfId="1221" totalsRowDxfId="1220" dataCellStyle="Comma" totalsRowCellStyle="Comma">
      <calculatedColumnFormula>Table_KeHoach_CoTuc[[#This Row],[Tỷ lệ lợi ích]]*I$45</calculatedColumnFormula>
    </tableColumn>
    <tableColumn id="9" xr3:uid="{2859DA0C-AB7B-4D95-A27B-C0F30E1235A6}" name="Tháng 7" totalsRowFunction="sum" dataDxfId="1219" totalsRowDxfId="1218" dataCellStyle="Comma" totalsRowCellStyle="Comma">
      <calculatedColumnFormula>Table_KeHoach_CoTuc[[#This Row],[Tỷ lệ lợi ích]]*J$45</calculatedColumnFormula>
    </tableColumn>
    <tableColumn id="10" xr3:uid="{276E9A06-AFA5-4E42-BF42-CD0D2D891F37}" name="Tháng 8" totalsRowFunction="sum" dataDxfId="1217" totalsRowDxfId="1216" dataCellStyle="Comma" totalsRowCellStyle="Comma">
      <calculatedColumnFormula>Table_KeHoach_CoTuc[[#This Row],[Tỷ lệ lợi ích]]*K$45</calculatedColumnFormula>
    </tableColumn>
    <tableColumn id="11" xr3:uid="{E6C25EAF-8AD9-4321-9B36-672D987AE47D}" name="Tháng 9" totalsRowFunction="sum" dataDxfId="1215" totalsRowDxfId="1214" dataCellStyle="Comma" totalsRowCellStyle="Comma">
      <calculatedColumnFormula>Table_KeHoach_CoTuc[[#This Row],[Tỷ lệ lợi ích]]*L$45</calculatedColumnFormula>
    </tableColumn>
    <tableColumn id="12" xr3:uid="{A4509611-8DC1-4631-AD16-64AAC808B76D}" name="Tháng 10" totalsRowFunction="sum" dataDxfId="1213" totalsRowDxfId="1212" dataCellStyle="Comma" totalsRowCellStyle="Comma">
      <calculatedColumnFormula>Table_KeHoach_CoTuc[[#This Row],[Tỷ lệ lợi ích]]*M$45</calculatedColumnFormula>
    </tableColumn>
    <tableColumn id="13" xr3:uid="{94D4291B-9242-43C1-90C3-C2A12092243B}" name="Tháng 11" totalsRowFunction="sum" dataDxfId="1211" totalsRowDxfId="1210" dataCellStyle="Comma" totalsRowCellStyle="Comma">
      <calculatedColumnFormula>Table_KeHoach_CoTuc[[#This Row],[Tỷ lệ lợi ích]]*N$45</calculatedColumnFormula>
    </tableColumn>
    <tableColumn id="14" xr3:uid="{F3EBB3AF-1773-483A-8741-1AFC969F4F19}" name="Tháng 12" totalsRowFunction="sum" dataDxfId="1209" totalsRowDxfId="1208" dataCellStyle="Comma" totalsRowCellStyle="Comma">
      <calculatedColumnFormula>Table_KeHoach_CoTuc[[#This Row],[Tỷ lệ lợi ích]]*O$45</calculatedColumnFormula>
    </tableColumn>
    <tableColumn id="15" xr3:uid="{159C58E5-FDDC-4E10-860D-44AABDEC39DA}" name="Add" dataDxfId="1207" totalsRowDxfId="1206" dataCellStyle="Comma" totalsRowCellStyle="Comma"/>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855090E-2521-4891-8B9A-A1744590F8D1}" name="Table_KeHoach_ThuePhi" displayName="Table_KeHoach_ThuePhi" ref="B157:P161" totalsRowCount="1" headerRowDxfId="1205" dataDxfId="1204" totalsRowDxfId="1203" headerRowCellStyle="Comma" dataCellStyle="Comma" totalsRowCellStyle="Comma">
  <autoFilter ref="B157:P160" xr:uid="{B855090E-2521-4891-8B9A-A1744590F8D1}"/>
  <tableColumns count="15">
    <tableColumn id="1" xr3:uid="{1C669D90-1C61-45F6-B2D9-662BB6E142BA}" name="Thuế phí nộp NS" totalsRowLabel="Total" dataDxfId="1202" totalsRowDxfId="1201" dataCellStyle="Comma" totalsRowCellStyle="Comma"/>
    <tableColumn id="2" xr3:uid="{0161CD46-CFD7-4FAF-9630-C9C251B16E06}" name="Thuế suất TNDN" dataDxfId="1200" totalsRowDxfId="1199" dataCellStyle="Comma" totalsRowCellStyle="Comma"/>
    <tableColumn id="3" xr3:uid="{6AD8D76E-230B-4402-B8A3-95A761F4C0C9}" name="Tháng 1" totalsRowFunction="sum" dataDxfId="1198" totalsRowDxfId="1197" dataCellStyle="Comma" totalsRowCellStyle="Comma">
      <calculatedColumnFormula>Table_KeHoach_ThuePhi[[#This Row],[Thuế suất TNDN]]*(D18-SUM(D21:D27)-D29-SUM(D155:D157))</calculatedColumnFormula>
    </tableColumn>
    <tableColumn id="4" xr3:uid="{6A00ACB8-DB84-4FAE-8F4D-AA93D4893A76}" name="Tháng 2" totalsRowFunction="sum" dataDxfId="1196" totalsRowDxfId="1195" dataCellStyle="Comma" totalsRowCellStyle="Comma">
      <calculatedColumnFormula>+SUM(E155:E157)</calculatedColumnFormula>
    </tableColumn>
    <tableColumn id="5" xr3:uid="{3A10EF93-4296-4A0A-B190-3BD658A4F93A}" name="Tháng 3" totalsRowFunction="sum" dataDxfId="1194" totalsRowDxfId="1193" dataCellStyle="Comma" totalsRowCellStyle="Comma">
      <calculatedColumnFormula>+SUM(F155:F157)</calculatedColumnFormula>
    </tableColumn>
    <tableColumn id="6" xr3:uid="{72085BF3-BF3F-45F5-AF9E-4229A7AA17A4}" name="Tháng 4" totalsRowFunction="sum" dataDxfId="1192" totalsRowDxfId="1191" dataCellStyle="Comma" totalsRowCellStyle="Comma">
      <calculatedColumnFormula>+SUM(G155:G157)</calculatedColumnFormula>
    </tableColumn>
    <tableColumn id="7" xr3:uid="{A247F561-DC85-4213-A856-4FE1C288DB94}" name="Tháng 5" totalsRowFunction="sum" dataDxfId="1190" totalsRowDxfId="1189" dataCellStyle="Comma" totalsRowCellStyle="Comma">
      <calculatedColumnFormula>+SUM(H155:H157)</calculatedColumnFormula>
    </tableColumn>
    <tableColumn id="8" xr3:uid="{1BB01988-60CF-439A-92AF-640B37CB5280}" name="Tháng 6" totalsRowFunction="sum" dataDxfId="1188" totalsRowDxfId="1187" dataCellStyle="Comma" totalsRowCellStyle="Comma">
      <calculatedColumnFormula>+SUM(I155:I157)</calculatedColumnFormula>
    </tableColumn>
    <tableColumn id="9" xr3:uid="{7F548FC9-D828-43A1-802C-65E26620DEA1}" name="Tháng 7" totalsRowFunction="sum" dataDxfId="1186" totalsRowDxfId="1185" dataCellStyle="Comma" totalsRowCellStyle="Comma">
      <calculatedColumnFormula>+SUM(J155:J157)</calculatedColumnFormula>
    </tableColumn>
    <tableColumn id="10" xr3:uid="{EC476F7D-459B-484C-B60A-1FF6C6A94E22}" name="Tháng 8" totalsRowFunction="sum" dataDxfId="1184" totalsRowDxfId="1183" dataCellStyle="Comma" totalsRowCellStyle="Comma">
      <calculatedColumnFormula>+SUM(K155:K157)</calculatedColumnFormula>
    </tableColumn>
    <tableColumn id="11" xr3:uid="{46FBED57-1C5A-4431-9FBF-61138B8C88A1}" name="Tháng 9" totalsRowFunction="sum" dataDxfId="1182" totalsRowDxfId="1181" dataCellStyle="Comma" totalsRowCellStyle="Comma">
      <calculatedColumnFormula>+SUM(L155:L157)</calculatedColumnFormula>
    </tableColumn>
    <tableColumn id="12" xr3:uid="{F1E35AD6-1604-4E78-B288-9B8DAC51A335}" name="Tháng 10" totalsRowFunction="sum" dataDxfId="1180" totalsRowDxfId="1179" dataCellStyle="Comma" totalsRowCellStyle="Comma">
      <calculatedColumnFormula>+SUM(M155:M157)</calculatedColumnFormula>
    </tableColumn>
    <tableColumn id="13" xr3:uid="{88A8B4F6-67CE-4FFB-A0A1-256A3F6C0E73}" name="Tháng 11" totalsRowFunction="sum" dataDxfId="1178" totalsRowDxfId="1177" dataCellStyle="Comma" totalsRowCellStyle="Comma">
      <calculatedColumnFormula>+SUM(N155:N157)</calculatedColumnFormula>
    </tableColumn>
    <tableColumn id="14" xr3:uid="{724ED473-D4A4-48C6-882E-83401202C328}" name="Tháng 12" totalsRowFunction="sum" dataDxfId="1176" totalsRowDxfId="1175" dataCellStyle="Comma" totalsRowCellStyle="Comma">
      <calculatedColumnFormula>+SUM(O155:O157)</calculatedColumnFormula>
    </tableColumn>
    <tableColumn id="15" xr3:uid="{B7E74E67-C7ED-4A4A-BC5F-A7AC7C76239B}" name="Add" dataDxfId="1174" totalsRowDxfId="1173" dataCellStyle="Comma" totalsRowCellStyle="Comma"/>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6621785-F708-4DF2-B2D6-E0D67E00FAE4}" name="Table_KeHoach_CPKhac" displayName="Table_KeHoach_CPKhac" ref="B164:P166" totalsRowCount="1" headerRowDxfId="1172" dataDxfId="1171" totalsRowDxfId="1170" headerRowCellStyle="Comma" dataCellStyle="Comma" totalsRowCellStyle="Comma">
  <autoFilter ref="B164:P165" xr:uid="{56621785-F708-4DF2-B2D6-E0D67E00FAE4}"/>
  <tableColumns count="15">
    <tableColumn id="1" xr3:uid="{EBBD635E-E884-4F0E-92F4-A021EBA8BEFA}" name="Chi phí khác" totalsRowLabel="Total" dataDxfId="1169" totalsRowDxfId="1168" dataCellStyle="Comma" totalsRowCellStyle="Comma"/>
    <tableColumn id="2" xr3:uid="{E1C9EB78-7746-4D66-86B6-0AA7C3DDADFC}" name="Column1" dataDxfId="1167" totalsRowDxfId="1166" dataCellStyle="Comma" totalsRowCellStyle="Comma"/>
    <tableColumn id="3" xr3:uid="{B60B0D41-97F3-4CAB-8E00-5F741EB664DD}" name="Tháng 1" totalsRowFunction="sum" dataDxfId="1165" totalsRowDxfId="1164" dataCellStyle="Comma" totalsRowCellStyle="Comma"/>
    <tableColumn id="4" xr3:uid="{E81EC601-D6CD-40E2-A397-68181A232ACA}" name="Tháng 2" totalsRowFunction="sum" dataDxfId="1163" totalsRowDxfId="1162" dataCellStyle="Comma" totalsRowCellStyle="Comma"/>
    <tableColumn id="5" xr3:uid="{B31C442A-2F65-4366-811E-C986673F274D}" name="Tháng 3" totalsRowFunction="sum" dataDxfId="1161" totalsRowDxfId="1160" dataCellStyle="Comma" totalsRowCellStyle="Comma"/>
    <tableColumn id="6" xr3:uid="{BEFFAF3B-48FA-4F03-BCD2-3B0B27EE59F0}" name="Tháng 4" totalsRowFunction="sum" dataDxfId="1159" totalsRowDxfId="1158" dataCellStyle="Comma" totalsRowCellStyle="Comma"/>
    <tableColumn id="7" xr3:uid="{70BA20C3-2BDA-4CD9-934F-895A8B3D7129}" name="Tháng 5" totalsRowFunction="sum" dataDxfId="1157" totalsRowDxfId="1156" dataCellStyle="Comma" totalsRowCellStyle="Comma"/>
    <tableColumn id="8" xr3:uid="{6B049C1B-B9BF-4F20-8DA2-D9A62E4B7E1F}" name="Tháng 6" totalsRowFunction="sum" dataDxfId="1155" totalsRowDxfId="1154" dataCellStyle="Comma" totalsRowCellStyle="Comma"/>
    <tableColumn id="9" xr3:uid="{D0249CD3-0B5E-418D-9726-3462DD752F39}" name="Tháng 7" totalsRowFunction="sum" dataDxfId="1153" totalsRowDxfId="1152" dataCellStyle="Comma" totalsRowCellStyle="Comma"/>
    <tableColumn id="10" xr3:uid="{719D82C2-64AC-465F-BD79-7E8D7B1E8A2A}" name="Tháng 8" totalsRowFunction="sum" dataDxfId="1151" totalsRowDxfId="1150" dataCellStyle="Comma" totalsRowCellStyle="Comma"/>
    <tableColumn id="11" xr3:uid="{EC5D42B6-FA93-4887-8B0C-8A8154886D38}" name="Tháng 9" totalsRowFunction="sum" dataDxfId="1149" totalsRowDxfId="1148" dataCellStyle="Comma" totalsRowCellStyle="Comma"/>
    <tableColumn id="12" xr3:uid="{3C2AF411-CBAB-4893-9371-442E61652437}" name="Tháng 10" totalsRowFunction="sum" dataDxfId="1147" totalsRowDxfId="1146" dataCellStyle="Comma" totalsRowCellStyle="Comma"/>
    <tableColumn id="13" xr3:uid="{3157C9D9-A809-4298-8AE6-B4B4EC04ADB8}" name="Tháng 11" totalsRowFunction="sum" dataDxfId="1145" totalsRowDxfId="1144" dataCellStyle="Comma" totalsRowCellStyle="Comma"/>
    <tableColumn id="14" xr3:uid="{65E75A25-3AEC-4465-ABFA-28A42E168216}" name="Tháng 12" totalsRowFunction="sum" dataDxfId="1143" totalsRowDxfId="1142" dataCellStyle="Comma" totalsRowCellStyle="Comma"/>
    <tableColumn id="15" xr3:uid="{8B52360E-F978-4306-A59E-F167FC66E192}" name="Add" dataDxfId="1141" totalsRowDxfId="1140" dataCellStyle="Comma" totalsRowCellStyle="Comma"/>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4CFE68EC-67C4-41E5-B83D-BBBEA4C57376}" name="Table_KeHoach_TyLeNo" displayName="Table_KeHoach_TyLeNo" ref="B169:P170" totalsRowShown="0" headerRowDxfId="1139" dataDxfId="1138" dataCellStyle="Percent">
  <autoFilter ref="B169:P170" xr:uid="{4CFE68EC-67C4-41E5-B83D-BBBEA4C57376}"/>
  <tableColumns count="15">
    <tableColumn id="1" xr3:uid="{CE9FFF87-08A1-44D4-BA88-CB5DCC271889}" name="Tỷ lệ nợ trên doanh thu" dataDxfId="1137" dataCellStyle="Percent"/>
    <tableColumn id="2" xr3:uid="{5613D3E9-1531-48B2-A565-00FEA924B0BE}" name="Tham chiếu" dataDxfId="1136" dataCellStyle="Percent">
      <calculatedColumnFormula array="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calculatedColumnFormula>
    </tableColumn>
    <tableColumn id="3" xr3:uid="{EAC5725A-03CC-404B-9705-B002ABE9EA7B}" name="Tháng 1" dataDxfId="1135" dataCellStyle="Percent"/>
    <tableColumn id="4" xr3:uid="{ED63E65D-F6D7-4A4A-9160-0D8ECF0CD2BD}" name="Tháng 2" dataDxfId="1134" dataCellStyle="Percent"/>
    <tableColumn id="5" xr3:uid="{7D151CF5-C7C6-456C-9565-C45772BC724E}" name="Tháng 3" dataDxfId="1133" dataCellStyle="Percent"/>
    <tableColumn id="6" xr3:uid="{5C9E58AD-6845-4FB4-9DBF-9ED77AE0B200}" name="Tháng 4" dataDxfId="1132" dataCellStyle="Percent"/>
    <tableColumn id="7" xr3:uid="{959B1477-DD31-434A-8492-994145BE49F5}" name="Tháng 5" dataDxfId="1131" dataCellStyle="Percent"/>
    <tableColumn id="8" xr3:uid="{A7CA6A4E-D12F-4A9E-9C5D-3A4BC4DF9BD5}" name="Tháng 6" dataDxfId="1130" dataCellStyle="Percent"/>
    <tableColumn id="9" xr3:uid="{83058071-EC16-4290-BCFE-B2E20FCF94C6}" name="Tháng 7" dataDxfId="1129" dataCellStyle="Percent"/>
    <tableColumn id="10" xr3:uid="{7DC78943-FF93-4ADF-AB00-6903F3871895}" name="Tháng 8" dataDxfId="1128" dataCellStyle="Percent"/>
    <tableColumn id="11" xr3:uid="{E8A70527-5041-4C75-816D-B9CEEC97CAFA}" name="Tháng 9" dataDxfId="1127" dataCellStyle="Percent"/>
    <tableColumn id="12" xr3:uid="{C5634CC9-1014-4371-8556-4898535E5A8B}" name="Tháng 10" dataDxfId="1126" dataCellStyle="Percent"/>
    <tableColumn id="13" xr3:uid="{8A9D1A6D-1DD9-4C24-B9F8-5D45B01042B8}" name="Tháng 11" dataDxfId="1125" dataCellStyle="Percent"/>
    <tableColumn id="14" xr3:uid="{3ED3D8B7-A502-4FC2-9834-66E32DC3616F}" name="Tháng 12" dataDxfId="1124" dataCellStyle="Percent"/>
    <tableColumn id="15" xr3:uid="{B1448B73-FDB2-4959-A66F-6572ABB5EF79}" name="Add" dataDxfId="1123" dataCellStyle="Percent"/>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23A49D-9A60-4A25-85FF-03356EF94647}" name="Table_KeHoach_TSCD" displayName="Table_KeHoach_TSCD" ref="B173:P175" totalsRowCount="1" headerRowDxfId="1122" dataDxfId="1120" totalsRowDxfId="1118" headerRowBorderDxfId="1121" tableBorderDxfId="1119" headerRowCellStyle="Comma" dataCellStyle="Comma" totalsRowCellStyle="Comma">
  <autoFilter ref="B173:P174" xr:uid="{5E23A49D-9A60-4A25-85FF-03356EF94647}"/>
  <tableColumns count="15">
    <tableColumn id="1" xr3:uid="{5B556787-DDB8-4C7B-9FFB-D58306E173B3}" name="Dòng tiền đầu tư và thanh lý TSCĐ" totalsRowLabel=" Total " dataDxfId="1117" totalsRowDxfId="1116" dataCellStyle="Comma" totalsRowCellStyle="Comma"/>
    <tableColumn id="2" xr3:uid="{8FAA540A-C631-4BB6-94CB-76FCAA6BD399}" name="Column1" totalsRowFunction="sum" dataDxfId="1115" totalsRowDxfId="1114" dataCellStyle="Comma" totalsRowCellStyle="Comma"/>
    <tableColumn id="3" xr3:uid="{AA4C5021-8FB4-4C01-97DC-42C1AD2A0D5C}" name="Tháng 1" totalsRowFunction="sum" dataDxfId="1113" totalsRowDxfId="1112" dataCellStyle="Comma" totalsRowCellStyle="Comma"/>
    <tableColumn id="4" xr3:uid="{E0C84BD6-6CB1-48E9-AE7F-A28345427F91}" name="Tháng 2" totalsRowFunction="sum" dataDxfId="1111" totalsRowDxfId="1110" dataCellStyle="Comma" totalsRowCellStyle="Comma"/>
    <tableColumn id="5" xr3:uid="{67C699D4-0087-475B-AD6C-D853697542CB}" name="Tháng 3" totalsRowFunction="sum" dataDxfId="1109" totalsRowDxfId="1108" dataCellStyle="Comma" totalsRowCellStyle="Comma"/>
    <tableColumn id="6" xr3:uid="{FFC573B0-FBDD-48D5-8D49-ABE5E41F8709}" name="Tháng 4" totalsRowFunction="sum" dataDxfId="1107" totalsRowDxfId="1106" dataCellStyle="Comma" totalsRowCellStyle="Comma"/>
    <tableColumn id="7" xr3:uid="{B1997128-E7B8-45DB-9B00-D7B4F8C7C9DF}" name="Tháng 5" totalsRowFunction="sum" dataDxfId="1105" totalsRowDxfId="1104" dataCellStyle="Comma" totalsRowCellStyle="Comma"/>
    <tableColumn id="8" xr3:uid="{E05A7C11-53B1-4081-8751-AD8CD8D581E3}" name="Tháng 6" totalsRowFunction="sum" dataDxfId="1103" totalsRowDxfId="1102" dataCellStyle="Comma" totalsRowCellStyle="Comma"/>
    <tableColumn id="9" xr3:uid="{77FDB6D4-4EAC-46F1-942B-B6F6A6CD8141}" name="Tháng 7" totalsRowFunction="sum" dataDxfId="1101" totalsRowDxfId="1100" dataCellStyle="Comma" totalsRowCellStyle="Comma"/>
    <tableColumn id="10" xr3:uid="{B700B5FD-7134-43E5-83D7-48B525FB322C}" name="Tháng 8" totalsRowFunction="sum" dataDxfId="1099" totalsRowDxfId="1098" dataCellStyle="Comma" totalsRowCellStyle="Comma"/>
    <tableColumn id="11" xr3:uid="{1DE0F7BD-53A4-4D47-859C-71C704BF4E4D}" name="Tháng 9" totalsRowFunction="sum" dataDxfId="1097" totalsRowDxfId="1096" dataCellStyle="Comma" totalsRowCellStyle="Comma"/>
    <tableColumn id="12" xr3:uid="{1CB5442F-B1FE-4CB0-8986-4DF6BF82319A}" name="Tháng 10" totalsRowFunction="sum" dataDxfId="1095" totalsRowDxfId="1094" dataCellStyle="Comma" totalsRowCellStyle="Comma"/>
    <tableColumn id="13" xr3:uid="{6CD740B1-E47D-4B7E-ACEA-D4E55EED948C}" name="Tháng 11" totalsRowFunction="sum" dataDxfId="1093" totalsRowDxfId="1092" dataCellStyle="Comma" totalsRowCellStyle="Comma"/>
    <tableColumn id="14" xr3:uid="{38C80FDE-BE48-4A49-A3BD-3E3FCF44B99A}" name="Tháng 12" totalsRowFunction="sum" dataDxfId="1091" totalsRowDxfId="1090" dataCellStyle="Comma" totalsRowCellStyle="Comma"/>
    <tableColumn id="15" xr3:uid="{6F209FDF-2121-4623-9551-694DB366F57D}" name="Add" dataDxfId="1089" totalsRowDxfId="1088" dataCellStyle="Comma" totalsRowCellStyle="Comma"/>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A70E9AC5-05D6-49AF-BD9C-A9F0136F6AD1}" name="Table_KeHoach_DTTC" displayName="Table_KeHoach_DTTC" ref="B178:P180" totalsRowCount="1" headerRowDxfId="1087" dataDxfId="1085" totalsRowDxfId="1083" headerRowBorderDxfId="1086" tableBorderDxfId="1084" headerRowCellStyle="Comma" dataCellStyle="Comma" totalsRowCellStyle="Comma">
  <autoFilter ref="B178:P179" xr:uid="{A70E9AC5-05D6-49AF-BD9C-A9F0136F6AD1}"/>
  <tableColumns count="15">
    <tableColumn id="1" xr3:uid="{743663A6-A21D-4113-BF54-97494116D48C}" name="Dòng tiền đầu tư tài chính" totalsRowLabel="  Total  " dataDxfId="1082" totalsRowDxfId="1081" dataCellStyle="Comma"/>
    <tableColumn id="2" xr3:uid="{62AD1AA6-0EE5-445D-8E1C-99705DEC2942}" name="Column1" totalsRowFunction="sum" dataDxfId="1080" totalsRowDxfId="1079" dataCellStyle="Comma" totalsRowCellStyle="Comma"/>
    <tableColumn id="3" xr3:uid="{C808BAF5-EF47-4838-9623-9A5EA586BDC5}" name="Tháng 1" totalsRowFunction="sum" dataDxfId="1078" totalsRowDxfId="1077" dataCellStyle="Comma" totalsRowCellStyle="Comma"/>
    <tableColumn id="4" xr3:uid="{70307539-BB05-4D17-849C-6C4B59F40976}" name="Tháng 2" totalsRowFunction="sum" dataDxfId="1076" totalsRowDxfId="1075" dataCellStyle="Comma" totalsRowCellStyle="Comma"/>
    <tableColumn id="5" xr3:uid="{5D90E049-283D-4337-B3F3-7A1E7D577F75}" name="Tháng 3" totalsRowFunction="sum" dataDxfId="1074" totalsRowDxfId="1073" dataCellStyle="Comma" totalsRowCellStyle="Comma"/>
    <tableColumn id="6" xr3:uid="{B630AAD6-0B1F-4C57-BB61-4D73C03B5234}" name="Tháng 4" totalsRowFunction="sum" dataDxfId="1072" totalsRowDxfId="1071" dataCellStyle="Comma" totalsRowCellStyle="Comma"/>
    <tableColumn id="7" xr3:uid="{E1B1713E-4A69-4419-8205-454C038A2136}" name="Tháng 5" totalsRowFunction="sum" dataDxfId="1070" totalsRowDxfId="1069" dataCellStyle="Comma" totalsRowCellStyle="Comma"/>
    <tableColumn id="8" xr3:uid="{55B1D6C7-1C98-45A6-BD7A-A7E8BFFF6DDA}" name="Tháng 6" totalsRowFunction="sum" dataDxfId="1068" totalsRowDxfId="1067" dataCellStyle="Comma" totalsRowCellStyle="Comma"/>
    <tableColumn id="9" xr3:uid="{8809DDCC-5294-4F94-A14C-97B84DE49AB3}" name="Tháng 7" totalsRowFunction="sum" dataDxfId="1066" totalsRowDxfId="1065" dataCellStyle="Comma" totalsRowCellStyle="Comma"/>
    <tableColumn id="10" xr3:uid="{BAAD5B0C-CB4B-45DA-AE98-00CAE9531AE8}" name="Tháng 8" totalsRowFunction="sum" dataDxfId="1064" totalsRowDxfId="1063" dataCellStyle="Comma" totalsRowCellStyle="Comma"/>
    <tableColumn id="11" xr3:uid="{2CC29A1B-324D-4088-9B12-94448C63CAEB}" name="Tháng 9" totalsRowFunction="sum" dataDxfId="1062" totalsRowDxfId="1061" dataCellStyle="Comma" totalsRowCellStyle="Comma"/>
    <tableColumn id="12" xr3:uid="{4E1DF616-5058-468F-854F-B28D9C44F5B6}" name="Tháng 10" totalsRowFunction="sum" dataDxfId="1060" totalsRowDxfId="1059" dataCellStyle="Comma" totalsRowCellStyle="Comma"/>
    <tableColumn id="13" xr3:uid="{FE68F131-2E0A-42F1-8CFC-51446D0DE1F2}" name="Tháng 11" totalsRowFunction="sum" dataDxfId="1058" totalsRowDxfId="1057" dataCellStyle="Comma" totalsRowCellStyle="Comma"/>
    <tableColumn id="14" xr3:uid="{02CB477F-9BCC-4707-96DA-B333C50B5189}" name="Tháng 12" totalsRowFunction="sum" dataDxfId="1056" totalsRowDxfId="1055" dataCellStyle="Comma" totalsRowCellStyle="Comma"/>
    <tableColumn id="15" xr3:uid="{5ECADABE-5DDF-469F-BFB4-7F3205555EBA}" name="Add" dataDxfId="1054" totalsRowDxfId="1053" dataCellStyle="Comma" totalsRowCellStyle="Comma"/>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4A24C82-9F7E-4739-84DB-BDB117A867BD}" name="Table_KeHoach_LaiDTTC" displayName="Table_KeHoach_LaiDTTC" ref="B183:P185" totalsRowCount="1" headerRowDxfId="1052" dataDxfId="1050" totalsRowDxfId="1048" headerRowBorderDxfId="1051" tableBorderDxfId="1049" headerRowCellStyle="Comma" dataCellStyle="Comma" totalsRowCellStyle="Comma">
  <autoFilter ref="B183:P184" xr:uid="{84A24C82-9F7E-4739-84DB-BDB117A867BD}"/>
  <tableColumns count="15">
    <tableColumn id="1" xr3:uid="{C7090383-FD23-475A-9482-F0E936D13205}" name="Dòng tiền thu hồi từ đầu tư tài chính" totalsRowLabel="   Total   " dataDxfId="1047" totalsRowDxfId="1046" dataCellStyle="Comma"/>
    <tableColumn id="2" xr3:uid="{CEFDBDE7-9DB8-4CC2-816D-98D5C21CA755}" name="Column1" totalsRowFunction="sum" dataDxfId="1045" totalsRowDxfId="1044" dataCellStyle="Comma" totalsRowCellStyle="Comma"/>
    <tableColumn id="3" xr3:uid="{7C515523-07A3-4E4C-990C-5EC8505C6207}" name="Tháng 1" totalsRowFunction="sum" dataDxfId="1043" totalsRowDxfId="1042" dataCellStyle="Comma" totalsRowCellStyle="Comma">
      <calculatedColumnFormula array="1">-IFERROR(
SUM(_xlfn._xlws.FILTER(Table_DauTu_LichThu[Tổng phải thu],
(Table_DauTu_LichThu[Năm]=DiemHoaVon_NamKeHoach)*
(Table_DauTu_LichThu[Tháng]=D1)*
(Table_DauTu_LichThu[Tài sản đầu tư]=Table_KeHoach_LaiDTTC[[#This Row],[Dòng tiền thu hồi từ đầu tư tài chính]])
)),0)</calculatedColumnFormula>
    </tableColumn>
    <tableColumn id="4" xr3:uid="{8C949A29-6FAA-4220-A702-4AB42300041D}" name="Tháng 2" totalsRowFunction="sum" dataDxfId="1041" totalsRowDxfId="1040" dataCellStyle="Comma" totalsRowCellStyle="Comma">
      <calculatedColumnFormula array="1">-IFERROR(
SUM(_xlfn._xlws.FILTER(Table_DauTu_LichThu[Thu nhập tính thuế],
(Table_DauTu_LichThu[Tháng]=DiemHoaVon_NamKeHoach)*
(Table_DauTu_LichThu[Tài sản đầu tư]=E1)*
(Table_DauTu_LichThu[Nhận gốc]=Table_KeHoach_LaiDTTC[[#This Row],[Column1]])
)),0)</calculatedColumnFormula>
    </tableColumn>
    <tableColumn id="5" xr3:uid="{0A1EA79B-7CFD-4FF5-80CC-DFB3C6885D1A}" name="Tháng 3" totalsRowFunction="sum" dataDxfId="1039" totalsRowDxfId="1038" dataCellStyle="Comma" totalsRowCellStyle="Comma">
      <calculatedColumnFormula array="1">-IFERROR(
SUM(_xlfn._xlws.FILTER(Table_DauTu_LichThu[Add],
(Table_DauTu_LichThu[Tài sản đầu tư]=DiemHoaVon_NamKeHoach)*
(Table_DauTu_LichThu[Nhận gốc]=F1)*
(Table_DauTu_LichThu[Nhận lãi]=Table_KeHoach_LaiDTTC[[#This Row],[Tháng 1]])
)),0)</calculatedColumnFormula>
    </tableColumn>
    <tableColumn id="6" xr3:uid="{BAEE1E4E-B2B9-49A6-A264-B293DF9AC556}" name="Tháng 4" totalsRowFunction="sum" dataDxfId="1037" totalsRowDxfId="1036" dataCellStyle="Comma" totalsRowCellStyle="Comma">
      <calculatedColumnFormula array="1">-IFERROR(
SUM(_xlfn._xlws.FILTER(Table_DauTu_LichThu[Còn lại],
(Table_DauTu_LichThu[Nhận gốc]=DiemHoaVon_NamKeHoach)*
(Table_DauTu_LichThu[Nhận lãi]=G1)*
(Table_DauTu_LichThu[Tổng phải thu]=Table_KeHoach_LaiDTTC[[#This Row],[Tháng 2]])
)),0)</calculatedColumnFormula>
    </tableColumn>
    <tableColumn id="7" xr3:uid="{F2A10A5D-B5CC-4BBF-A31C-75337F8BF98D}" name="Tháng 5" totalsRowFunction="sum" dataDxfId="1035" totalsRowDxfId="1034" dataCellStyle="Comma" totalsRowCellStyle="Comma">
      <calculatedColumnFormula array="1">-IFERROR(
SUM(_xlfn._xlws.FILTER(Table_DauTu_LichThu[Kỳ],
(Table_DauTu_LichThu[Nhận lãi]=DiemHoaVon_NamKeHoach)*
(Table_DauTu_LichThu[Tổng phải thu]=H1)*
(Table_DauTu_LichThu[Thu nhập tính thuế]=Table_KeHoach_LaiDTTC[[#This Row],[Tháng 3]])
)),0)</calculatedColumnFormula>
    </tableColumn>
    <tableColumn id="8" xr3:uid="{8116C09C-ABF0-49DF-9E89-BF50C7E7EDCF}" name="Tháng 6" totalsRowFunction="sum" dataDxfId="1033" totalsRowDxfId="1032" dataCellStyle="Comma" totalsRowCellStyle="Comma">
      <calculatedColumnFormula array="1">-IFERROR(
SUM(_xlfn._xlws.FILTER(Table_DauTu_LichThu[Năm],
(Table_DauTu_LichThu[Tổng phải thu]=DiemHoaVon_NamKeHoach)*
(Table_DauTu_LichThu[Thu nhập tính thuế]=I1)*
(Table_DauTu_LichThu[Add]=Table_KeHoach_LaiDTTC[[#This Row],[Tháng 4]])
)),0)</calculatedColumnFormula>
    </tableColumn>
    <tableColumn id="9" xr3:uid="{3611FFA2-11B7-4940-A159-2AB66DBDD03C}" name="Tháng 7" totalsRowFunction="sum" dataDxfId="1031" totalsRowDxfId="1030" dataCellStyle="Comma" totalsRowCellStyle="Comma">
      <calculatedColumnFormula array="1">-IFERROR(
SUM(_xlfn._xlws.FILTER(Table_DauTu_LichThu[Tháng],
(Table_DauTu_LichThu[Thu nhập tính thuế]=DiemHoaVon_NamKeHoach)*
(Table_DauTu_LichThu[Add]=J1)*
(Table_DauTu_LichThu[Còn lại]=Table_KeHoach_LaiDTTC[[#This Row],[Tháng 5]])
)),0)</calculatedColumnFormula>
    </tableColumn>
    <tableColumn id="10" xr3:uid="{8DB8AEF1-474A-4114-8F78-387A8FAAE4C2}" name="Tháng 8" totalsRowFunction="sum" dataDxfId="1029" totalsRowDxfId="1028" dataCellStyle="Comma" totalsRowCellStyle="Comma">
      <calculatedColumnFormula array="1">-IFERROR(
SUM(_xlfn._xlws.FILTER(Table_DauTu_LichThu[Tài sản đầu tư],
(Table_DauTu_LichThu[Add]=DiemHoaVon_NamKeHoach)*
(Table_DauTu_LichThu[Còn lại]=K1)*
(Table_DauTu_LichThu[Kỳ]=Table_KeHoach_LaiDTTC[[#This Row],[Tháng 6]])
)),0)</calculatedColumnFormula>
    </tableColumn>
    <tableColumn id="11" xr3:uid="{C66C53EC-8ADE-4585-AD27-52ACF2F8EB2B}" name="Tháng 9" totalsRowFunction="sum" dataDxfId="1027" totalsRowDxfId="1026" dataCellStyle="Comma" totalsRowCellStyle="Comma">
      <calculatedColumnFormula array="1">-IFERROR(
SUM(_xlfn._xlws.FILTER(Table_DauTu_LichThu[Nhận gốc],
(Table_DauTu_LichThu[Còn lại]=DiemHoaVon_NamKeHoach)*
(Table_DauTu_LichThu[Kỳ]=L1)*
(Table_DauTu_LichThu[Năm]=Table_KeHoach_LaiDTTC[[#This Row],[Tháng 7]])
)),0)</calculatedColumnFormula>
    </tableColumn>
    <tableColumn id="12" xr3:uid="{BC7ABE3F-5EEC-4936-AD2C-CCF07FAE6EAA}" name="Tháng 10" totalsRowFunction="sum" dataDxfId="1025" totalsRowDxfId="1024" dataCellStyle="Comma" totalsRowCellStyle="Comma">
      <calculatedColumnFormula array="1">-IFERROR(
SUM(_xlfn._xlws.FILTER(Table_DauTu_LichThu[Nhận lãi],
(Table_DauTu_LichThu[Kỳ]=DiemHoaVon_NamKeHoach)*
(Table_DauTu_LichThu[Năm]=M1)*
(Table_DauTu_LichThu[Tháng]=Table_KeHoach_LaiDTTC[[#This Row],[Tháng 8]])
)),0)</calculatedColumnFormula>
    </tableColumn>
    <tableColumn id="13" xr3:uid="{5E4E94E5-1BC5-499E-9847-897B886A8970}" name="Tháng 11" totalsRowFunction="sum" dataDxfId="1023" totalsRowDxfId="1022" dataCellStyle="Comma" totalsRowCellStyle="Comma">
      <calculatedColumnFormula array="1">-IFERROR(
SUM(_xlfn._xlws.FILTER(Table_DauTu_LichThu[Tổng phải thu],
(Table_DauTu_LichThu[Năm]=DiemHoaVon_NamKeHoach)*
(Table_DauTu_LichThu[Tháng]=N1)*
(Table_DauTu_LichThu[Tài sản đầu tư]=Table_KeHoach_LaiDTTC[[#This Row],[Tháng 9]])
)),0)</calculatedColumnFormula>
    </tableColumn>
    <tableColumn id="14" xr3:uid="{77F6C102-0C39-420E-BDEB-A9B093F20875}" name="Tháng 12" totalsRowFunction="sum" dataDxfId="1021" totalsRowDxfId="1020" dataCellStyle="Comma" totalsRowCellStyle="Comma">
      <calculatedColumnFormula array="1">-IFERROR(
SUM(_xlfn._xlws.FILTER(Table_DauTu_LichThu[Thu nhập tính thuế],
(Table_DauTu_LichThu[Tháng]=DiemHoaVon_NamKeHoach)*
(Table_DauTu_LichThu[Tài sản đầu tư]=O1)*
(Table_DauTu_LichThu[Nhận gốc]=Table_KeHoach_LaiDTTC[[#This Row],[Tháng 10]])
)),0)</calculatedColumnFormula>
    </tableColumn>
    <tableColumn id="15" xr3:uid="{F1601770-867F-4AC3-8E96-696AAFCDD60F}" name="Add" dataDxfId="1019" totalsRowDxfId="1018" dataCellStyle="Comma" totalsRowCellStyle="Comma"/>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4EF85A-6F69-4A26-8060-A0A991E9D6CC}" name="Table_KeHoach_VonVay" displayName="Table_KeHoach_VonVay" ref="B188:P190" totalsRowCount="1" headerRowDxfId="1017" dataDxfId="1015" totalsRowDxfId="1013" headerRowBorderDxfId="1016" tableBorderDxfId="1014" headerRowCellStyle="Comma" dataCellStyle="Comma" totalsRowCellStyle="Comma">
  <autoFilter ref="B188:P189" xr:uid="{1E4EF85A-6F69-4A26-8060-A0A991E9D6CC}"/>
  <tableColumns count="15">
    <tableColumn id="1" xr3:uid="{11253BC2-803C-444B-922F-A7B3738F272C}" name="Dòng tiền huy động vốn vay" totalsRowLabel="    Total    " dataDxfId="1012" totalsRowDxfId="1011" dataCellStyle="Comma"/>
    <tableColumn id="2" xr3:uid="{8CB821AA-2E57-456A-AFC8-F7DDCCA34AC5}" name="Column1" totalsRowFunction="sum" dataDxfId="1010" totalsRowDxfId="1009" dataCellStyle="Comma" totalsRowCellStyle="Comma"/>
    <tableColumn id="3" xr3:uid="{09E24272-E397-4AF4-9AD7-5C98C26065BD}" name="Tháng 1" totalsRowFunction="sum" dataDxfId="1008" totalsRowDxfId="1007" dataCellStyle="Comma" totalsRowCellStyle="Comma"/>
    <tableColumn id="4" xr3:uid="{C6224BD4-A19F-4785-BA4F-787BB17B97E7}" name="Tháng 2" totalsRowFunction="sum" dataDxfId="1006" totalsRowDxfId="1005" dataCellStyle="Comma" totalsRowCellStyle="Comma"/>
    <tableColumn id="5" xr3:uid="{C2AD3AC1-5E4C-44B2-8729-621B9DCBB14E}" name="Tháng 3" totalsRowFunction="sum" dataDxfId="1004" totalsRowDxfId="1003" dataCellStyle="Comma" totalsRowCellStyle="Comma"/>
    <tableColumn id="6" xr3:uid="{ABA179EF-4E32-4FC8-BF4B-F179F244ECF4}" name="Tháng 4" totalsRowFunction="sum" dataDxfId="1002" totalsRowDxfId="1001" dataCellStyle="Comma" totalsRowCellStyle="Comma"/>
    <tableColumn id="7" xr3:uid="{EB80581B-6F8D-4E5E-8BCC-45DC652686D4}" name="Tháng 5" totalsRowFunction="sum" dataDxfId="1000" totalsRowDxfId="999" dataCellStyle="Comma" totalsRowCellStyle="Comma"/>
    <tableColumn id="8" xr3:uid="{76878FB7-AF80-4E1C-A799-93037B9E41CA}" name="Tháng 6" totalsRowFunction="sum" dataDxfId="998" totalsRowDxfId="997" dataCellStyle="Comma" totalsRowCellStyle="Comma"/>
    <tableColumn id="9" xr3:uid="{22C171CC-F8CF-4784-AB1C-C0D94F2DB149}" name="Tháng 7" totalsRowFunction="sum" dataDxfId="996" totalsRowDxfId="995" dataCellStyle="Comma" totalsRowCellStyle="Comma"/>
    <tableColumn id="10" xr3:uid="{AEDD0847-93D7-4000-89EB-623D8D637F3C}" name="Tháng 8" totalsRowFunction="sum" dataDxfId="994" totalsRowDxfId="993" dataCellStyle="Comma" totalsRowCellStyle="Comma"/>
    <tableColumn id="11" xr3:uid="{EFDF075F-7E46-4BD5-84BB-B71EA9EDB8E5}" name="Tháng 9" totalsRowFunction="sum" dataDxfId="992" totalsRowDxfId="991" dataCellStyle="Comma" totalsRowCellStyle="Comma"/>
    <tableColumn id="12" xr3:uid="{3AB540CD-0B32-4404-A892-1DF3CF4F89B3}" name="Tháng 10" totalsRowFunction="sum" dataDxfId="990" totalsRowDxfId="989" dataCellStyle="Comma" totalsRowCellStyle="Comma"/>
    <tableColumn id="13" xr3:uid="{D1332407-7F53-4A39-85B4-B3F14CC8F656}" name="Tháng 11" totalsRowFunction="sum" dataDxfId="988" totalsRowDxfId="987" dataCellStyle="Comma" totalsRowCellStyle="Comma"/>
    <tableColumn id="14" xr3:uid="{27BDE574-689F-4D3A-AF8A-70ABDC9798C2}" name="Tháng 12" totalsRowFunction="sum" dataDxfId="986" totalsRowDxfId="985" dataCellStyle="Comma" totalsRowCellStyle="Comma"/>
    <tableColumn id="15" xr3:uid="{085514C4-5822-4FE8-A2D4-FEC37C1777F5}" name="Add" dataDxfId="984" totalsRowDxfId="983" dataCellStyle="Comma" totalsRowCellStyle="Comma"/>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41A43669-4E8E-45D3-9748-3A619F74015C}" name="Table_KeHoach_VonGop" displayName="Table_KeHoach_VonGop" ref="B193:P195" totalsRowCount="1" headerRowDxfId="982" dataDxfId="980" totalsRowDxfId="978" headerRowBorderDxfId="981" tableBorderDxfId="979" headerRowCellStyle="Comma" dataCellStyle="Comma" totalsRowCellStyle="Comma">
  <autoFilter ref="B193:P194" xr:uid="{41A43669-4E8E-45D3-9748-3A619F74015C}"/>
  <tableColumns count="15">
    <tableColumn id="1" xr3:uid="{139F00D9-97E8-4BAB-9580-B633FDDD1E49}" name="Dòng tiền huy động vốn góp" totalsRowLabel="     Total     " dataDxfId="977" totalsRowDxfId="976" dataCellStyle="Comma"/>
    <tableColumn id="2" xr3:uid="{1B2B24CF-5CCF-43DC-B5F2-8C9782605628}" name="Column1" totalsRowFunction="sum" dataDxfId="975" totalsRowDxfId="974" dataCellStyle="Comma" totalsRowCellStyle="Comma"/>
    <tableColumn id="3" xr3:uid="{1222BB6C-C294-40BE-8480-CEE37E968787}" name="Tháng 1" totalsRowFunction="sum" dataDxfId="973" totalsRowDxfId="972" dataCellStyle="Comma" totalsRowCellStyle="Comma"/>
    <tableColumn id="4" xr3:uid="{E8469CCE-067A-4323-949F-A005F90923B8}" name="Tháng 2" totalsRowFunction="sum" dataDxfId="971" totalsRowDxfId="970" dataCellStyle="Comma" totalsRowCellStyle="Comma"/>
    <tableColumn id="5" xr3:uid="{0EEFEF49-A17D-4F17-A6F0-A7088834F4BA}" name="Tháng 3" totalsRowFunction="sum" dataDxfId="969" totalsRowDxfId="968" dataCellStyle="Comma" totalsRowCellStyle="Comma"/>
    <tableColumn id="6" xr3:uid="{77458E7B-2227-41D5-835C-7043D5ACBEBB}" name="Tháng 4" totalsRowFunction="sum" dataDxfId="967" totalsRowDxfId="966" dataCellStyle="Comma" totalsRowCellStyle="Comma"/>
    <tableColumn id="7" xr3:uid="{405F399C-F1E8-4E6A-B533-C1592B1FB994}" name="Tháng 5" totalsRowFunction="sum" dataDxfId="965" totalsRowDxfId="964" dataCellStyle="Comma" totalsRowCellStyle="Comma"/>
    <tableColumn id="8" xr3:uid="{96940340-C61C-4FB3-8F89-A237A1B65B92}" name="Tháng 6" totalsRowFunction="sum" dataDxfId="963" totalsRowDxfId="962" dataCellStyle="Comma" totalsRowCellStyle="Comma"/>
    <tableColumn id="9" xr3:uid="{4AE55D5F-8945-4F95-910F-CBEA7120D8D6}" name="Tháng 7" totalsRowFunction="sum" dataDxfId="961" totalsRowDxfId="960" dataCellStyle="Comma" totalsRowCellStyle="Comma"/>
    <tableColumn id="10" xr3:uid="{4DAA2BAD-5B47-4A15-B52A-956CF3A3BC52}" name="Tháng 8" totalsRowFunction="sum" dataDxfId="959" totalsRowDxfId="958" dataCellStyle="Comma" totalsRowCellStyle="Comma"/>
    <tableColumn id="11" xr3:uid="{4C13CABA-AAE3-4890-966F-93A51F892B26}" name="Tháng 9" totalsRowFunction="sum" dataDxfId="957" totalsRowDxfId="956" dataCellStyle="Comma" totalsRowCellStyle="Comma"/>
    <tableColumn id="12" xr3:uid="{513DF229-DD74-4B4F-9D1A-7D527DDE5EC0}" name="Tháng 10" totalsRowFunction="sum" dataDxfId="955" totalsRowDxfId="954" dataCellStyle="Comma" totalsRowCellStyle="Comma"/>
    <tableColumn id="13" xr3:uid="{F6103B17-7D4C-4025-81D0-9435B52E4CF9}" name="Tháng 11" totalsRowFunction="sum" dataDxfId="953" totalsRowDxfId="952" dataCellStyle="Comma" totalsRowCellStyle="Comma"/>
    <tableColumn id="14" xr3:uid="{88839EEE-D2B7-42B9-B0FB-C13A6E408F17}" name="Tháng 12" totalsRowFunction="sum" dataDxfId="951" totalsRowDxfId="950" dataCellStyle="Comma" totalsRowCellStyle="Comma"/>
    <tableColumn id="15" xr3:uid="{D039174F-D925-4273-A95D-33FFA7567785}" name="Add" dataDxfId="949" totalsRowDxfId="948" dataCellStyle="Comma" totalsRowCellStyle="Comma"/>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0143071-339A-48CD-A490-A851FAF2712D}" name="Table_BaoCaoQuanTri_TuDong" displayName="Table_BaoCaoQuanTri_TuDong" ref="B3:P55" totalsRowShown="0" headerRowDxfId="941" dataDxfId="940">
  <autoFilter ref="B3:P55" xr:uid="{C0143071-339A-48CD-A490-A851FAF2712D}"/>
  <tableColumns count="15">
    <tableColumn id="1" xr3:uid="{DF4C9779-7683-486B-B98C-5697DC43931D}" name="Gtri" dataDxfId="939"/>
    <tableColumn id="4" xr3:uid="{001B0236-26E8-497E-AB55-F8CE3CB6070C}" name="Năm / Đầu năm" dataDxfId="938"/>
    <tableColumn id="2" xr3:uid="{65AEA264-1FDA-48EB-A06F-79E365F8ED55}" name="Tháng 1" dataDxfId="937"/>
    <tableColumn id="3" xr3:uid="{690B5C42-F889-47C2-A394-8413364DEC47}" name="Tháng 2" dataDxfId="936"/>
    <tableColumn id="5" xr3:uid="{71422BDD-D8F9-4CE5-B6B2-03A81C0AB67E}" name="Tháng 3" dataDxfId="935"/>
    <tableColumn id="6" xr3:uid="{5E05F71F-519A-4797-8A4A-68DBD0482622}" name="Tháng 4" dataDxfId="934"/>
    <tableColumn id="7" xr3:uid="{FC76974D-1C96-4895-95E7-828D08EF89B1}" name="Tháng 5" dataDxfId="933"/>
    <tableColumn id="8" xr3:uid="{7B4F54B0-9D91-4C8E-8BCD-90F130CC5258}" name="Tháng 6" dataDxfId="932"/>
    <tableColumn id="9" xr3:uid="{ACF24D8F-5415-4A73-B9FA-8E0FB79C9F3A}" name="Tháng 7" dataDxfId="931"/>
    <tableColumn id="10" xr3:uid="{DFB50755-A898-43AB-931F-E231A2250AD8}" name="Tháng 8" dataDxfId="930"/>
    <tableColumn id="11" xr3:uid="{2BC8D648-592D-4D7A-A745-F7D0D68FAC1F}" name="Tháng 9" dataDxfId="929"/>
    <tableColumn id="12" xr3:uid="{C1E9546B-C094-46C8-9E84-C3457F724243}" name="Tháng 10" dataDxfId="928"/>
    <tableColumn id="13" xr3:uid="{0013CBEC-D74E-4D55-B10D-4546C0695E28}" name="Tháng 11" dataDxfId="927"/>
    <tableColumn id="14" xr3:uid="{E58E8A29-CC2D-452E-BAAD-72B22CDBFFA1}" name="Tháng 12" dataDxfId="926"/>
    <tableColumn id="15" xr3:uid="{E4B75C35-EBB1-45CB-BAF4-0DC0327E617A}" name="Thêm" dataDxfId="925"/>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R3:S55" totalsRowShown="0" headerRowDxfId="924" dataDxfId="923">
  <autoFilter ref="R3:S55" xr:uid="{4033F4AE-F76A-434F-A095-873E3D10BAFF}"/>
  <tableColumns count="2">
    <tableColumn id="1" xr3:uid="{D95CFDE2-9C59-48C2-B9D7-6DB4827F56D8}" name="Gtri" dataDxfId="922"/>
    <tableColumn id="15" xr3:uid="{E8806F52-A9C9-4358-A5AE-69E247A0D097}" name="Add" dataDxfId="921">
      <calculatedColumnFormula>INDEX($B$2:$P$55,MATCH(Table_BaoCaoQuanTri_Nam[[#This Row],[Gtri]],$B$2:$B$55,0),MATCH($S$1,$B$2:$P$2,0))</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U3:V55" totalsRowShown="0" headerRowDxfId="920" dataDxfId="919">
  <autoFilter ref="U3:V55" xr:uid="{0ABFD336-6D7B-4C18-89EB-5F2AB490AF2B}"/>
  <tableColumns count="2">
    <tableColumn id="1" xr3:uid="{A08BE357-095F-44AF-93CE-B5A20A0B7914}" name="Gtri" dataDxfId="918"/>
    <tableColumn id="15" xr3:uid="{B4B0CC08-88FB-4BC6-A5E7-D2273CFF53ED}" name="Add" dataDxfId="917">
      <calculatedColumnFormula>INDEX($B$2:$P$55,MATCH(Table_BaoCaoQuanTri_Thang[[#This Row],[Gtri]],$B$2:$B$55,0),MATCH($V$1,$B$2:$P$2,0))</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289EE0-606E-4F55-AD29-7A8B5C5511A3}" name="Table_BCTC" displayName="Table_BCTC" ref="B3:F166" totalsRowShown="0" headerRowDxfId="915" dataDxfId="914">
  <autoFilter ref="B3:F166" xr:uid="{BCF922F8-232A-4346-874D-056C89B5CDBD}"/>
  <tableColumns count="5">
    <tableColumn id="2" xr3:uid="{A1A35B50-DB47-4F40-AECC-91753CFB1D8C}" name="Code" dataDxfId="913"/>
    <tableColumn id="1" xr3:uid="{1BE2295A-9C65-4460-B238-7B8D0920CFE2}" name="Gtri" dataDxfId="912"/>
    <tableColumn id="5" xr3:uid="{39FE1FDD-460F-4F3E-9584-91C8C448D18B}" name="Đầu kỳ" dataDxfId="911"/>
    <tableColumn id="3" xr3:uid="{3F62B03F-B592-42B6-A6D5-0D2D0EDFD493}" name="Năm / Đầu kỳ" dataDxfId="910"/>
    <tableColumn id="4" xr3:uid="{83CBA81E-27C2-402F-BF35-52C0A2ECC2D6}" name="Tháng / Cuối kỳ" dataDxfId="909"/>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H3:K166" totalsRowShown="0" headerRowDxfId="908" dataDxfId="907">
  <autoFilter ref="H3:K166" xr:uid="{4A8E04D0-8A9C-45D5-B534-7D81FE1B2481}"/>
  <tableColumns count="4">
    <tableColumn id="2" xr3:uid="{018F9535-ADC0-4DB7-9DD5-C3DA56177B97}" name="Code" dataDxfId="906"/>
    <tableColumn id="1" xr3:uid="{D484DA8D-5931-4608-A960-BD7786D3605C}" name="Gtri" dataDxfId="905"/>
    <tableColumn id="3" xr3:uid="{06DE52A7-4A79-4A8F-AD26-1825B43C59F4}" name="Năm đầu" dataDxfId="904" dataCellStyle="Percent"/>
    <tableColumn id="4" xr3:uid="{414AE415-B87A-404C-BF34-0A23A079DB98}" name="Add" dataDxfId="903">
      <calculatedColumnFormula>Table_BCTC[[#This Row],[Năm / Đầu kỳ]]</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M3:P166" totalsRowShown="0" headerRowDxfId="902" dataDxfId="901">
  <autoFilter ref="M3:P166" xr:uid="{E6260BD5-4943-40D8-881C-33F7E49DA75B}"/>
  <tableColumns count="4">
    <tableColumn id="2" xr3:uid="{284E2913-84A8-416A-AB3C-4C7B54653B33}" name="Code" dataDxfId="900"/>
    <tableColumn id="1" xr3:uid="{2910C0CD-E9ED-4C8D-8957-B10873FCA9E0}" name="Gtri" dataDxfId="899"/>
    <tableColumn id="3" xr3:uid="{2C522951-11DF-4D76-82A0-82E2BE204C87}" name="Tháng đầu" dataDxfId="898" dataCellStyle="Percent"/>
    <tableColumn id="4" xr3:uid="{67F80F2E-2D99-4197-91AB-01983605F037}" name="Add" dataDxfId="897">
      <calculatedColumnFormula>Table_BCTC[[#This Row],[Tháng / Cuối kỳ]]</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U22:X23" totalsRowShown="0" headerRowDxfId="892" dataDxfId="891">
  <autoFilter ref="U22:X23" xr:uid="{816E18EB-DD5B-4530-8FB2-641A17DF6321}"/>
  <tableColumns count="4">
    <tableColumn id="1" xr3:uid="{6665C849-493D-497D-BB00-131408145B34}" name="Ngày lên đơn" dataDxfId="890"/>
    <tableColumn id="2" xr3:uid="{417CEACE-3018-4C1D-AB51-9B2FB2C2DAC3}" name="Giá trị nợ" dataDxfId="889" dataCellStyle="Comma">
      <calculatedColumnFormula array="1" xml:space="preserve">
IF(Table_PhaiThu_TuoiNoKH[[#This Row],[Ngày lên đơn]]&gt;NoXau_NgayTheoDoi,0,
MAX(0,
IFERROR(
SUM(_xlfn._xlws.FILTER(Table_DonBan[Phải thu],
(Table_DonBan[Mã Khách] = NoXau_MaKH) *
(ISBLANK(Table_DonBan[Phân bổ từ]))*
(ISBLANK(Table_DonBan[Phân bổ đến]))*
(Table_DonBan[Ngày lập] &lt;= Table_PhaiThu_TuoiNoKH[[#This Row],[Ngày lên đơn]])
)),0)
+IFERROR(
SUMPRODUCT(
_xlfn._xlws.FILTER(Table_DonBan[Phải thu],
(Table_DonBan[Mã Khách] = NoXau_MaKH) *
(Table_DonBan[Phân bổ từ]&lt;= NoXau_NgayTheoDoi)*
(Table_DonBan[Phân bổ đến]&gt;= NoXau_NgayTheoDoi)
),
_xlfn._xlws.FILTER(
ROUND(
(NoXau_NgayTheoDoi - 1 - Table_DonBan[Phân bổ từ]) / (362.25 / 12 ),
0),
(Table_DonBan[Mã Khách] = NoXau_MaKH) *
(Table_DonBan[Phân bổ từ]&lt;= NoXau_NgayTheoDoi)*
(Table_DonBan[Phân bổ đến]&gt;= NoXau_NgayTheoDoi)
),
_xlfn._xlws.FILTER(
1 / ROUND((Table_DonBan[Phân bổ đến] - Table_DonBan[Phân bổ từ]) / (362.25 / 12 ), 0),
(Table_DonBan[Mã Khách] = NoXau_MaKH) *
(Table_DonBan[Phân bổ từ]&lt;= NoXau_NgayTheoDoi)*
(Table_DonBan[Phân bổ đến]&gt;= NoXau_NgayTheoDoi)
)),0)
- NoXau_NhanThanhToan
))</calculatedColumnFormula>
    </tableColumn>
    <tableColumn id="3" xr3:uid="{7AE36EE8-E8C4-4713-A391-0E09E8C1F55C}" name="Tuổi nợ" dataDxfId="888" dataCellStyle="Comma">
      <calculatedColumnFormula>IF(Table_PhaiThu_TuoiNoKH[[#This Row],[Giá trị nợ]] =0, 0, NoXau_NgayTheoDoi-Table_PhaiThu_TuoiNoKH[[#This Row],[Ngày lên đơn]])</calculatedColumnFormula>
    </tableColumn>
    <tableColumn id="4" xr3:uid="{5C272BD0-06B4-441B-8B16-4582ED1537D3}" name="Add" dataDxfId="887"/>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M22:Q23" totalsRowShown="0" headerRowDxfId="886" dataDxfId="885">
  <autoFilter ref="M22:Q23" xr:uid="{7A27FC43-910A-457B-805C-D46DCCD5E66C}"/>
  <tableColumns count="5">
    <tableColumn id="6" xr3:uid="{0EE4CA27-15CF-4AE5-9AFD-0DBACDB7AC4D}" name="Tuổi nợ min" dataDxfId="884" dataCellStyle="Comma"/>
    <tableColumn id="1" xr3:uid="{5EBDDF4C-7F69-4DEA-92AA-912BB746F731}" name="Tuổi nợ max" dataDxfId="883" dataCellStyle="Comma"/>
    <tableColumn id="2" xr3:uid="{28C4EA9F-A79D-442E-A06D-4A07A80FFC40}" name="Tỷ lệ dự phòng" dataDxfId="882" dataCellStyle="Percent"/>
    <tableColumn id="3" xr3:uid="{21C05676-D8D6-4426-91D8-FCF3582641C4}" name="Giá trị dự phòng" dataDxfId="881" dataCellStyle="Comma">
      <calculatedColumnFormula array="1"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 id="4" xr3:uid="{1EF85055-AB80-4053-B4D5-08458CB28112}" name="Add" dataDxfId="880"/>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G22:AL28" totalsRowShown="0" headerRowDxfId="879" dataDxfId="878">
  <autoFilter ref="AG22:AL28" xr:uid="{F34E1FD4-2D19-4D23-B4A7-1AA3B8DAD6B1}"/>
  <tableColumns count="6">
    <tableColumn id="1" xr3:uid="{7037269D-0955-488E-AB4D-E864778EA0EF}" name="Kỳ" dataDxfId="877">
      <calculatedColumnFormula>IFERROR(
IF(ISBLANK(Table_DuPhong[[#This Row],[Tháng]]),
DATE(Table_DuPhong[[#This Row],[Năm]],12,1),
DATE(Table_DuPhong[[#This Row],[Năm]],Table_DuPhong[[#This Row],[Tháng]],1)),0)</calculatedColumnFormula>
    </tableColumn>
    <tableColumn id="8" xr3:uid="{0FB441F7-BC43-4903-A829-33BA43736A2E}" name="Năm" dataDxfId="876"/>
    <tableColumn id="7" xr3:uid="{04E52C42-4304-461D-BACD-99F768E3B4D2}" name="Tháng" dataDxfId="875"/>
    <tableColumn id="2" xr3:uid="{4D0A059D-BE97-475F-969C-DF6CEB206B2D}" name="Mã đối tác" dataDxfId="874"/>
    <tableColumn id="3" xr3:uid="{464D14DA-2C8B-4736-B46F-63E7EAFD2FA0}" name="Dự phòng lũy kế" dataDxfId="873" dataCellStyle="Comma"/>
    <tableColumn id="4" xr3:uid="{0EEF9F15-57BF-4AC3-8869-6E69E24C3520}" name="Add" dataDxfId="872"/>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AE860EF-9B6B-4E31-A045-5AEAAE5ACE87}" name="Table_PhaiThu_TuoiNoNCC" displayName="Table_PhaiThu_TuoiNoNCC" ref="AB22:AE23" totalsRowShown="0" headerRowDxfId="871" dataDxfId="870">
  <autoFilter ref="AB22:AE23" xr:uid="{6AE860EF-9B6B-4E31-A045-5AEAAE5ACE87}"/>
  <tableColumns count="4">
    <tableColumn id="1" xr3:uid="{8498CEDF-05BB-4CFA-908A-0AC4EF92CDFE}" name="Ngày thanh toán" dataDxfId="869"/>
    <tableColumn id="2" xr3:uid="{E5AF40C1-CCF7-4911-BA9D-DFE882B7A6D4}" name="Giá trị nợ" dataDxfId="868" dataCellStyle="Comma">
      <calculatedColumnFormula array="1"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calculatedColumnFormula>
    </tableColumn>
    <tableColumn id="3" xr3:uid="{3A5930FF-0EFF-4A44-A8C1-012FD7030028}" name="Tuổi nợ" dataDxfId="867" dataCellStyle="Comma">
      <calculatedColumnFormula array="1">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calculatedColumnFormula>
    </tableColumn>
    <tableColumn id="4" xr3:uid="{D911ED8C-1E7E-42DE-B22A-AB372693E83B}" name="Add" dataDxfId="866"/>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C23:H26" totalsRowShown="0" headerRowDxfId="863" dataDxfId="862">
  <autoFilter ref="C23:H26" xr:uid="{E6260BD5-4943-40D8-881C-33F7E49DA75B}"/>
  <tableColumns count="6">
    <tableColumn id="2" xr3:uid="{275F30D4-F07E-452A-9E6B-C838301D871F}" name="Đối tác" dataDxfId="861"/>
    <tableColumn id="1" xr3:uid="{F4F0303E-DEDD-4D3F-982F-6F2FE19DDB1D}" name="Dư đầu kỳ" dataDxfId="860" dataCellStyle="Comma"/>
    <tableColumn id="3" xr3:uid="{6328C6BD-75ED-4081-94E9-F09738494942}" name="03-2025" dataDxfId="859"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calculatedColumnFormula>
    </tableColumn>
    <tableColumn id="5" xr3:uid="{41ADD969-C239-4B56-B937-22060DFA7A8F}" name="04-2025" dataDxfId="858"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calculatedColumnFormula>
    </tableColumn>
    <tableColumn id="6" xr3:uid="{3D7B80C1-1C51-4C9A-94DD-6564006F5ACC}" name="05-2025" dataDxfId="857"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calculatedColumnFormula>
    </tableColumn>
    <tableColumn id="4" xr3:uid="{0A50280D-49FC-46F1-A675-3E18B9BC8AF5}" name="Add" dataDxfId="856"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B27:H30" totalsRowShown="0" headerRowDxfId="852" dataDxfId="851">
  <autoFilter ref="B27:H30" xr:uid="{E6260BD5-4943-40D8-881C-33F7E49DA75B}"/>
  <tableColumns count="7">
    <tableColumn id="30" xr3:uid="{BA2D4C76-CA0F-4869-9A62-DC14CDEF420F}" name="Nhóm đối tác" dataDxfId="850"/>
    <tableColumn id="2" xr3:uid="{78EF47C2-46B0-40DE-9ADA-C3D3AA9A9C12}" name="Đối tác" dataDxfId="849" dataCellStyle="Comma"/>
    <tableColumn id="1" xr3:uid="{2B1D3624-701D-49A3-B369-2F23DA73BB73}" name="Dư đầu kỳ" dataDxfId="848" dataCellStyle="Comma"/>
    <tableColumn id="3" xr3:uid="{E43A4A10-5077-4F2B-8F36-351808E97105}" name="03-2025" dataDxfId="847"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calculatedColumnFormula>
    </tableColumn>
    <tableColumn id="5" xr3:uid="{8DB6F504-4383-42B2-8F75-6EA4604EDA18}" name="04-2025" dataDxfId="846"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calculatedColumnFormula>
    </tableColumn>
    <tableColumn id="6" xr3:uid="{5578FD46-8DCF-464C-AFBE-27855460568B}" name="05-2025" dataDxfId="845"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calculatedColumnFormula>
    </tableColumn>
    <tableColumn id="4" xr3:uid="{4D48D0D6-80B3-4431-B238-02E726D63F5E}" name="Add" dataDxfId="844"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calculatedColumnFormula>
    </tableColumn>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F23:Q26" totalsRowShown="0" headerRowDxfId="841" dataDxfId="840">
  <autoFilter ref="F23:Q26" xr:uid="{41302B2E-E512-424D-BCE6-0E1D488E9735}"/>
  <tableColumns count="12">
    <tableColumn id="1" xr3:uid="{F59CB08C-5328-43EF-A2C6-5040207B19D1}" name="Mã hàng" dataDxfId="839"/>
    <tableColumn id="7" xr3:uid="{8DD841B9-0227-476F-9C70-64D13EAECD70}" name="Tồn tối thiểu" dataDxfId="838" dataCellStyle="Comma">
      <calculatedColumnFormula>Table_DiemDatHang[[#This Row],[Tiêu thụ / ngày]]*(1+Table_DiemDatHang[[#This Row],[Tăng trưởng tiêu thụ]])*NgayLuuKho_Min</calculatedColumnFormula>
    </tableColumn>
    <tableColumn id="9" xr3:uid="{85EAFD39-40B5-4921-A48B-58722366EEE3}" name="Tồn tối đa" dataDxfId="837" dataCellStyle="Comma">
      <calculatedColumnFormula>Table_DiemDatHang[[#This Row],[Tiêu thụ / ngày]]*(1+Table_DiemDatHang[[#This Row],[Tăng trưởng tiêu thụ]])*NgayLuuKho_Max</calculatedColumnFormula>
    </tableColumn>
    <tableColumn id="2" xr3:uid="{A6F0E9AD-D7D3-4CB4-893A-CEDB0F6554DF}" name="Tồn đầu ngày" dataDxfId="836" dataCellStyle="Comma">
      <calculatedColumnFormula>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calculatedColumnFormula>
    </tableColumn>
    <tableColumn id="4" xr3:uid="{5EB1768A-369D-49A7-B8D9-BF746C752B73}" name="Tiêu thụ / ngày" dataDxfId="835" dataCellStyle="Comma">
      <calculatedColumnFormula>(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calculatedColumnFormula>
    </tableColumn>
    <tableColumn id="10" xr3:uid="{75F0B5FB-82D7-408A-BF22-A572A20DC0CA}" name="Tăng trưởng tiêu thụ" dataDxfId="834" dataCellStyle="Percent"/>
    <tableColumn id="5" xr3:uid="{6EB410F5-2A26-47F7-8343-417C2322AD8A}" name="Ngày tồn kho" dataDxfId="833" dataCellStyle="Comma">
      <calculatedColumnFormula xml:space="preserve">
IFERROR(
ROUNDUP(I24/(J24*(1+K24)),0),0)</calculatedColumnFormula>
    </tableColumn>
    <tableColumn id="6" xr3:uid="{8696BBB3-62B4-475B-AE47-68ED60378C95}" name="Ngày giao / sản xuất" dataDxfId="832" dataCellStyle="Comma">
      <calculatedColumnFormula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calculatedColumnFormula>
    </tableColumn>
    <tableColumn id="8" xr3:uid="{40693F00-600F-4B0A-A5CA-0712AE16FF7B}" name="Hạn đặt hàng" dataDxfId="831">
      <calculatedColumnFormula>DatHang_NgayTheoDoi+L24-M24-NgayLuuKho_Min</calculatedColumnFormula>
    </tableColumn>
    <tableColumn id="11" xr3:uid="{D57B6699-100A-4922-9CAE-78E9714A49FC}" name="SL cần đặt" dataDxfId="830" dataCellStyle="Comma">
      <calculatedColumnFormula>Table_DiemDatHang[[#This Row],[Tiêu thụ / ngày]]*(1+Table_DiemDatHang[[#This Row],[Tăng trưởng tiêu thụ]])*MAX(0,NgayLuuKho_Max-(Table_DiemDatHang[[#This Row],[Ngày tồn kho]]-Table_DiemDatHang[[#This Row],[Ngày giao / sản xuất]]))</calculatedColumnFormula>
    </tableColumn>
    <tableColumn id="3" xr3:uid="{498A1813-39E1-4F11-AED7-53FBA735CA1F}" name="Giá trị cần đặt" dataDxfId="829" dataCellStyle="Comma">
      <calculatedColumnFormula array="1">IFERROR(
SUM(_xlfn._xlws.FILTER(Table_NguonHang[Giá trị],
(Table_NguonHang[Đối tượng] = Table_DiemDatHang[[#This Row],[Mã hàng]])))
/SUM(_xlfn._xlws.FILTER(Table_NguonHang[Lượng đặt],
(Table_NguonHang[Đối tượng] = Table_DiemDatHang[[#This Row],[Mã hàng]]))),
0)*O24</calculatedColumnFormula>
    </tableColumn>
    <tableColumn id="12" xr3:uid="{FFE52754-4105-487A-907E-714C181CB836}" name="Add" dataDxfId="828"/>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308743C-B8BB-4E3D-9258-E86DB16343BA}" name="Table_HieuQuaSX" displayName="Table_HieuQuaSX" ref="AP21:AV24" totalsRowShown="0" headerRowDxfId="798" dataDxfId="797">
  <autoFilter ref="AP21:AV24" xr:uid="{2308743C-B8BB-4E3D-9258-E86DB16343BA}"/>
  <tableColumns count="7">
    <tableColumn id="3" xr3:uid="{E248A5C9-13F8-44F2-9D11-11A8E16781D1}" name="Kỳ" dataDxfId="796">
      <calculatedColumnFormula>IFERROR(DATE(Table_HieuQuaSX[[#This Row],[Năm]],Table_HieuQuaSX[[#This Row],[Tháng]],1),0)</calculatedColumnFormula>
    </tableColumn>
    <tableColumn id="1" xr3:uid="{859B4E31-3F18-4E23-BBE8-2A42AF6D43DC}" name="Năm" dataDxfId="795"/>
    <tableColumn id="2" xr3:uid="{C4B7F1AC-25FF-4D27-AF90-2F33C5F3CCAD}" name="Tháng" dataDxfId="794"/>
    <tableColumn id="4" xr3:uid="{0C124BC5-96B7-41A1-8833-30554276E502}" name="Giá vốn mục tiêu" dataDxfId="793" dataCellStyle="Comma"/>
    <tableColumn id="5" xr3:uid="{03CDDCA1-4C20-43D5-992C-F0F60DC9373B}" name="Giá vốn thực tế" dataDxfId="792" dataCellStyle="Comma">
      <calculatedColumnFormula array="1">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calculatedColumnFormula>
    </tableColumn>
    <tableColumn id="6" xr3:uid="{2A8BBE22-2F1B-4EAC-B681-BB12D2E2A9B3}" name="Hiệu quả" dataDxfId="791" dataCellStyle="Percent">
      <calculatedColumnFormula>1-(Table_HieuQuaSX[[#This Row],[Giá vốn thực tế]]/Table_HieuQuaSX[[#This Row],[Giá vốn mục tiêu]])</calculatedColumnFormula>
    </tableColumn>
    <tableColumn id="7" xr3:uid="{53DCF830-F199-44E4-BAA1-FFEF270EA53D}" name="Add" dataDxfId="790"/>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AG21:AN25" totalsRowShown="0" headerRowDxfId="789" dataDxfId="788">
  <autoFilter ref="AG21:AN25" xr:uid="{2CB9985B-580F-4533-8553-105C1F83175C}"/>
  <tableColumns count="8">
    <tableColumn id="1" xr3:uid="{2AC39E01-0898-4986-A633-EB40316BE2AF}" name="Nguyên liệu" dataDxfId="787"/>
    <tableColumn id="13" xr3:uid="{9910BF70-4DB1-4086-981D-5AB13EF1F52C}" name="Tiện ích sản xuất" dataDxfId="786"/>
    <tableColumn id="11" xr3:uid="{F30C72E6-2854-4319-A09B-68CBE4DDE414}" name="Đơn vị" dataDxfId="785">
      <calculatedColumnFormula>IFERROR(VLOOKUP(Table_HieuQuaSX_KHTieuThu[[#This Row],[Nguyên liệu]],Table_NguyenLieu[[Mã Nguyên liệu]:[Đơn vị]],Sheet_NguyenLieu!$F$1,0),0)</calculatedColumnFormula>
    </tableColumn>
    <tableColumn id="6" xr3:uid="{C03BFF9B-EE62-4A6A-8850-16FC59C96C3E}" name="Đơn giá" dataDxfId="784" dataCellStyle="Comma">
      <calculatedColumnFormula array="1">IFERROR(
SUM(_xlfn._xlws.FILTER(Table_NguonHang[Giá trị],
(Table_NguonHang[Đối tượng] = Table_HieuQuaSX_KHTieuThu[[#This Row],[Nguyên liệu]])))
/SUM(_xlfn._xlws.FILTER(Table_NguonHang[Lượng đặt],
(Table_NguonHang[Đối tượng] = Table_HieuQuaSX_KHTieuThu[[#This Row],[Nguyên liệu]]))),
0)</calculatedColumnFormula>
    </tableColumn>
    <tableColumn id="2" xr3:uid="{C971767B-245C-40D4-A639-13F69220431A}" name="Tồn kho hiện tại" dataDxfId="783" dataCellStyle="Comma">
      <calculatedColumnFormula>+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calculatedColumnFormula>
    </tableColumn>
    <tableColumn id="8" xr3:uid="{06B82FDF-DFE7-431D-9D0E-F5CE45945D73}" name="Số lượng cần đặt" dataDxfId="782" dataCellStyle="Comma">
      <calculatedColumnFormula array="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781" dataCellStyle="Comma">
      <calculatedColumnFormula>Table_HieuQuaSX_KHTieuThu[[#This Row],[Số lượng cần đặt]]*Table_HieuQuaSX_KHTieuThu[[#This Row],[Đơn giá]]</calculatedColumnFormula>
    </tableColumn>
    <tableColumn id="4" xr3:uid="{486BE4A2-0D73-4F0E-BBAB-F35FE74826DA}" name="Add" dataDxfId="780"/>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2B89D3B-48CA-4CE8-A8B9-44C82BC42579}" name="Table_HieuQuaSX_DinhMuc" displayName="Table_HieuQuaSX_DinhMuc" ref="R21:AE27" totalsRowShown="0" headerRowDxfId="779" dataDxfId="778">
  <autoFilter ref="R21:AE27" xr:uid="{E2B89D3B-48CA-4CE8-A8B9-44C82BC42579}"/>
  <tableColumns count="14">
    <tableColumn id="14" xr3:uid="{2BE1E6BF-9521-43CB-A9C8-20DEF9B19E09}" name="SKU" dataDxfId="777" dataCellStyle="Comma"/>
    <tableColumn id="15" xr3:uid="{D336907F-FD0C-40A6-AEC4-64703C405B5C}" name="Đơn vị SKU" dataDxfId="776" dataCellStyle="Comma">
      <calculatedColumnFormula>IFERROR(VLOOKUP(Table_HieuQuaSX_DinhMuc[[#This Row],[SKU]],Table_SKU[[Mã SKU]:[Add]],COUNTA(Table_SKU[[#Headers],[Mã SKU]:[Đơn vị]]),0),0)</calculatedColumnFormula>
    </tableColumn>
    <tableColumn id="16" xr3:uid="{F184B79C-9AB1-4021-97B3-5B8D87C42CC1}" name="Sản lượng kế hoạch" dataDxfId="775" dataCellStyle="Comma"/>
    <tableColumn id="1" xr3:uid="{DBB8C871-CA1D-4B5F-822B-137896894C81}" name="Nguyên liệu" dataDxfId="774"/>
    <tableColumn id="13" xr3:uid="{8E08A0A8-5379-4B24-BB29-632FA5EEA474}" name="Tiện ích sản xuất" dataDxfId="773"/>
    <tableColumn id="2" xr3:uid="{5BEB72BC-83F1-4CD1-A81D-AB90EEBA3DEC}" name="Đầu vào" dataDxfId="772">
      <calculatedColumnFormula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calculatedColumnFormula>
    </tableColumn>
    <tableColumn id="11" xr3:uid="{8EED713B-3839-49A0-942E-04573C773DEA}" name="Đơn vị" dataDxfId="771">
      <calculatedColumnFormula>IFERROR(VLOOKUP(Table_HieuQuaSX_DinhMuc[[#This Row],[Nguyên liệu]],Table_NguyenLieu[[Mã Nguyên liệu]:[Đơn vị]],Sheet_NguyenLieu!$F$1,0),0)</calculatedColumnFormula>
    </tableColumn>
    <tableColumn id="3" xr3:uid="{18E190CD-C7BB-4A38-AC85-E6E3C74D1019}" name="Định mức" dataDxfId="770" dataCellStyle="Comma"/>
    <tableColumn id="7" xr3:uid="{A64953C4-7213-447C-B77A-05048D52D936}" name="Hao hụt" dataDxfId="769" dataCellStyle="Percent"/>
    <tableColumn id="5" xr3:uid="{541D0A47-BA27-4827-AD18-65CEA35851AA}" name="Số lượng tiêu thụ" dataDxfId="768" dataCellStyle="Comma">
      <calculatedColumnFormula>IFERROR(
Table_HieuQuaSX_DinhMuc[[#This Row],[Định mức]]*Table_HieuQuaSX_DinhMuc[[#This Row],[Sản lượng kế hoạch]]/(1-Table_HieuQuaSX_DinhMuc[[#This Row],[Hao hụt]]),0)</calculatedColumnFormula>
    </tableColumn>
    <tableColumn id="6" xr3:uid="{34883678-154A-4B68-BFB3-04615E3DC802}" name="Đơn giá" dataDxfId="767" dataCellStyle="Comma">
      <calculatedColumnFormula>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calculatedColumnFormula>
    </tableColumn>
    <tableColumn id="9" xr3:uid="{90383EB2-60CD-4B85-B0C5-3C4A1845E306}" name="Giá trị tiêu thụ" dataDxfId="766" dataCellStyle="Comma">
      <calculatedColumnFormula>Table_HieuQuaSX_DinhMuc[[#This Row],[Đơn giá]]*Table_HieuQuaSX_DinhMuc[[#This Row],[Số lượng tiêu thụ]]</calculatedColumnFormula>
    </tableColumn>
    <tableColumn id="10" xr3:uid="{0D15E8B2-E0F0-42F3-8809-FCA7C3B33CC5}" name="Giá vốn bình quân" dataDxfId="765" dataCellStyle="Comma">
      <calculatedColumnFormula>Table_HieuQuaSX_DinhMuc[[#This Row],[Giá trị tiêu thụ]]/Table_HieuQuaSX_DinhMuc[[#This Row],[Sản lượng kế hoạch]]</calculatedColumnFormula>
    </tableColumn>
    <tableColumn id="4" xr3:uid="{F1B938A7-A9E3-4831-ABAF-92F02F4B25BA}" name="Add" dataDxfId="764"/>
  </tableColumns>
  <tableStyleInfo name="TableStyleMedium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221693EC-C290-40DB-A5B6-97CFC8B84CF1}" name="Table_NguonHang" displayName="Table_NguonHang" ref="AH9:AP13" totalsRowShown="0" headerRowDxfId="734" dataDxfId="733">
  <autoFilter ref="AH9:AP13" xr:uid="{221693EC-C290-40DB-A5B6-97CFC8B84CF1}"/>
  <tableColumns count="9">
    <tableColumn id="1" xr3:uid="{39596401-F3EE-44DD-9F93-88D8FBF11AE6}" name="SKU" dataDxfId="732"/>
    <tableColumn id="2" xr3:uid="{08A96AA3-9424-424E-8E5A-6C2FBD23F84F}" name="Nguyên liệu" dataDxfId="731"/>
    <tableColumn id="3" xr3:uid="{80A74394-04C5-496D-BBCE-D081AD6746BB}" name="Đối tượng" dataDxfId="730">
      <calculatedColumnFormula>IF(ISBLANK(Table_NguonHang[[#This Row],[SKU]]),Table_NguonHang[[#This Row],[Nguyên liệu]],Table_NguonHang[[#This Row],[SKU]])</calculatedColumnFormula>
    </tableColumn>
    <tableColumn id="4" xr3:uid="{D93A7B29-7074-4B67-8110-B7D139B24D37}" name="Nhà cung cấp" dataDxfId="729"/>
    <tableColumn id="5" xr3:uid="{F9C6EB4F-FDEF-4323-AF8B-16C502A21F73}" name="Giá trung bình" dataDxfId="728" dataCellStyle="Comma">
      <calculatedColumnFormula array="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calculatedColumnFormula>
    </tableColumn>
    <tableColumn id="6" xr3:uid="{B7367694-BE31-4E47-AB15-921CB0806209}" name="Cần đặt" dataDxfId="727" dataCellStyle="Comma">
      <calculatedColumnFormula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calculatedColumnFormula>
    </tableColumn>
    <tableColumn id="7" xr3:uid="{45E3E351-9030-4BBE-BE91-610260FB0C62}" name="Lượng đặt" dataDxfId="726" dataCellStyle="Comma"/>
    <tableColumn id="8" xr3:uid="{07AAE5C6-ABA8-4AAD-B7E9-439B79F9FC8B}" name="Giá trị" dataDxfId="725" dataCellStyle="Comma">
      <calculatedColumnFormula>Table_NguonHang[[#This Row],[Lượng đặt]]*Table_NguonHang[[#This Row],[Giá trung bình]]</calculatedColumnFormula>
    </tableColumn>
    <tableColumn id="9" xr3:uid="{01A3A42B-BEAF-49E6-BC91-99564681CCAE}" name="Add" dataDxfId="724"/>
  </tableColumns>
  <tableStyleInfo name="TableStyleMedium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M21:Q22" totalsRowShown="0" headerRowDxfId="720" dataDxfId="719">
  <autoFilter ref="M21:Q22" xr:uid="{4CE940BA-FBC4-478A-A5EC-B0AA10F408B4}"/>
  <tableColumns count="5">
    <tableColumn id="1" xr3:uid="{EE31E204-1CA2-48CE-87B1-0A010AF8FA7D}" name="Ngày tồn min" dataDxfId="718" dataCellStyle="Comma"/>
    <tableColumn id="5" xr3:uid="{79A1BFE7-E35A-42B8-84F6-E720BBF328FD}" name="Ngày tồn max" dataDxfId="717" dataCellStyle="Comma"/>
    <tableColumn id="2" xr3:uid="{1F2DF910-0F9C-41EC-BA58-D72770AD58F0}" name="Tỷ lệ dự phòng" dataDxfId="716" totalsRowDxfId="715"/>
    <tableColumn id="4" xr3:uid="{7AADE14C-25F1-4A5C-85EC-95984C62BB87}" name="Giá trị dự phòng" dataDxfId="714" dataCellStyle="Comma">
      <calculatedColumnFormula array="1"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calculatedColumnFormula>
    </tableColumn>
    <tableColumn id="3" xr3:uid="{26CFBF1B-8924-4DF8-9D84-DC5D79387387}" name="Add" dataDxfId="713"/>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U21:X22" totalsRowShown="0" headerRowDxfId="712" dataDxfId="711">
  <autoFilter ref="U21:X22" xr:uid="{F55A8AE4-219A-496F-ADCF-E36D3FB29D4A}"/>
  <tableColumns count="4">
    <tableColumn id="1" xr3:uid="{CBBB4261-387A-4FEE-8E2B-D325524B4494}" name="Ngày nhập" dataDxfId="710"/>
    <tableColumn id="10" xr3:uid="{5EAB9BC7-C5DF-42E4-A540-C723ED7B3495}" name="Giá trị tồn" dataDxfId="709" dataCellStyle="Comma">
      <calculatedColumnFormula array="1"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calculatedColumnFormula>
    </tableColumn>
    <tableColumn id="4" xr3:uid="{C7FE3BB4-4495-41A1-97A2-2099F0776183}" name="Ngày tồn" dataDxfId="708" dataCellStyle="Comma">
      <calculatedColumnFormula>IF(Table_TonKho_TuoiKho[[#This Row],[Giá trị tồn]] = 0,0,
TonKho_NgayTheoDoi -Table_TonKho_TuoiKho[[#This Row],[Ngày nhập]])</calculatedColumnFormula>
    </tableColumn>
    <tableColumn id="2" xr3:uid="{3A59231C-AA89-4256-8BB3-1A785E9D46E7}" name="Add" dataDxfId="707"/>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U21:BS36" totalsRowShown="0" headerRowDxfId="703" dataDxfId="702">
  <autoFilter ref="AU21:BS36" xr:uid="{5023EBA5-753D-43FE-9F71-91D3FB478261}"/>
  <tableColumns count="25">
    <tableColumn id="2" xr3:uid="{8E5CBC54-8A31-4EF5-A0C3-074000F41621}" name="Kỳ" dataDxfId="701">
      <calculatedColumnFormula>IFERROR(
IF(ISBLANK(AW22),
DATE(AV22,12,1),
DATE(AV22,AW22,1)),0)</calculatedColumnFormula>
    </tableColumn>
    <tableColumn id="1" xr3:uid="{F61A9320-5B75-4010-9773-8E8C089A7753}" name="Năm" dataDxfId="700"/>
    <tableColumn id="19" xr3:uid="{C1F54C3B-79A5-42C9-BA85-70CE48310B4A}" name="Tháng" dataDxfId="699"/>
    <tableColumn id="3" xr3:uid="{6152064A-A7DE-4879-87FC-7DDEA1ED6238}" name="SKU" dataDxfId="698"/>
    <tableColumn id="4" xr3:uid="{587CFBAD-E5B3-49F9-B0D7-F94A8D5566B7}" name="Nguyên liệu" dataDxfId="697"/>
    <tableColumn id="16" xr3:uid="{28BCF377-2E5C-4763-8053-BC6F362C9F57}" name="Chức năng" dataDxfId="696">
      <calculatedColumnFormula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calculatedColumnFormula>
    </tableColumn>
    <tableColumn id="23" xr3:uid="{A73209F2-44C1-448E-95FD-8B18FDE6A2C3}" name="Đối tượng" dataDxfId="695">
      <calculatedColumnFormula>IF(ISBLANK(Table_TonKho[[#This Row],[SKU]]),Table_TonKho[[#This Row],[Nguyên liệu]],Table_TonKho[[#This Row],[SKU]])</calculatedColumnFormula>
    </tableColumn>
    <tableColumn id="21" xr3:uid="{907E3A8A-3948-43C3-8505-3E5A43B517C3}" name="Kho" dataDxfId="694"/>
    <tableColumn id="5" xr3:uid="{AEB31195-8B0D-4F17-9B9C-5045B59C9FFB}" name="SL Đầu kỳ" dataDxfId="693" dataCellStyle="Comma">
      <calculatedColumnFormula array="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calculatedColumnFormula>
    </tableColumn>
    <tableColumn id="6" xr3:uid="{4B4D8AE2-22E0-4F95-8654-CDCB8993EA69}" name="SL nhập" dataDxfId="692" dataCellStyle="Comma">
      <calculatedColumnFormula array="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calculatedColumnFormula>
    </tableColumn>
    <tableColumn id="7" xr3:uid="{BCC42489-DF07-4C9F-8C55-E3C315D9098E}" name="SL xuất" dataDxfId="691" dataCellStyle="Comma">
      <calculatedColumnFormula array="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690" dataCellStyle="Comma">
      <calculatedColumnFormula array="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689" dataCellStyle="Comma"/>
    <tableColumn id="11" xr3:uid="{C54C790E-E836-41A0-8B9E-814E17353CCE}" name="Chênh lệch" dataDxfId="688" dataCellStyle="Comma">
      <calculatedColumnFormula>Table_TonKho[[#This Row],[KQ kiểm kê]]-Table_TonKho[[#This Row],[SL Cuối kỳ]]</calculatedColumnFormula>
    </tableColumn>
    <tableColumn id="12" xr3:uid="{D248C8E0-953C-40B3-863D-B83F98AE7609}" name="Sản xuất" dataDxfId="687" dataCellStyle="Comma">
      <calculatedColumnFormula array="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calculatedColumnFormula>
    </tableColumn>
    <tableColumn id="13" xr3:uid="{39742343-B8A8-4951-B7F5-D188673A49D6}" name="Tiêu thụ" dataDxfId="686"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calculatedColumnFormula>
    </tableColumn>
    <tableColumn id="14" xr3:uid="{361250BB-0E5D-40CC-8B95-248715E710F5}" name="Giá trị xuất" dataDxfId="685" dataCellStyle="Comma">
      <calculatedColumnFormula array="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15" xr3:uid="{572ABAAC-FBDD-467F-BF1F-894B4F13B37B}" name="Chi phí ghi nhận" dataDxfId="684"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calculatedColumnFormula>
    </tableColumn>
    <tableColumn id="24" xr3:uid="{23BE34BB-D727-416A-8750-ADCBFF35E90D}" name="Tồn kho cuối kỳ" dataDxfId="683" dataCellStyle="Comma">
      <calculatedColumnFormula array="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calculatedColumnFormula>
    </tableColumn>
    <tableColumn id="25" xr3:uid="{19A5AEFA-3F0B-471C-A2D2-D84471A9FF97}" name="Giá vốn cuối kỳ" dataDxfId="682" dataCellStyle="Comma">
      <calculatedColumnFormula>Table_TonKho[[#This Row],[Giá trị cuối kỳ]]-Table_TonKho[[#This Row],[Tồn kho cuối kỳ]]</calculatedColumnFormula>
    </tableColumn>
    <tableColumn id="9" xr3:uid="{AAAAF956-7C36-4185-92F7-6BBF3AA466B6}" name="Giá trị cuối kỳ" dataDxfId="681" dataCellStyle="Comma">
      <calculatedColumnFormula array="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calculatedColumnFormula>
    </tableColumn>
    <tableColumn id="20" xr3:uid="{E6F8D140-9EB4-448E-AB0E-8F01BC1949DB}" name="VAT hàng xuất" dataDxfId="680" dataCellStyle="Comma">
      <calculatedColumnFormula array="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22" xr3:uid="{F1B5FCB8-85D8-4645-9684-5891EA52EC5F}" name="VAT khấu trừ" dataDxfId="679"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calculatedColumnFormula>
    </tableColumn>
    <tableColumn id="18" xr3:uid="{0C133A06-79F7-4E85-B78C-A38176E76C82}" name="Dự phòng lũy kế" dataDxfId="678" dataCellStyle="Comma"/>
    <tableColumn id="17" xr3:uid="{CEDA79FF-A7D1-45F5-B4A8-1E5FC6FAA3B4}" name="Add" dataDxfId="677"/>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4:AD5" totalsRowShown="0" headerRowDxfId="674" dataDxfId="673">
  <autoFilter ref="B4:AD5" xr:uid="{294AD96D-0920-41EA-B450-443D36503C0F}"/>
  <tableColumns count="29">
    <tableColumn id="1" xr3:uid="{E9F33EAA-342C-4943-A26C-AE8DFC8ABFAC}" name="STT" dataDxfId="672">
      <calculatedColumnFormula array="1" xml:space="preserve">
IFERROR(
COUNTA(_xlfn._xlws.FILTER(Table_ChiPhiNV[Nhân viên],
(Table_ChiPhiNV[Năm] = E5) *
(Table_ChiPhiNV[Tháng] = F5)*
(Table_ChiPhiNV[Nhân viên] = I5)
)),0)+1</calculatedColumnFormula>
    </tableColumn>
    <tableColumn id="2" xr3:uid="{3D9D9932-4B75-46AE-BB8A-27D9A32A02A1}" name="Mã chi phí" dataDxfId="671">
      <calculatedColumnFormula>CONCATENATE(
"CP-",I5,"-",
MOD(E5,100)*100+F5,
"-",B5)</calculatedColumnFormula>
    </tableColumn>
    <tableColumn id="4" xr3:uid="{E21D6851-EFFE-4BD5-A67A-650AEF0F3499}" name="Kỳ" dataDxfId="670">
      <calculatedColumnFormula>IFERROR(
IF(ISBLANK(F5),
DATE(E5,12,1),
DATE(E5,F5,1)),0)</calculatedColumnFormula>
    </tableColumn>
    <tableColumn id="3" xr3:uid="{B7B57384-659E-4D19-BF64-F183B8616345}" name="Năm" dataDxfId="669"/>
    <tableColumn id="10" xr3:uid="{EBBF7EAF-37D3-4CAE-8B21-0F2C1D936CAA}" name="Tháng" dataDxfId="668"/>
    <tableColumn id="25" xr3:uid="{682E1FD0-1227-42AD-B9E8-CE41169B9C33}" name="Phân bổ từ" dataDxfId="667"/>
    <tableColumn id="26" xr3:uid="{FA2C2B50-0419-4CF2-83BB-ECF7732F0BEA}" name="Phân bổ đến" dataDxfId="666"/>
    <tableColumn id="6" xr3:uid="{883A56C4-ABE3-4EA9-B271-FCF4C1EB2798}" name="Nhân viên" dataDxfId="665"/>
    <tableColumn id="30" xr3:uid="{0CA733D2-44FB-44A3-8F2C-8530D5AA32ED}" name="Chức năng" dataDxfId="664">
      <calculatedColumnFormula xml:space="preserve">
IFERROR(
VLOOKUP(I5,Table_NhanVien[],COUNTA(Table_NhanVien[[#Headers],[Mã NV]:[Chức năng]]),0),0)</calculatedColumnFormula>
    </tableColumn>
    <tableColumn id="29" xr3:uid="{7A67EBDD-67E8-4B0C-BE6D-713068461E5A}" name="Phụ thuộc" dataDxfId="663" dataCellStyle="Comma">
      <calculatedColumnFormula xml:space="preserve">
IFERROR(
VLOOKUP(I5,Table_NhanVien[],COUNTA(Table_NhanVien[[#Headers],[Mã NV]:[Người phụ thuộc]]),0),0)</calculatedColumnFormula>
    </tableColumn>
    <tableColumn id="5" xr3:uid="{66C17047-5F6E-4666-AEBB-B34FD6C909B8}" name="Lương hợp đồng" dataDxfId="662" dataCellStyle="Comma">
      <calculatedColumnFormula xml:space="preserve">
IFERROR(
VLOOKUP(I5,Table_NhanVien[],COUNTA(Table_NhanVien[[#Headers],[Mã NV]:[Lương gross]]),0),0)</calculatedColumnFormula>
    </tableColumn>
    <tableColumn id="23" xr3:uid="{5F4EFB16-5BDF-4E82-B0A3-7BDF86E9029B}" name="Ngày nghỉ phép" dataDxfId="661" dataCellStyle="Comma"/>
    <tableColumn id="17" xr3:uid="{5C955F70-195E-4C91-8FFB-AF0A099E25DB}" name="Lương thực tế" dataDxfId="660" dataCellStyle="Comma">
      <calculatedColumnFormula>ChamCong_LuongTT</calculatedColumnFormula>
    </tableColumn>
    <tableColumn id="11" xr3:uid="{0662C0F6-4BCA-4F1B-BD32-D9826F17C148}" name="Hoa hồng" dataDxfId="659" dataCellStyle="Comma">
      <calculatedColumnFormula array="1">IFERROR(SUM(
_xlfn._xlws.FILTER(Table_Main[Hoa hồng],
(Table_Main[NV Bán hàng] =I5)*
(Table_Main[Ngày lên đơn] &gt;= D5)*
(Table_Main[Ngày lên đơn] &lt; DATE(E5,F5+1, 1))
)),0)</calculatedColumnFormula>
    </tableColumn>
    <tableColumn id="21" xr3:uid="{AB911A08-3ECF-410A-AAAE-F26C3DB7ECA6}" name="Thưởng KPI tháng" dataDxfId="658" dataCellStyle="Comma">
      <calculatedColumnFormula array="1" xml:space="preserve">
IF(NOT(ISBLANK(F5)),
+IFERROR(
SUM(_xlfn._xlws.FILTER(Table_KPI[Thưởng KPI],
(NOT(ISBLANK(Table_KPI[Tháng]))) *
(Table_KPI[Nhân viên] = I5)*
(Table_KPI[Kỳ] &gt;= D5) *
(Table_KPI[Kỳ] &lt; DATE(E5,F5+1, 1))
)),0),0)</calculatedColumnFormula>
    </tableColumn>
    <tableColumn id="22" xr3:uid="{2169593A-95E2-4E65-AA5C-A007A3F81CDB}" name="Thường KPI năm" dataDxfId="657" dataCellStyle="Comma"/>
    <tableColumn id="28" xr3:uid="{05E8E7AE-85A8-4FAE-941E-29BB80B34E7B}" name="Chịu thuế phân bổ khác" dataDxfId="656" dataCellStyle="Comma"/>
    <tableColumn id="18" xr3:uid="{B8C8DBEA-F276-4269-A6D5-5EF91FC55932}" name="Chịu thuế chưa phân bổ khác" dataDxfId="655" dataCellStyle="Comma"/>
    <tableColumn id="20" xr3:uid="{6548F218-B73E-4D30-9F6C-CAF8F7FC6FE4}" name="Trợ cấp miễn thuế" dataDxfId="654" dataCellStyle="Comma"/>
    <tableColumn id="27" xr3:uid="{FE6BE8E4-408E-478B-8686-7CFD9B7616A6}" name="Miễn thuế tăng ca" dataDxfId="653" dataCellStyle="Comma">
      <calculatedColumnFormula>ChamCong_MienThueOT</calculatedColumnFormula>
    </tableColumn>
    <tableColumn id="13" xr3:uid="{74C225D2-0889-440E-9F64-0CA711A9BCAE}" name="Thu nhập chịu thuế" dataDxfId="652" dataCellStyle="Comma">
      <calculatedColumnFormula xml:space="preserve">
IF(ISBLANK(F5),0,
+N5+O5+P5+Q5+R5+S5-Table_ChiPhiNV[[#This Row],[Miễn thuế tăng ca]]-ChiPhiNV_GiamTruBanThan-ChiPhiNV_GiamTruPhuThuoc*K5)</calculatedColumnFormula>
    </tableColumn>
    <tableColumn id="14" xr3:uid="{F490DC5D-E949-4E78-BD3E-8D3A7D1B4F2A}" name="Thuế TNCN" dataDxfId="651" dataCellStyle="Comma">
      <calculatedColumnFormula array="1"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calculatedColumnFormula>
    </tableColumn>
    <tableColumn id="16" xr3:uid="{58C9362E-8BCE-4C96-9B91-18880BB5ABFC}" name="Chi phí bảo hiểm" dataDxfId="650" dataCellStyle="Comma">
      <calculatedColumnFormula>IF(ISBLANK(F5),0,
IF(
L5 &lt;BHXH_LuongMax,
L5 * BHXH_TyLeDN,
BHXH_LuongMax * BHXH_TyLeDN
)
+IF(
L5 &lt; BHYT_LuongMax,
L5 * BHYT_TyLeDN,
BHYT_LuongMax * BHYT_TyLeDN
)
+IF(L5 &lt;BHTN_LuongMax,
L5 * BHTN_TyLeDN,
BHTN_LuongMax * BHTN_TyLeDN
)
)</calculatedColumnFormula>
    </tableColumn>
    <tableColumn id="19" xr3:uid="{EDB56C31-7C6C-4F84-88BF-4DE03FF89940}" name="Bảo hiểm nộp hộ" dataDxfId="649" dataCellStyle="Comma">
      <calculatedColumnFormula>IF(ISBLANK(F5),0,
IF(
L5 &lt; BHXH_LuongMax,
L5 * BHXH_TyLeNV,
BHXH_LuongMax *BHXH_TyLeNV
)
+IF(
L5 &lt; BHYT_LuongMax,
L5 * BHYT_TyLeNV,
BHYT_LuongMax * BHYT_TyLeNV
)
+IF(
L5 &lt; BHTN_LuongMax,
L5 * BHTN_TyLeNV,
BHTN_LuongMax * BHTN_TyLeNV
)
)</calculatedColumnFormula>
    </tableColumn>
    <tableColumn id="15" xr3:uid="{8E6C5EC2-DD9F-465B-8C48-4D9C734C1AE5}" name="Lương net" dataDxfId="648" dataCellStyle="Comma">
      <calculatedColumnFormula xml:space="preserve">
IF(ISBLANK(F5),0,
IF(N5+O5+P5+Q5+R5+S5+T5-W5&lt;0,0,
N5+O5+P5+Q5+R5+S5+T5-W5))</calculatedColumnFormula>
    </tableColumn>
    <tableColumn id="9" xr3:uid="{BBEECC58-D2D0-4267-A2F0-4240BF383B1E}" name="Tổng chi phí" dataDxfId="647" dataCellStyle="Comma">
      <calculatedColumnFormula xml:space="preserve">
IF(ISBLANK(F5),N5,N5+O5+P5+R5+X5+T5)</calculatedColumnFormula>
    </tableColumn>
    <tableColumn id="8" xr3:uid="{87DA2217-E67B-4F03-9454-D224C4C8F075}" name="Chi phí tính thuế" dataDxfId="646" dataCellStyle="Comma">
      <calculatedColumnFormula>AA5</calculatedColumnFormula>
    </tableColumn>
    <tableColumn id="12" xr3:uid="{6E5262A3-A886-40FD-98DA-0BED7B55A34C}" name="Add" dataDxfId="645"/>
    <tableColumn id="7" xr3:uid="{7F39433B-DC39-4976-A414-56C28A84159C}" name="Còn lại" dataDxfId="644">
      <calculatedColumnFormula array="1"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calculatedColumnFormula>
    </tableColumn>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42" dataDxfId="641">
  <autoFilter ref="E4:H9" xr:uid="{550F5245-E1EE-48BB-BA97-D53103E2B2FC}"/>
  <tableColumns count="4">
    <tableColumn id="1" xr3:uid="{62F57CB7-BD30-4CE3-AD5A-9EF6C021EAA8}" name="Giá trị" dataDxfId="640"/>
    <tableColumn id="2" xr3:uid="{801C3C2D-2DDD-4915-AC1A-DCD2A6F5566F}" name="BHXH" dataDxfId="639"/>
    <tableColumn id="3" xr3:uid="{59E7F34B-C57D-4E9B-9404-7B7D4142484B}" name="BHYT" dataDxfId="638"/>
    <tableColumn id="4" xr3:uid="{457FBBE8-3A9F-42FF-BDBA-AF1891425452}" name="BHTN" dataDxfId="637"/>
  </tableColumns>
  <tableStyleInfo name="TableStyleMedium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36" dataDxfId="635">
  <autoFilter ref="B4:C8" xr:uid="{B138438F-4B40-44C6-8281-F50AC510196F}"/>
  <tableColumns count="2">
    <tableColumn id="1" xr3:uid="{292AA1A7-C753-482E-94E9-088666BFB0BF}" name="Vùng" dataDxfId="634"/>
    <tableColumn id="2" xr3:uid="{F3B5F18E-1A2D-431F-9B40-2E7779B7ABA8}" name="Lương tối thiểu" dataDxfId="633" dataCellStyle="Comma"/>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632" dataDxfId="631">
  <autoFilter ref="O4:T11" xr:uid="{078AA6C2-B37A-44C8-9A66-799E81312864}"/>
  <tableColumns count="6">
    <tableColumn id="3" xr3:uid="{F5508474-EC5D-439A-8E93-CDD6AB2B131F}" name="Thuế suất" dataDxfId="630"/>
    <tableColumn id="1" xr3:uid="{CA2D4145-A7E0-4FFF-8284-433A4132CF97}" name="Thu nhập tối thiểu" dataDxfId="629"/>
    <tableColumn id="2" xr3:uid="{A6D996EA-5AE9-433A-91F2-46B352BEEA31}" name="Thu nhập tối đa" dataDxfId="628"/>
    <tableColumn id="4" xr3:uid="{3EFB4C5C-8B20-467E-A5AA-DBFF74729D36}" name="Thuế tối đa" dataDxfId="627">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626">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625"/>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624" dataDxfId="623">
  <autoFilter ref="J4:M13" xr:uid="{1B309752-0D63-4923-9376-1BD4C4E71FD9}"/>
  <tableColumns count="4">
    <tableColumn id="1" xr3:uid="{76ABAB96-134A-4B93-A7C2-97BD4320930C}" name="Ngày" dataDxfId="622"/>
    <tableColumn id="2" xr3:uid="{91F3741B-8C80-45EB-8295-286C033070FC}" name="Giờ min" dataDxfId="621"/>
    <tableColumn id="3" xr3:uid="{AEE0EA62-A316-445B-862E-FFF5B2C4B89E}" name="Giờ max" dataDxfId="620"/>
    <tableColumn id="4" xr3:uid="{437B4F63-EC96-4774-89E5-C76DD82E5D5A}" name="Tỷ lệ" dataDxfId="619"/>
  </tableColumns>
  <tableStyleInfo name="TableStyleMedium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AA11" totalsRowShown="0" headerRowDxfId="618" dataDxfId="617">
  <autoFilter ref="V8:AA11" xr:uid="{4D4ED97C-84DF-4E9E-B6CD-EA405CFD15E8}"/>
  <tableColumns count="6">
    <tableColumn id="1" xr3:uid="{06930772-A5E6-4FEA-8CAF-FE3FD3978895}" name="Ca" dataDxfId="616"/>
    <tableColumn id="2" xr3:uid="{753A739A-0E94-45D1-B3C8-EB2EDABEA806}" name="Bắt đầu" dataDxfId="615"/>
    <tableColumn id="3" xr3:uid="{A837C844-A844-4A2E-8FF0-7675770C0856}" name="Kết thúc" dataDxfId="614"/>
    <tableColumn id="4" xr3:uid="{BEB9C2FA-DC05-4867-95F3-10ACCF9B98CC}" name="Bắt đầu nghỉ" dataDxfId="613"/>
    <tableColumn id="5" xr3:uid="{630AB563-C317-4C5E-B4AF-C417FEE7FA7F}" name="Kết thúc nghỉ" dataDxfId="612"/>
    <tableColumn id="6" xr3:uid="{7BBB4EEE-79BC-4D0D-ACCA-6287A8DB0DA4}" name="Add" dataDxfId="611"/>
  </tableColumns>
  <tableStyleInfo name="TableStyleMedium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N9" totalsRowShown="0" headerRowDxfId="610" dataDxfId="609">
  <autoFilter ref="BI8:BN9" xr:uid="{C03752B9-6441-44CC-9F83-B8ADA8647E1D}"/>
  <tableColumns count="6">
    <tableColumn id="1" xr3:uid="{0D3E401B-B875-45CB-BEBE-89FD7B825B13}" name="Loại" dataDxfId="608"/>
    <tableColumn id="2" xr3:uid="{8D0AAFE9-FD63-4F86-9B4D-E77AD4DDF4B8}" name="Mã Nhân viên" dataDxfId="607"/>
    <tableColumn id="3" xr3:uid="{F930BECB-6125-493C-922B-048549C0882C}" name="Thời điểm" dataDxfId="606"/>
    <tableColumn id="4" xr3:uid="{36B04F39-A935-4B83-B2DC-05AE3893B680}" name="Ngày" dataDxfId="605">
      <calculatedColumnFormula>INT(Table_ChiPhiNV_ChamCong[[#This Row],[Thời điểm]])</calculatedColumnFormula>
    </tableColumn>
    <tableColumn id="5" xr3:uid="{3D1FC5E7-A715-479D-BAF5-DEFA48B735AA}" name="Giờ" dataDxfId="604">
      <calculatedColumnFormula>Table_ChiPhiNV_ChamCong[[#This Row],[Thời điểm]]-Table_ChiPhiNV_ChamCong[[#This Row],[Ngày]]</calculatedColumnFormula>
    </tableColumn>
    <tableColumn id="6" xr3:uid="{F6734E0D-32C8-45CD-8BFE-6B18CF211B0F}" name="Add" dataDxfId="603"/>
  </tableColumns>
  <tableStyleInfo name="TableStyleMedium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I4:R5" totalsRowShown="0" headerRowDxfId="601" dataDxfId="600">
  <autoFilter ref="I4:R5" xr:uid="{25B92B70-A65A-4BB4-AFAF-17CD34038C01}"/>
  <tableColumns count="10">
    <tableColumn id="4" xr3:uid="{831F5562-6DF2-4C26-AF42-9E500D5C2BBA}" name="Kỳ" dataDxfId="599">
      <calculatedColumnFormula>IFERROR(
IF(ISBLANK(Table_KPI[[#This Row],[Tháng]]),
DATE(Table_KPI[[#This Row],[Năm]],12,1),
DATE(Table_KPI[[#This Row],[Năm]],Table_KPI[[#This Row],[Tháng]],1)),0)</calculatedColumnFormula>
    </tableColumn>
    <tableColumn id="3" xr3:uid="{2808BE42-D5DC-4AC5-9DF6-CB1FFC344678}" name="Năm" dataDxfId="598"/>
    <tableColumn id="9" xr3:uid="{6FBBBEE4-1479-4737-A4B7-428567D70F40}" name="Tháng" dataDxfId="597"/>
    <tableColumn id="1" xr3:uid="{BC1162C5-DCE7-4D84-9630-A787E918F57C}" name="Nhân viên" dataDxfId="596"/>
    <tableColumn id="2" xr3:uid="{5ABB2918-90ED-4247-B51E-231B14F7DE9E}" name="Kênh" dataDxfId="595"/>
    <tableColumn id="5" xr3:uid="{DED0AA08-5E3A-499C-9E4F-A67A626A20AE}" name="Doanh thu KPI" dataDxfId="594" dataCellStyle="Comma"/>
    <tableColumn id="6" xr3:uid="{E4446FF1-0070-4E03-B157-8F9425FA327E}" name="Doanh thu thực tế" dataDxfId="593" dataCellStyle="Comma">
      <calculatedColumnFormula array="1">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calculatedColumnFormula>
    </tableColumn>
    <tableColumn id="7" xr3:uid="{9D97A11E-383B-4963-941A-F78165ACA0CB}" name="Tỷ lệ KPI" dataDxfId="592">
      <calculatedColumnFormula>IFERROR(Table_KPI[[#This Row],[Doanh thu thực tế]]/Table_KPI[[#This Row],[Doanh thu KPI]],0)</calculatedColumnFormula>
    </tableColumn>
    <tableColumn id="8" xr3:uid="{7159B510-A5A6-4011-8850-B711CAF79CD1}" name="Thưởng KPI" dataDxfId="591" dataCellStyle="Comma">
      <calculatedColumnFormula array="1"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 id="10" xr3:uid="{1E732D91-40A0-4BCC-A74A-5E998E8F3505}" name="Add" dataDxfId="590"/>
  </tableColumns>
  <tableStyleInfo name="TableStyleMedium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B4:G5" totalsRowShown="0" headerRowDxfId="589" dataDxfId="588">
  <autoFilter ref="B4:G5" xr:uid="{2A700966-B946-4558-BE22-99AF6B5C1F14}"/>
  <tableColumns count="6">
    <tableColumn id="1" xr3:uid="{372298CB-1FC0-44F9-9A44-07D557C3001F}" name="Đối tượng áp dụng" dataDxfId="587"/>
    <tableColumn id="2" xr3:uid="{3EF02C4B-8043-4158-84AE-E39B6E150981}" name="Loại KPI" dataDxfId="586"/>
    <tableColumn id="3" xr3:uid="{5F10DCD2-E481-44D2-91BF-149730CD7F5A}" name="Tỷ lệ KPI min" dataDxfId="585" dataCellStyle="Percent"/>
    <tableColumn id="6" xr3:uid="{5E21FD03-D69C-4215-925E-44A1D4F69061}" name="Tỷ lệ KPI max" dataDxfId="584" dataCellStyle="Percent"/>
    <tableColumn id="4" xr3:uid="{98E3AD66-020E-40A9-A6A3-48CA0E959609}" name="Mức thưởng" dataDxfId="583" dataCellStyle="Comma"/>
    <tableColumn id="5" xr3:uid="{A0E8F173-903B-4296-8701-508E9E5EE235}" name="Add" dataDxfId="582"/>
  </tableColumns>
  <tableStyleInfo name="TableStyleMedium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I20:Q53" totalsRowShown="0" headerRowDxfId="580" dataDxfId="579">
  <autoFilter ref="I20:Q53" xr:uid="{6905FFE6-DD04-489C-AD09-289D17B2B7B7}"/>
  <tableColumns count="9">
    <tableColumn id="1" xr3:uid="{CF77CA6B-7F51-408D-A6D8-2230BBD9B50E}" name="Kỳ" dataDxfId="578">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77"/>
    <tableColumn id="3" xr3:uid="{286D597C-B3D6-4957-9F67-8DE9ED9415FC}" name="Tháng" dataDxfId="576"/>
    <tableColumn id="5" xr3:uid="{10132119-7E6F-4E94-A296-34C544489582}" name="Khấu hao" dataDxfId="575">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574"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573"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572"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 id="7" xr3:uid="{0D773EF6-9454-477D-BB1F-7508C29A78FD}" name="Giá trị tính thuế" dataDxfId="571">
      <calculatedColumnFormula>L21</calculatedColumnFormula>
    </tableColumn>
    <tableColumn id="8" xr3:uid="{39E39F52-CC76-47A9-BFB7-8ACE3E440D52}" name="Add" dataDxfId="570"/>
  </tableColumns>
  <tableStyleInfo name="TableStyleMedium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76B63EA-291E-48DC-AA08-50BF5281E5B9}" name="Table_NopNS" displayName="Table_NopNS" ref="B12:K13" totalsRowShown="0" headerRowDxfId="566" dataDxfId="565">
  <autoFilter ref="B12:K13" xr:uid="{C76B63EA-291E-48DC-AA08-50BF5281E5B9}"/>
  <sortState xmlns:xlrd2="http://schemas.microsoft.com/office/spreadsheetml/2017/richdata2" ref="B13:K13">
    <sortCondition ref="B12:B13"/>
  </sortState>
  <tableColumns count="10">
    <tableColumn id="1" xr3:uid="{CD6E6134-920A-4C8D-9AA1-99D5524D7BBC}" name="Kỳ" dataDxfId="564">
      <calculatedColumnFormula>IFERROR(
DATE(C13,D13,1),0)</calculatedColumnFormula>
    </tableColumn>
    <tableColumn id="3" xr3:uid="{95E30154-133D-4F61-AFB8-DA2570DCB075}" name="Năm" dataDxfId="563"/>
    <tableColumn id="2" xr3:uid="{74B1B8EC-1809-4D5C-80AC-93D30ED042E5}" name="Tháng" dataDxfId="562"/>
    <tableColumn id="12" xr3:uid="{2C39D079-FCEC-4397-85CA-F1F4F3BFEB0B}" name="Ngân sách" dataDxfId="561"/>
    <tableColumn id="14" xr3:uid="{FC515957-0AB2-428C-A6E5-6339BC653791}" name="Giá trị phải nộp" dataDxfId="560" dataCellStyle="Comma">
      <calculatedColumnFormula array="1"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calculatedColumnFormula>
    </tableColumn>
    <tableColumn id="18" xr3:uid="{C64AF375-6844-44BE-860D-04FCFE697700}" name="Giá trị tính thuế" dataDxfId="559" dataCellStyle="Comma">
      <calculatedColumnFormula array="1" xml:space="preserve">
IF(Table_NopNS[[#This Row],[Ngân sách]]= "Thuế TNDN",
IFERROR(
SUM(_xlfn._xlws.FILTER(Table_DonBan[Doanh thu ròng],
(ISBLANK(Table_DonBan[Phân bổ từ]))*
(ISBLANK(Table_DonBan[Phân bổ đến]))*
(YEAR(Table_DonBan[Ngày lập]) = Table_NopNS[[#This Row],[Năm]])*
(MONTH(Table_DonBan[Ngày lập]) = Table_NopNS[[#This Row],[Tháng]])
)),0)
+IFERROR(
SUMPRODUCT(
_xlfn._xlws.FILTER(Table_DonBan[Doanh thu ròng],
(NOT(ISBLANK(Table_DonBan[Phân bổ từ])))*
(NOT(ISBLANK(Table_DonBan[Phân bổ đến])))*
(Table_DonBan[Phân bổ từ] &lt;= DATE(Table_NopNS[[#This Row],[Kỳ]],Table_NopNS[[#This Row],[Kỳ]]+1,1))*
(Table_DonBan[Phân bổ đến] &gt; Table_NopNS[[#This Row],[Kỳ]])
),
1/_xlfn._xlws.FILTER(
ROUND((Table_DonBan[Phân bổ đến]-Table_DonBan[Phân bổ từ])/(365.25/12),0),
(NOT(ISBLANK(Table_DonBan[Phân bổ từ])))*
(NOT(ISBLANK(Table_DonBan[Phân bổ đến])))*
(Table_DonBan[Phân bổ từ] &lt;= DATE(Table_NopNS[[#This Row],[Kỳ]],Table_NopNS[[#This Row],[Kỳ]]+1,1))*
(Table_DonBan[Phân bổ đến] &gt; Table_NopNS[[#This Row],[Kỳ]])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calculatedColumnFormula>
    </tableColumn>
    <tableColumn id="19" xr3:uid="{6E981378-5EB8-4DB3-B477-54B8AD66E778}" name="Giá trị khấu trừ" dataDxfId="558" dataCellStyle="Comma">
      <calculatedColumnFormula array="1">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calculatedColumnFormula>
    </tableColumn>
    <tableColumn id="21" xr3:uid="{8901728D-12C0-46C1-99F9-6BC387EE8D49}" name="Thuế suất TNDN" dataDxfId="557" dataCellStyle="Percent"/>
    <tableColumn id="20" xr3:uid="{6C3B8DCD-C3D5-4964-8C3A-A9FCCC4F0237}" name="Còn lại" dataDxfId="556" dataCellStyle="Comma">
      <calculatedColumnFormula array="1"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calculatedColumnFormula>
    </tableColumn>
    <tableColumn id="7" xr3:uid="{98B344EB-715E-41D6-A585-4A104EAF4063}" name="Add" dataDxfId="555"/>
  </tableColumns>
  <tableStyleInfo name="TableStyleMedium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BBFAFDA-0432-4F25-AB1A-114DABFC5F95}" name="Table_NopNS_NganSach" displayName="Table_NopNS_NganSach" ref="E3:F10" totalsRowShown="0" headerRowDxfId="554" dataDxfId="552" headerRowBorderDxfId="553" tableBorderDxfId="551" totalsRowBorderDxfId="550">
  <autoFilter ref="E3:F10" xr:uid="{3BBFAFDA-0432-4F25-AB1A-114DABFC5F95}"/>
  <tableColumns count="2">
    <tableColumn id="1" xr3:uid="{73ABBD31-51F1-4BCF-81D6-AA74F4BF2253}" name="Loại thuế" dataDxfId="549"/>
    <tableColumn id="2" xr3:uid="{198674E0-3320-4801-A417-78B0B34847D8}" name="Tên Đối tác" dataDxfId="548"/>
  </tableColumns>
  <tableStyleInfo name="TableStyleMedium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J21:AA34" totalsRowShown="0" headerRowDxfId="545" dataDxfId="544">
  <autoFilter ref="J21:AA34" xr:uid="{35766FBF-6C41-4A6D-80F2-CCD99F5DBD5E}"/>
  <tableColumns count="18">
    <tableColumn id="2" xr3:uid="{17A4BF9C-4541-424B-9FBE-87CC97661C47}" name="Kỳ" dataDxfId="543">
      <calculatedColumnFormula>IFERROR(
IF(ISBLANK(L22),
DATE(K22,12,1),
DATE(K22,L22,1)),0)</calculatedColumnFormula>
    </tableColumn>
    <tableColumn id="1" xr3:uid="{4FF45AAE-99CE-4510-B5FD-1ECE78FEA668}" name="Năm" dataDxfId="542"/>
    <tableColumn id="4" xr3:uid="{26A6D510-F423-4836-8842-BCDCAEEE6893}" name="Tháng" dataDxfId="541"/>
    <tableColumn id="3" xr3:uid="{D3A150E2-FCBA-4979-AE2B-2367E3717F18}" name="Khoản vay" dataDxfId="540"/>
    <tableColumn id="18" xr3:uid="{94BE6EC4-3CA8-4A2C-8B70-45E17B7622DE}" name="Tần suất" dataDxfId="539">
      <calculatedColumnFormula xml:space="preserve">
IFERROR(
VLOOKUP(
Table_VayNo_LichTra[[#This Row],[Khoản vay]],
Table_VayNo[],
COUNTA(Table_VayNo[[#Headers],[Mã khoản vay]:[Tần suất trả nợ]]),
0),
0)</calculatedColumnFormula>
    </tableColumn>
    <tableColumn id="11" xr3:uid="{6FA375AB-7A2B-49FC-B595-BFA9656988D2}" name="Ngày vay" dataDxfId="538">
      <calculatedColumnFormula xml:space="preserve">
IFERROR(
VLOOKUP(
Table_VayNo_LichTra[[#This Row],[Khoản vay]],
Table_VayNo[],
COUNTA(Table_VayNo[[#Headers],[Mã khoản vay]:[Ngày vay]]),
0),
0)</calculatedColumnFormula>
    </tableColumn>
    <tableColumn id="17" xr3:uid="{3E26B1F4-2C90-40AC-B37A-F9E0BDCBD5A7}" name="Ngày bắt đầu" dataDxfId="537">
      <calculatedColumnFormula xml:space="preserve">
IFERROR(
VLOOKUP(
Table_VayNo_LichTra[[#This Row],[Khoản vay]],
Table_VayNo[],
COUNTA(Table_VayNo[[#Headers],[Mã khoản vay]:[Bắt đầu trả gốc]]),
0),
0)</calculatedColumnFormula>
    </tableColumn>
    <tableColumn id="12" xr3:uid="{97AC5F82-E53E-4B86-BC63-72B9184FFDBE}" name="Ngày kết thúc" dataDxfId="536">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535"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534"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533"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532"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14" xr3:uid="{949175E8-7C1D-4CCE-BAB5-DB6AC72C7EE6}" name="Phân bổ lãi tháng" dataDxfId="531" dataCellStyle="Comma">
      <calculatedColumnFormula>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calculatedColumnFormula>
    </tableColumn>
    <tableColumn id="5" xr3:uid="{70DEDC54-78CF-4C6D-8D8E-55C3D3263F6D}" name="Tổng phải trả" dataDxfId="530" dataCellStyle="Comma">
      <calculatedColumnFormula>Table_VayNo_LichTra[[#This Row],[Lãi vay]]+Table_VayNo_LichTra[[#This Row],[Trả gốc trong kỳ]]</calculatedColumnFormula>
    </tableColumn>
    <tableColumn id="13" xr3:uid="{11492E98-D9E5-4318-A11A-0C84DD7E8ABF}" name="Chi phí tính thuế" dataDxfId="529" dataCellStyle="Comma">
      <calculatedColumnFormula>Table_VayNo_LichTra[[#This Row],[Phân bổ lãi tháng]]</calculatedColumnFormula>
    </tableColumn>
    <tableColumn id="15" xr3:uid="{A05B5372-9400-46BA-AAE0-076C26EBAFF5}" name="Ngày phải trả" dataDxfId="528"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calculatedColumnFormula>
    </tableColumn>
    <tableColumn id="9" xr3:uid="{86613D8D-DBC2-4722-8640-AC9144B17375}" name="Còn lại" dataDxfId="527" dataCellStyle="Comma">
      <calculatedColumnFormula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calculatedColumnFormula>
    </tableColumn>
    <tableColumn id="10" xr3:uid="{9CCD0616-9918-4211-B3FE-819A2C3B0AD1}" name="Add" dataDxfId="526"/>
  </tableColumns>
  <tableStyleInfo name="TableStyleMedium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B4C3F0F-29ED-4A15-ABC6-87376D62CBA0}" name="Table_DauTu_LichThu" displayName="Table_DauTu_LichThu" ref="B3:K4" totalsRowShown="0" headerRowDxfId="524" dataDxfId="523">
  <autoFilter ref="B3:K4" xr:uid="{35766FBF-6C41-4A6D-80F2-CCD99F5DBD5E}"/>
  <tableColumns count="10">
    <tableColumn id="2" xr3:uid="{70E94E7A-B01C-448C-A615-62344294FB2D}" name="Kỳ" dataDxfId="522">
      <calculatedColumnFormula>IFERROR(
IF(ISBLANK(D4),
DATE(C4,12,1),
DATE(C4,D4,1)),0)</calculatedColumnFormula>
    </tableColumn>
    <tableColumn id="1" xr3:uid="{39F651A3-9FD0-406A-96D9-9086E6DDE484}" name="Năm" dataDxfId="521"/>
    <tableColumn id="3" xr3:uid="{99F8DDB3-C203-4609-B4DC-DE56F45F1D2F}" name="Tháng" dataDxfId="520"/>
    <tableColumn id="6" xr3:uid="{FCBFACE5-6421-49AF-A9B4-E954F44052F5}" name="Tài sản đầu tư" dataDxfId="519"/>
    <tableColumn id="7" xr3:uid="{657CEDEC-B0BB-424F-B241-083CF95D7F51}" name="Nhận gốc" dataDxfId="518" dataCellStyle="Comma">
      <calculatedColumnFormula array="1">IFERROR(
SUM(_xlfn._xlws.FILTER(Table_DauTu[Giá trị đầu tư],
(Table_DauTu[Mã khoản đầu tư]=Table_DauTu_LichThu[[#This Row],[Tài sản đầu tư]])*
(Table_DauTu[Kỳ đáo hạn]=Table_DauTu_LichThu[[#This Row],[Kỳ]])
)),0)</calculatedColumnFormula>
    </tableColumn>
    <tableColumn id="8" xr3:uid="{0F4953F6-2BA3-4A64-87A6-1F924448235C}" name="Nhận lãi" dataDxfId="517" dataCellStyle="Comma">
      <calculatedColumnFormula array="1">IFERROR(
SUM(_xlfn._xlws.FILTER(Table_DauTu[Lãi hàng tháng],
(Table_DauTu[Mã khoản đầu tư]=Table_DauTu_LichThu[[#This Row],[Tài sản đầu tư]])*
(Table_DauTu[Kỳ đầu tư] &lt; Table_DauTu_LichThu[[#This Row],[Kỳ]]) *
(Table_DauTu[Kỳ đáo hạn] &gt;= Table_DauTu_LichThu[[#This Row],[Kỳ]])
)),0)</calculatedColumnFormula>
    </tableColumn>
    <tableColumn id="5" xr3:uid="{782CA152-3021-452D-A00A-B3151BD3F168}" name="Tổng phải thu" dataDxfId="516" dataCellStyle="Comma">
      <calculatedColumnFormula>+Table_DauTu_LichThu[[#This Row],[Nhận lãi]]+Table_DauTu_LichThu[[#This Row],[Nhận gốc]]</calculatedColumnFormula>
    </tableColumn>
    <tableColumn id="9" xr3:uid="{372DC5B0-C810-4F4A-83AA-30839D495F1E}" name="Thu nhập tính thuế" dataDxfId="515" dataCellStyle="Comma">
      <calculatedColumnFormula>+Table_DauTu_LichThu[[#This Row],[Nhận lãi]]</calculatedColumnFormula>
    </tableColumn>
    <tableColumn id="4" xr3:uid="{9FB0F2B4-B742-40FD-9EAA-E9A9009CBB3F}" name="Add" dataDxfId="514"/>
    <tableColumn id="10" xr3:uid="{9F1C8EFB-12FE-496F-A867-198262ECD2FA}" name="Còn lại" dataDxfId="513">
      <calculatedColumnFormula array="1">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calculatedColumnFormula>
    </tableColumn>
  </tableColumns>
  <tableStyleInfo name="TableStyleMedium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4:AV81" totalsRowShown="0" headerRowDxfId="507" dataDxfId="506">
  <autoFilter ref="B4:AV81" xr:uid="{7EE1FBC0-CA11-44D8-84E1-E68C320835D5}"/>
  <sortState xmlns:xlrd2="http://schemas.microsoft.com/office/spreadsheetml/2017/richdata2" ref="B5:AV81">
    <sortCondition descending="1" ref="K4:K81"/>
  </sortState>
  <tableColumns count="47">
    <tableColumn id="19" xr3:uid="{24D5294F-794C-47D4-B19B-4784BEEF58CD}" name="Mã SKU" dataDxfId="505"/>
    <tableColumn id="1" xr3:uid="{18961AB9-4F59-4CDA-9625-CBEB24FFC7F7}" name="Mã Nguyên liệu" dataDxfId="504"/>
    <tableColumn id="3" xr3:uid="{053A4FB5-02D1-4874-AA7F-F73A691AE0B6}" name="Đối tượng" dataDxfId="503" dataCellStyle="Comma">
      <calculatedColumnFormula>IF(ISBLANK(Table_Main[[#This Row],[Mã SKU]]),Table_Main[[#This Row],[Mã Nguyên liệu]],Table_Main[[#This Row],[Mã SKU]])</calculatedColumnFormula>
    </tableColumn>
    <tableColumn id="22" xr3:uid="{28EC1C91-1B42-49B4-B9A1-38D6FCBF4C1A}" name="Tồn kho đầu ngày" dataDxfId="502"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3" xr3:uid="{D00CB506-527B-4A36-938D-50A3946E0B9A}" name="Tồn kho cuối ngày" dataDxfId="501"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4" xr3:uid="{F2E55237-6A71-497D-A46E-1CC4617425ED}" name="Giá trị tồn đầu ngày" dataDxfId="500"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5" xr3:uid="{EB8B09FF-044D-4A37-AB94-78A2696A9D48}" name="Giá trị tồn cuối ngày" dataDxfId="499"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7" xr3:uid="{C9F6F960-6795-40B3-A6E0-025C3B76A184}" name="Giá trị bình quân đầu ngày" dataDxfId="498" dataCellStyle="Comma">
      <calculatedColumnFormula>IFERROR(Table_Main[[#This Row],[Giá trị tồn đầu ngày]]/Table_Main[[#This Row],[Tồn kho đầu ngày]],0)</calculatedColumnFormula>
    </tableColumn>
    <tableColumn id="28" xr3:uid="{1D7F2A09-B40C-47EF-BBF4-3D173B4856DD}" name="Giá trị bình quân cuối ngày" dataDxfId="497" dataCellStyle="Comma">
      <calculatedColumnFormula>IFERROR(Table_Main[[#This Row],[Giá trị tồn cuối ngày]]/Table_Main[[#This Row],[Tồn kho cuối ngày]],0)</calculatedColumnFormula>
    </tableColumn>
    <tableColumn id="38" xr3:uid="{9BB57A10-EF8B-4168-9D57-6AB152E3EAE6}" name="Ngày xuất nhập" dataDxfId="496"/>
    <tableColumn id="2" xr3:uid="{10DA1A7A-0C4B-4307-86AF-52B679F6F5C3}" name="Ngày lên đơn" dataDxfId="495">
      <calculatedColumnFormula xml:space="preserve">
IFERROR(
IFERROR(
VLOOKUP(Table_Main[[#This Row],[Đơn Mua]],Table_DonMua[[Mã Đơn mua]:[Add]],COUNTA(Table_DonMua[[#Headers],[Mã Đơn mua]:[Ngày lập]]),0),
VLOOKUP(Table_Main[[#This Row],[Đơn bán]],Table_DonBan[[Mã Đơn bán]:[Add]], COUNTA(Table_DonBan[[#Headers],[Mã Đơn bán]:[Ngày lập]]),0)),0)</calculatedColumnFormula>
    </tableColumn>
    <tableColumn id="35" xr3:uid="{F856226F-3062-425F-9FB3-172CC796AE58}" name="Tháng lên đơn" dataDxfId="494">
      <calculatedColumnFormula>IFERROR(MONTH(Table_Main[[#This Row],[Ngày lên đơn]]),0)</calculatedColumnFormula>
    </tableColumn>
    <tableColumn id="10" xr3:uid="{B7676641-15AA-4C16-947A-6248C8B67BD4}" name="Ngày ship mua" dataDxfId="493">
      <calculatedColumnFormula>IF(Table_Main[[#This Row],[Ngày lên đơn]]=0,"",Table_Main[[#This Row],[Ngày xuất nhập]]-Table_Main[[#This Row],[Ngày lên đơn]])</calculatedColumnFormula>
    </tableColumn>
    <tableColumn id="6" xr3:uid="{38735BED-DFF8-4F08-BB6C-BDA9A4923D2C}" name="Loại" dataDxfId="492"/>
    <tableColumn id="11" xr3:uid="{EB6998ED-BA0B-44B1-845A-BF43DC68BE22}" name="Kho" dataDxfId="491"/>
    <tableColumn id="5" xr3:uid="{EAB2F578-A8BB-4FAB-A929-B66E906EBF6E}" name="Số lượng" dataDxfId="490" dataCellStyle="Comma"/>
    <tableColumn id="21" xr3:uid="{7F71F8EC-8777-467E-9161-9B28AC8A46D4}" name="Đơn Mua" dataDxfId="489"/>
    <tableColumn id="9" xr3:uid="{E8C99E10-20DB-401A-8813-3D36BB052B76}" name="Nhà cung cấp" dataDxfId="488">
      <calculatedColumnFormula>IFERROR(VLOOKUP(Table_Main[[#This Row],[Đơn Mua]],Table_DonMua[[Mã Đơn mua]:[Add]],COUNTA(Table_DonMua[[#Headers],[Mã Đơn mua]:[Mã Đối tác]]),0),0)</calculatedColumnFormula>
    </tableColumn>
    <tableColumn id="29" xr3:uid="{80A773D5-6191-467C-8839-401F9EB003EF}" name="Giá nhập" dataDxfId="487" dataCellStyle="Comma"/>
    <tableColumn id="20" xr3:uid="{09E96BB3-B616-4831-B3CE-D5733239938A}" name="Giá trị hàng nhập" dataDxfId="486" dataCellStyle="Comma">
      <calculatedColumnFormula xml:space="preserve">
IF(NOT(ISBLANK(Table_Main[[#This Row],[Đơn Mua]])),Table_Main[[#This Row],[Số lượng]]*Table_Main[[#This Row],[Giá nhập]],Table_Main[[#This Row],[Số lượng]]*Table_Main[[#This Row],[Giá trị bình quân đầu ngày]])</calculatedColumnFormula>
    </tableColumn>
    <tableColumn id="41" xr3:uid="{9AF633E5-DDF7-4CA1-AFF3-ED047E9E2E39}" name="Tỷ suất VAT khấu trừ" dataDxfId="485">
      <calculatedColumnFormula>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calculatedColumnFormula>
    </tableColumn>
    <tableColumn id="26" xr3:uid="{94618551-33D1-4CDC-8D65-774AD8D26986}" name="VAT khấu trừ" dataDxfId="484" dataCellStyle="Comma">
      <calculatedColumnFormula>IF(Table_Main[[#This Row],[Đơn Mua]]="", 0,IFERROR(Table_Main[[#This Row],[Tỷ suất VAT khấu trừ]]*(Table_Main[[#This Row],[Giá trị hàng nhập]]/(1+Table_Main[[#This Row],[Tỷ suất VAT khấu trừ]])),0))</calculatedColumnFormula>
    </tableColumn>
    <tableColumn id="15" xr3:uid="{FFAB80BA-3D9B-4E0F-B218-469DB473D525}" name="Đơn bán" dataDxfId="483"/>
    <tableColumn id="50" xr3:uid="{7B00697E-F170-4DCC-9865-BA4F05A89039}" name="Khách hàng" dataDxfId="482">
      <calculatedColumnFormula>IFERROR(VLOOKUP(Table_Main[[#This Row],[Đơn bán]],Table_DonBan[[Mã Đơn bán]:[Add]],COUNTA(Table_DonBan[[#Headers],[Mã Đơn bán]:[Mã Khách]]),0),0)</calculatedColumnFormula>
    </tableColumn>
    <tableColumn id="4" xr3:uid="{11B0C473-5911-4971-926A-B6CE6070C5F5}" name="Giá bán niêm yết" dataDxfId="481" dataCellStyle="Comma">
      <calculatedColumnFormula>IF(ISBLANK(Table_Main[[#This Row],[Đơn bán]]),0,
VLOOKUP(Table_Main[[#This Row],[Mã SKU]],Table_SKU[[Mã SKU]:[Giá bán]],COUNTA(Table_SKU[[#Headers],[Mã SKU]:[Giá bán]]),0))</calculatedColumnFormula>
    </tableColumn>
    <tableColumn id="32" xr3:uid="{A51814CD-EB9E-4E26-A126-425A663147EE}" name="Thành tiền niêm yết" dataDxfId="480" dataCellStyle="Comma">
      <calculatedColumnFormula>IF(ISBLANK(Table_Main[[#This Row],[Đơn bán]]),0,
IF(Table_Main[[#This Row],[Loại]] = "Xuất",Table_Main[[#This Row],[Giá bán niêm yết]]*Table_Main[[#This Row],[Số lượng]],-Table_Main[[#This Row],[Giá bán niêm yết]]*Table_Main[[#This Row],[Số lượng]]))</calculatedColumnFormula>
    </tableColumn>
    <tableColumn id="16" xr3:uid="{4463A2F6-03AA-4925-A3FD-419A1B30C27F}" name="Chương trình" dataDxfId="479"/>
    <tableColumn id="17" xr3:uid="{9A8AEB02-9AFD-4EF8-9D1D-F40A983CEADC}" name="Tỷ lệ CK" dataDxfId="478">
      <calculatedColumnFormula>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calculatedColumnFormula>
    </tableColumn>
    <tableColumn id="39" xr3:uid="{772E6260-51FD-4774-8389-F0834D3A7459}" name="Giá trị CK" dataDxfId="477" dataCellStyle="Comma">
      <calculatedColumnFormula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calculatedColumnFormula>
    </tableColumn>
    <tableColumn id="43" xr3:uid="{03C49133-C06E-4684-AB98-A93FFB2C0631}" name="Giá trị bán trước VAT" dataDxfId="476" dataCellStyle="Comma">
      <calculatedColumnFormula>IF(ISBLANK(Table_Main[[#This Row],[Đơn bán]]),0,
IF(Table_Main[[#This Row],[Loại]] = "Xuất",Table_Main[[#This Row],[Giá bán niêm yết]]*Table_Main[[#This Row],[Số lượng]]-Table_Main[[#This Row],[Giá trị CK]],-Table_Main[[#This Row],[Giá bán niêm yết]]*Table_Main[[#This Row],[Số lượng]]+Table_Main[[#This Row],[Giá trị CK]]))</calculatedColumnFormula>
    </tableColumn>
    <tableColumn id="7" xr3:uid="{319542D0-B88D-410A-B0F9-73AA2A6FBF8B}" name="Tỷ suất VAT" dataDxfId="475" dataCellStyle="Comma">
      <calculatedColumnFormula>IFERROR(
VLOOKUP(Table_Main[[#This Row],[Mã SKU]],Table_SKU[[Mã SKU]:[Tỷ suất VAT]],COUNTA(Table_SKU[[#Headers],[Mã SKU]:[Tỷ suất VAT]]),0),0)</calculatedColumnFormula>
    </tableColumn>
    <tableColumn id="18" xr3:uid="{337136D8-748B-4A8F-9751-905B9FDD86E3}" name="VAT" dataDxfId="474" dataCellStyle="Comma">
      <calculatedColumnFormula xml:space="preserve">
IF(Table_Main[[#This Row],[Đơn bán]]="", 0,Table_Main[[#This Row],[Tỷ suất VAT]]*Table_Main[[#This Row],[Giá trị bán trước VAT]])</calculatedColumnFormula>
    </tableColumn>
    <tableColumn id="45" xr3:uid="{408BECD2-0311-4DC1-99AD-0CA1E44D1094}" name="NV Bán hàng" dataDxfId="473">
      <calculatedColumnFormula>IFERROR(VLOOKUP(Table_Main[[#This Row],[Đơn bán]],Table_DonBan[[Mã Đơn bán]:[Add]],COUNTA(Table_DonBan[[#Headers],[Mã Đơn bán]:[Mã NV]]),0),0)</calculatedColumnFormula>
    </tableColumn>
    <tableColumn id="31" xr3:uid="{ADF1050F-6890-4850-B0E7-F61B55C14631}" name="Tỷ lệ hoa hồng" dataDxfId="472">
      <calculatedColumnFormula>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calculatedColumnFormula>
    </tableColumn>
    <tableColumn id="40" xr3:uid="{2453B3B8-1DDB-4135-87FF-C65BDC9C2C8A}" name="Hoa hồng" dataDxfId="471" dataCellStyle="Comma">
      <calculatedColumnFormula>IFERROR(Table_Main[[#This Row],[Giá trị bán trước VAT]]*Table_Main[[#This Row],[Tỷ lệ hoa hồng]],"")</calculatedColumnFormula>
    </tableColumn>
    <tableColumn id="33" xr3:uid="{734B6FF8-8B1D-4B8F-8584-0A27FBBAE093}" name="Kênh" dataDxfId="470" dataCellStyle="Comma">
      <calculatedColumnFormula>IFERROR(VLOOKUP(Table_Main[[#This Row],[Đơn bán]],Table_DonBan[[Mã Đơn bán]:[Add]],COUNTA(Table_DonBan[[#Headers],[Mã Đơn bán]:[Kênh]]),0),0)</calculatedColumnFormula>
    </tableColumn>
    <tableColumn id="34" xr3:uid="{0FAB8388-F8C2-44D5-9DF6-9F2B2BC31397}" name="Tỷ lệ CK kênh" dataDxfId="469" dataCellStyle="Percent">
      <calculatedColumnFormula>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calculatedColumnFormula>
    </tableColumn>
    <tableColumn id="36" xr3:uid="{71A1D9C7-16A4-452F-9C83-DBD025B80680}" name="CK kênh" dataDxfId="468" dataCellStyle="Comma">
      <calculatedColumnFormula>IFERROR(Table_Main[[#This Row],[Giá trị bán trước VAT]]*Table_Main[[#This Row],[Tỷ lệ CK kênh]],"")</calculatedColumnFormula>
    </tableColumn>
    <tableColumn id="8" xr3:uid="{3A189888-CEF8-494F-B6EE-A0DA166B7135}" name="Vận đơn bán" dataDxfId="467"/>
    <tableColumn id="12" xr3:uid="{215B916C-8D38-4F8A-8D8C-FF98A1A9D845}" name="Add" dataDxfId="466"/>
    <tableColumn id="37" xr3:uid="{6B139724-15D7-4CB1-98CA-006B024CFB89}" name="Tổng hợp ĐK" dataDxfId="465" dataCellStyle="Comma">
      <calculatedColumnFormula>Table_Main[[#This Row],[ĐK - Phân loại]]*Table_Main[[#This Row],[ĐK - Thời gian]]*Table_Main[[#This Row],[ĐK - Giá trị]]*Table_Main[[#This Row],[ĐK - Số lượng]]*Table_Main[[#This Row],[ĐK - Sinh nhật]]*Table_Main[[#This Row],[ĐK - Ngày mua cuối]]</calculatedColumnFormula>
    </tableColumn>
    <tableColumn id="42" xr3:uid="{07588027-DB52-4555-A8DF-2E0E2E27B6F7}" name="ĐK - Phân loại" dataDxfId="464" dataCellStyle="Comma">
      <calculatedColumnFormula xml:space="preserve">
IF(ISBLANK(Table_Main[[#This Row],[Chương trình]]),1,
IF(VLOOKUP(Table_Main[[#This Row],[Chương trình]],Table_ChuongTrinh[[Mã Chương trình]:[Đối tượng CK]],Sheet_ChuongTrinh!$C$1,0) = "Sản phẩm",1,0))</calculatedColumnFormula>
    </tableColumn>
    <tableColumn id="44" xr3:uid="{58C56D5A-C3B1-4237-8CEC-FB42673011D0}" name="ĐK - Thời gian" dataDxfId="463" dataCellStyle="Comma">
      <calculatedColumnFormula>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calculatedColumnFormula>
    </tableColumn>
    <tableColumn id="46" xr3:uid="{3A895688-A80F-4F80-8BC7-C2538289C840}" name="ĐK - Giá trị" dataDxfId="462" dataCellStyle="Comma">
      <calculatedColumnFormula>IF(ISBLANK(Table_Main[[#This Row],[Chương trình]]),
1,
IF(ISBLANK(VLOOKUP(Table_Main[[#This Row],[Chương trình]],Table_ChuongTrinh[],Sheet_ChuongTrinh!$J$1,0)),
1,
IF(Table_Main[[#This Row],[Giá trị bán trước VAT]]&gt;= VLOOKUP(Table_Main[[#This Row],[Chương trình]],Table_ChuongTrinh[],Sheet_ChuongTrinh!$J$1,0),
1,
0)))</calculatedColumnFormula>
    </tableColumn>
    <tableColumn id="47" xr3:uid="{9D04A365-F150-4707-923C-28DD1E3C11EF}" name="ĐK - Số lượng" dataDxfId="461" dataCellStyle="Comma">
      <calculatedColumnFormula>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calculatedColumnFormula>
    </tableColumn>
    <tableColumn id="48" xr3:uid="{8C3D623C-12B6-4486-B7A0-84FF0A22CFAB}" name="ĐK - Sinh nhật" dataDxfId="460" dataCellStyle="Comma">
      <calculatedColumnFormula>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calculatedColumnFormula>
    </tableColumn>
    <tableColumn id="49" xr3:uid="{DAE11BDC-B378-4CA9-97EF-6C0728B8FB36}" name="ĐK - Ngày mua cuối" dataDxfId="459" dataCellStyle="Comma">
      <calculatedColumnFormula>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calculatedColumnFormula>
    </tableColumn>
  </tableColumns>
  <tableStyleInfo name="TableStyleMedium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A2DBA8-E903-4446-8602-897560E05180}" name="Table_FormDonMua_SKU" displayName="Table_FormDonMua_SKU" ref="B17:J28" totalsRowShown="0" headerRowDxfId="454" dataDxfId="453">
  <autoFilter ref="B17:J28" xr:uid="{DBED1CC1-1C45-4818-9CB7-4038B855E9D6}"/>
  <tableColumns count="9">
    <tableColumn id="1" xr3:uid="{2C9952DD-CC28-41B9-B415-AE854E2F0A08}" name="STT" dataDxfId="452">
      <calculatedColumnFormula>IF(Table_FormDonMua_SKU[[#This Row],[Mã hàng]]&lt;&gt;"",COUNTIF($C$18:C28,"&lt;&gt;"""),"")</calculatedColumnFormula>
    </tableColumn>
    <tableColumn id="2" xr3:uid="{D37AF75D-5956-4C86-97BC-D52584A55EFC}" name="Mã hàng" dataDxfId="451"/>
    <tableColumn id="5" xr3:uid="{7B65724E-8B05-48D2-B0E4-F9815819CD7A}" name="Mã nguyên liệu" dataDxfId="450"/>
    <tableColumn id="3" xr3:uid="{C40437C2-C418-46F2-9E3E-92F84A5A713B}" name="Mô tả" dataDxfId="449">
      <calculatedColumnFormula>IFERROR(
IFERROR(
VLOOKUP(Table_FormDonMua_SKU[[#This Row],[Mã nguyên liệu]],Table_NguyenLieu[[Mã Nguyên liệu]:[Tên Nguyên liệu]],Sheet_NguyenLieu!$D$1,0),
VLOOKUP(Table_FormDonMua_SKU[[#This Row],[Mã hàng]],Table_SKU[[Mã SKU]:[Mô tả]],Sheet_SKU!$H$1,0)),
"")</calculatedColumnFormula>
    </tableColumn>
    <tableColumn id="7" xr3:uid="{D02C5DD9-4DD8-4190-92BB-FBDC5E60EA9C}" name="Số lượng" dataDxfId="448" dataCellStyle="Comma"/>
    <tableColumn id="4" xr3:uid="{0E4BAE6A-1764-4E24-BD1E-96756661821D}" name="Giá sau VAT" dataDxfId="447" dataCellStyle="Comma"/>
    <tableColumn id="6" xr3:uid="{A66CD959-22C8-4FB4-B7C5-03F718F22576}" name="Thành tiền" dataDxfId="446" dataCellStyle="Comma">
      <calculatedColumnFormula>IF(ISBLANK(Table_FormDonMua_SKU[[#This Row],[Mã hàng]]),
IF(ISBLANK(Table_FormDonMua_SKU[[#This Row],[Mã nguyên liệu]]),"",
Table_FormDonMua_SKU[[#This Row],[Giá sau VAT]]*Table_FormDonMua_SKU[[#This Row],[Số lượng]]),
Table_FormDonMua_SKU[[#This Row],[Giá sau VAT]]*Table_FormDonMua_SKU[[#This Row],[Số lượng]])</calculatedColumnFormula>
    </tableColumn>
    <tableColumn id="8" xr3:uid="{11AF26C0-BFB9-4186-9E70-871574E1F969}" name="Tỷ suất VAT" dataDxfId="445" dataCellStyle="Percent">
      <calculatedColumnFormula>IFERROR(
IFERROR(
VLOOKUP(Table_FormDonMua_SKU[[#This Row],[Mã hàng]],Table_SKU[[Mã SKU]:[Tỷ suất VAT]],Sheet_SKU!$K$1,0),
VLOOKUP(Table_FormDonMua_SKU[[#This Row],[Mã nguyên liệu]],Table_NguyenLieu[[Mã Nguyên liệu]:[Tỷ suất VAT]],Sheet_NguyenLieu!$G$1,0)),
"")</calculatedColumnFormula>
    </tableColumn>
    <tableColumn id="9" xr3:uid="{F99D472D-1428-49FC-959A-733B2DECAE0E}" name="VAT khấu trừ" dataDxfId="444" dataCellStyle="Comma">
      <calculatedColumnFormula>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B870FEF-3DBE-475F-A1FE-1FC523A25296}" name="Table_DonMua" displayName="Table_DonMua" ref="L45:Y65" totalsRowShown="0" headerRowDxfId="443" dataDxfId="441" headerRowBorderDxfId="442" tableBorderDxfId="440" totalsRowBorderDxfId="439">
  <autoFilter ref="L45:Y65" xr:uid="{0B870FEF-3DBE-475F-A1FE-1FC523A25296}"/>
  <tableColumns count="14">
    <tableColumn id="11" xr3:uid="{638AD539-B0BB-462E-89A8-EDC9D4FB5873}" name="TT" dataDxfId="438"/>
    <tableColumn id="1" xr3:uid="{59B0103D-19F0-4461-8A87-082563C765CF}" name="Mã Đơn mua" dataDxfId="437">
      <calculatedColumnFormula>CONCATENATE("NHAP-",Table_DonMua[[#This Row],[Mã Đối tác]],"-",MOD(YEAR(Table_DonMua[[#This Row],[Ngày lập]]),100)*10000+MONTH(Table_DonMua[[#This Row],[Ngày lập]])*100+DAY(Table_DonMua[[#This Row],[Ngày lập]]),"-",Table_DonMua[[#This Row],[TT]])</calculatedColumnFormula>
    </tableColumn>
    <tableColumn id="2" xr3:uid="{62C5B49D-C605-4F84-A376-7F0685941C09}" name="Ngày lập" dataDxfId="436"/>
    <tableColumn id="3" xr3:uid="{DF34DFD7-60AA-4D3C-90E1-58592244383C}" name="Mã Đối tác" dataDxfId="435">
      <calculatedColumnFormula>CONCATENATE("NCC",RANDBETWEEN(1,3))</calculatedColumnFormula>
    </tableColumn>
    <tableColumn id="12" xr3:uid="{30051F39-7D49-4015-88E4-C41155678CF6}" name="Kho Nhập" dataDxfId="434"/>
    <tableColumn id="4" xr3:uid="{D3D7C82A-8B68-4033-A222-8D32886EC3D8}" name="Tiền hàng" dataDxfId="433" dataCellStyle="Comma">
      <calculatedColumnFormula>IFERROR(
SUM(_xlfn._xlws.FILTER(Table_Main[Giá trị hàng nhập],
(Table_Main[Đơn Mua] = Table_DonMua[[#This Row],[Mã Đơn mua]])
)),0)</calculatedColumnFormula>
    </tableColumn>
    <tableColumn id="10" xr3:uid="{A125D517-A42E-4AD5-B6E8-419DB469C039}" name="VAT hàng" dataDxfId="432" dataCellStyle="Comma">
      <calculatedColumnFormula>IFERROR(
SUM(_xlfn._xlws.FILTER(Table_Main[VAT khấu trừ],
(Table_Main[Đơn Mua] = Table_DonMua[[#This Row],[Mã Đơn mua]])
)),0)</calculatedColumnFormula>
    </tableColumn>
    <tableColumn id="6" xr3:uid="{500A5879-C4E7-41EE-A473-0F20C072C4F6}" name="Phụ phí" dataDxfId="431" dataCellStyle="Comma"/>
    <tableColumn id="8" xr3:uid="{E50DCE10-D55E-44FE-BCD0-3ACCBF858D00}" name="Khuyến mãi" dataDxfId="430" dataCellStyle="Comma"/>
    <tableColumn id="13" xr3:uid="{5BDC3693-4285-4D79-8F8C-5239E26D4E9F}" name="Tổng VAT khấu trừ" dataDxfId="429" dataCellStyle="Comma">
      <calculatedColumnFormula xml:space="preserve">
IFERROR(Table_DonMua[[#This Row],[VAT hàng]]+Table_DonMua[[#This Row],[VAT hàng]]/Table_DonMua[[#This Row],[Tiền hàng]]*(Table_DonMua[[#This Row],[Phụ phí]]-Table_DonMua[[#This Row],[Khuyến mãi]]),0)</calculatedColumnFormula>
    </tableColumn>
    <tableColumn id="14" xr3:uid="{B94715B5-C4E7-4CF8-8597-000EF491E8F2}" name="Chi phí tính thuế" dataDxfId="428" dataCellStyle="Comma">
      <calculatedColumnFormula>Table_DonMua[[#This Row],[Phải trả]]-Table_DonMua[[#This Row],[Tổng VAT khấu trừ]]</calculatedColumnFormula>
    </tableColumn>
    <tableColumn id="7" xr3:uid="{E695AD01-ABAB-4962-AF8F-5078D8B81069}" name="Phải trả" dataDxfId="427" dataCellStyle="Comma">
      <calculatedColumnFormula xml:space="preserve">
IF(Table_DonMua[[#This Row],[Mã Đơn mua]]="TONKHODAU",0,
+Table_DonMua[[#This Row],[Tiền hàng]]+Table_DonMua[[#This Row],[Phụ phí]]-Table_DonMua[[#This Row],[Khuyến mãi]])</calculatedColumnFormula>
    </tableColumn>
    <tableColumn id="9" xr3:uid="{9ABE0FCC-DB41-4B1D-8729-7DE31DF4BDBB}" name="Add" dataDxfId="426"/>
    <tableColumn id="5" xr3:uid="{677875BF-7A28-4E7A-AD2F-414D47E8A43D}" name="Còn lại" dataDxfId="425">
      <calculatedColumnFormula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calculatedColumnFormula>
    </tableColumn>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FFF3AF-1BD6-4E7A-A786-349A6DD59AF8}" name="Table_FormDonBan" displayName="Table_FormDonBan" ref="B16:R28" totalsRowShown="0" headerRowDxfId="415" dataDxfId="414">
  <autoFilter ref="B16:R28" xr:uid="{0E4A18C3-08C8-4F92-A15E-37D3A3D28DD6}"/>
  <tableColumns count="17">
    <tableColumn id="1" xr3:uid="{F6D4F9CD-363C-42CB-B719-A498CAD3DD5F}" name="STT" dataDxfId="413">
      <calculatedColumnFormula>IF(Table_FormDonBan[[#This Row],[SKU]]&lt;&gt;"",COUNTIF(C$17:C17,"&lt;&gt;"""),"")</calculatedColumnFormula>
    </tableColumn>
    <tableColumn id="2" xr3:uid="{47A3EA58-2E28-4A2A-ABC9-FEADAF8B2D21}" name="SKU" dataDxfId="412"/>
    <tableColumn id="3" xr3:uid="{1DD58239-71F7-47D5-92BC-62B23F25A556}" name="Mô tả" dataDxfId="411">
      <calculatedColumnFormula xml:space="preserve">
IFERROR(VLOOKUP(Table_FormDonBan[[#This Row],[SKU]],Table_SKU[[Mã SKU]:[Mô tả]],Sheet_SKU!$H$1,0),"")</calculatedColumnFormula>
    </tableColumn>
    <tableColumn id="7" xr3:uid="{B15309D8-3F8D-4BDA-9B4B-4C9A71025C9D}" name="Số lượng" dataDxfId="410" dataCellStyle="Comma"/>
    <tableColumn id="4" xr3:uid="{89C72E61-4108-4130-89AF-544FAA165211}" name="Giá trước VAT" dataDxfId="409" dataCellStyle="Comma">
      <calculatedColumnFormula>IFERROR(VLOOKUP(Table_FormDonBan[[#This Row],[SKU]],Table_SKU[[Mã SKU]:[Giá bán]],Sheet_SKU!$J$1,0),"")</calculatedColumnFormula>
    </tableColumn>
    <tableColumn id="5" xr3:uid="{DBDB65F6-9AFF-401B-B416-34A8BFED3E76}" name="Chương trình" dataDxfId="408"/>
    <tableColumn id="18" xr3:uid="{704CD4AA-DD20-44B9-B44A-798544982186}" name="Tổng hợp ĐK" dataDxfId="407">
      <calculatedColumnFormula>Table_FormDonBan[[#This Row],[ĐK - Phân loại]]*Table_FormDonBan[[#This Row],[ĐK - Thời gian]]*Table_FormDonBan[[#This Row],[ĐK - Giá trị]]*Table_FormDonBan[[#This Row],[ĐK - Số lượng]]*Table_FormDonBan[[#This Row],[ĐK - Sinh nhật]]*Table_FormDonBan[[#This Row],[ĐK - Ngày mua cuối]]</calculatedColumnFormula>
    </tableColumn>
    <tableColumn id="19" xr3:uid="{0AA34490-12B7-45CA-89CA-0F1EB3024588}" name="ĐK - Phân loại" dataDxfId="406">
      <calculatedColumnFormula xml:space="preserve">
IF(ISBLANK(Table_FormDonBan[[#This Row],[Chương trình]]),1,
IF(VLOOKUP(Table_FormDonBan[[#This Row],[Chương trình]],Table_ChuongTrinh[[Mã Chương trình]:[Đối tượng CK]],Sheet_ChuongTrinh!$C$1,0) = "Sản phẩm",1,0))</calculatedColumnFormula>
    </tableColumn>
    <tableColumn id="20" xr3:uid="{22487B3D-4F35-4567-A25C-1FB3E604B8D1}" name="ĐK - Thời gian" dataDxfId="405">
      <calculatedColumnFormula>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calculatedColumnFormula>
    </tableColumn>
    <tableColumn id="21" xr3:uid="{5D207F01-7F8C-4BF4-B602-1BA113CA0ABA}" name="ĐK - Giá trị" dataDxfId="404">
      <calculatedColumnFormula>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calculatedColumnFormula>
    </tableColumn>
    <tableColumn id="22" xr3:uid="{BD91D9C0-6DF4-4A9E-8E1D-BAE9D98A4414}" name="ĐK - Số lượng" dataDxfId="403">
      <calculatedColumnFormula>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calculatedColumnFormula>
    </tableColumn>
    <tableColumn id="10" xr3:uid="{0CB8F387-B411-4EDE-A13B-E2FF675FEDE0}" name="ĐK - Sinh nhật" dataDxfId="402" dataCellStyle="Comma">
      <calculatedColumnFormula>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calculatedColumnFormula>
    </tableColumn>
    <tableColumn id="11" xr3:uid="{A99ED342-84E6-4EB2-9B25-A1AD3635E145}" name="ĐK - Ngày mua cuối" dataDxfId="401" dataCellStyle="Comma">
      <calculatedColumnFormula array="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calculatedColumnFormula>
    </tableColumn>
    <tableColumn id="8" xr3:uid="{2AEAF491-86C4-43BF-9A47-5309F99FE420}" name="Khuyến mãi" dataDxfId="400" dataCellStyle="Comma">
      <calculatedColumnFormula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calculatedColumnFormula>
    </tableColumn>
    <tableColumn id="17" xr3:uid="{0D4ED9FD-A5CD-473D-9864-7FC4C253BE03}" name="Thành tiền" dataDxfId="399" dataCellStyle="Comma">
      <calculatedColumnFormula>IF(ISBLANK(Table_FormDonBan[[#This Row],[SKU]]),"",
(Table_FormDonBan[[#This Row],[Số lượng]]*Table_FormDonBan[[#This Row],[Giá trước VAT]]-Table_FormDonBan[[#This Row],[Khuyến mãi]]))</calculatedColumnFormula>
    </tableColumn>
    <tableColumn id="6" xr3:uid="{5C121ED4-6C2A-4279-9693-A305A7B3A0BA}" name="Tỷ suất VAT" dataDxfId="398" dataCellStyle="Percent">
      <calculatedColumnFormula>IFERROR(
VLOOKUP(Table_FormDonBan[[#This Row],[SKU]],Table_SKU[[Mã SKU]:[Tỷ suất VAT]],Sheet_SKU!$K$1,0),"")</calculatedColumnFormula>
    </tableColumn>
    <tableColumn id="9" xr3:uid="{9AEFA9BF-3D85-4AA5-B427-A3AF13390970}" name="VAT" dataDxfId="397" dataCellStyle="Comma">
      <calculatedColumnFormula>IF(
ISBLANK(Table_FormDonBan[[#This Row],[SKU]]),"",Table_FormDonBan[[#This Row],[Thành tiền]]*Table_FormDonBan[[#This Row],[Tỷ suất VAT]])</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T47:AY71" totalsRowShown="0" headerRowDxfId="396">
  <autoFilter ref="T47:AY71" xr:uid="{4166925E-1F0B-42C7-A01A-835B42134064}"/>
  <tableColumns count="32">
    <tableColumn id="11" xr3:uid="{16A40DA8-3662-4F98-9040-ECD4BB05C953}" name="TT" dataDxfId="395"/>
    <tableColumn id="1" xr3:uid="{2527FACB-581B-447F-8E83-3B67509B0CD9}" name="Mã Đơn bán" dataDxfId="394">
      <calculatedColumnFormula>CONCATENATE("BAN-",Table_DonBan[[#This Row],[Mã Khách]],"-",MOD(YEAR(Table_DonBan[[#This Row],[Ngày lập]]),100)*10000+MONTH(Table_DonBan[[#This Row],[Ngày lập]])*100+DAY(Table_DonBan[[#This Row],[Ngày lập]]),"-",Table_DonBan[[#This Row],[TT]])</calculatedColumnFormula>
    </tableColumn>
    <tableColumn id="2" xr3:uid="{E5AA3C4E-F90F-4FED-99CD-D14026B1048E}" name="Ngày lập" dataDxfId="393"/>
    <tableColumn id="31" xr3:uid="{1EBD41AE-A80B-4C3C-9A28-489BFFA054EC}" name="Phân bổ từ" dataDxfId="392"/>
    <tableColumn id="32" xr3:uid="{8E301FC7-8713-4D64-BA82-4486C62492F7}" name="Phân bổ đến" dataDxfId="391"/>
    <tableColumn id="3" xr3:uid="{6CC99533-F213-42B8-9FC6-28AA1681FB82}" name="Mã Khách" dataDxfId="390"/>
    <tableColumn id="15" xr3:uid="{1F7A1852-3D39-4901-A0D5-DAD713C5C5F9}" name="Mã NV" dataDxfId="389"/>
    <tableColumn id="16" xr3:uid="{818A9779-FBC2-448F-820D-00D6B112FFD2}" name="Kênh" dataDxfId="388"/>
    <tableColumn id="14" xr3:uid="{5A12C553-7096-4EA2-B631-2E452214EBF1}" name="Tiền hàng" dataDxfId="387" dataCellStyle="Comma">
      <calculatedColumnFormula>IFERROR(SUM(_xlfn._xlws.FILTER(Table_Main[Giá trị bán trước VAT],
(Table_Main[Đơn bán]=Table_DonBan[[#This Row],[Mã Đơn bán]]),
)),0)</calculatedColumnFormula>
    </tableColumn>
    <tableColumn id="20" xr3:uid="{A788A97E-360E-4E42-AB5A-040674F085C3}" name="VAT hàng" dataDxfId="386" dataCellStyle="Comma">
      <calculatedColumnFormula>IFERROR(SUM(_xlfn._xlws.FILTER(Table_Main[VAT],
(Table_Main[Đơn bán]=Table_DonBan[[#This Row],[Mã Đơn bán]]),
)),0)</calculatedColumnFormula>
    </tableColumn>
    <tableColumn id="23" xr3:uid="{D45B265F-A18C-463C-AC41-949E390656FD}" name="Điểm khả dụng" dataDxfId="38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384" dataCellStyle="Comma"/>
    <tableColumn id="12" xr3:uid="{B79F9811-FAAE-4953-9855-495F7E366925}" name="Chương trình" dataDxfId="383"/>
    <tableColumn id="19" xr3:uid="{054694A7-08F5-45EC-BD7C-F7F901758015}" name="Tỷ lệ CK" dataDxfId="382">
      <calculatedColumnFormula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calculatedColumnFormula>
    </tableColumn>
    <tableColumn id="13" xr3:uid="{6ACB5963-7252-4FAB-B066-5F02A7D5A0AC}" name="Giá trị CK" dataDxfId="381" dataCellStyle="Comma">
      <calculatedColumnFormula>(AB48/ABS(AB48))
*IFERROR(
IF(
ISBLANK(
VLOOKUP(
AF48,
Table_ChuongTrinh[],
COUNTA(Table_ChuongTrinh[[#Headers],[Mã Chương trình]:[Tỷ lệ CK]]),
0)
),
VLOOKUP(
AF48,
Table_ChuongTrinh[],
COUNTA(Table_ChuongTrinh[[#Headers],[Mã Chương trình]:[Giá trị CK]]),
0),
VLOOKUP(
AF48,
Table_ChuongTrinh[],
COUNTA(Table_ChuongTrinh[[#Headers],[Mã Chương trình]:[Tỷ lệ CK]]),
0)*ABS(AB48)
),
0)+AE48</calculatedColumnFormula>
    </tableColumn>
    <tableColumn id="4" xr3:uid="{7ED63616-6E51-4141-8D7C-8DFD0707FC7C}" name="Tổng VAT" dataDxfId="380" dataCellStyle="Comma">
      <calculatedColumnFormula>IFERROR(Table_DonBan[[#This Row],[VAT hàng]]-Table_DonBan[[#This Row],[VAT hàng]]*Table_DonBan[[#This Row],[Giá trị CK]]/Table_DonBan[[#This Row],[Tiền hàng]],0)</calculatedColumnFormula>
    </tableColumn>
    <tableColumn id="24" xr3:uid="{4E3C5E00-2D00-4F19-A2BF-C42B840493B9}" name="Doanh thu ròng" dataDxfId="379" dataCellStyle="Comma">
      <calculatedColumnFormula>+Table_DonBan[[#This Row],[Tiền hàng]]-Table_DonBan[[#This Row],[Giá trị CK]]</calculatedColumnFormula>
    </tableColumn>
    <tableColumn id="8" xr3:uid="{DE2AB38C-7AC8-4171-9826-E4D8C517C9C4}" name="Tính thuế" dataDxfId="378" dataCellStyle="Comma">
      <calculatedColumnFormula>Table_DonBan[[#This Row],[Doanh thu ròng]]</calculatedColumnFormula>
    </tableColumn>
    <tableColumn id="7" xr3:uid="{70C7A5C8-F567-42CE-9CD1-192E338B2F99}" name="Phải thu" dataDxfId="377" dataCellStyle="Comma">
      <calculatedColumnFormula>Table_DonBan[[#This Row],[Tiền hàng]]+Table_DonBan[[#This Row],[Tổng VAT]]-Table_DonBan[[#This Row],[Giá trị CK]]</calculatedColumnFormula>
    </tableColumn>
    <tableColumn id="28" xr3:uid="{AE6838DA-AC35-4783-B4DB-89253B85A232}" name="Doanh thu tính điểm" dataDxfId="376" dataCellStyle="Comma">
      <calculatedColumnFormula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29" xr3:uid="{95DF127A-2A41-457B-9989-090B44BF034D}" name="Tỷ lệ tính điểm" dataDxfId="375" dataCellStyle="Percent">
      <calculatedColumnFormula>+IFERROR(
MAX(_xlfn._xlws.FILTER(Table_KHThanThiet_ChinhSach[Tỷ lệ điểm thưởng],
(Table_KHThanThiet_ChinhSach[Doanh thu tối thiểu]&lt;=Table_DonBan[[#This Row],[Doanh thu tính điểm]])
)),0)</calculatedColumnFormula>
    </tableColumn>
    <tableColumn id="30" xr3:uid="{9415B289-22A0-4E06-8194-75848A2A6E66}" name="Điểm tích lũy" dataDxfId="374" dataCellStyle="Comma">
      <calculatedColumnFormula xml:space="preserve">
Table_DonBan[[#This Row],[Tỷ lệ tính điểm]]*Table_DonBan[[#This Row],[Doanh thu ròng]]</calculatedColumnFormula>
    </tableColumn>
    <tableColumn id="6" xr3:uid="{B20068D5-36E3-4955-B116-79E972814859}" name="STT đơn của khách" dataDxfId="373">
      <calculatedColumnFormula>COUNTA(_xlfn._xlws.FILTER(Table_DonBan[Mã Khách],
(Table_DonBan[Mã Khách]=Table_DonBan[[#This Row],[Mã Khách]])*
(Table_DonBan[Ngày lập]&lt;=Table_DonBan[[#This Row],[Ngày lập]])
))</calculatedColumnFormula>
    </tableColumn>
    <tableColumn id="18" xr3:uid="{7F3AE293-D418-4EFC-B13F-F86FA0C3C601}" name="Add" dataDxfId="372"/>
    <tableColumn id="9" xr3:uid="{AE3D96E6-2D5E-42ED-82BB-5E04A954236F}" name="Tổng hợp ĐK" dataDxfId="371">
      <calculatedColumnFormula>Table_DonBan[[#This Row],[ĐK - Phân loại]]*Table_DonBan[[#This Row],[ĐK - Thời gian]]*Table_DonBan[[#This Row],[ĐK - Giá trị]]*Table_DonBan[[#This Row],[ĐK - Số lượng]]*Table_DonBan[[#This Row],[ĐK - Sinh nhật]]*Table_DonBan[[#This Row],[ĐK - Ngày mua cuối]]</calculatedColumnFormula>
    </tableColumn>
    <tableColumn id="10" xr3:uid="{47158402-E2EE-43A3-8E72-2D25A55D76D7}" name="ĐK - Phân loại" dataDxfId="370">
      <calculatedColumnFormula xml:space="preserve">
IF(ISBLANK(Table_DonBan[[#This Row],[Chương trình]]),1,
IF(VLOOKUP(Table_DonBan[[#This Row],[Chương trình]],Table_ChuongTrinh[[Mã Chương trình]:[Đối tượng CK]],Sheet_ChuongTrinh!$C$1,0) = "Đơn hàng",1,0))</calculatedColumnFormula>
    </tableColumn>
    <tableColumn id="17" xr3:uid="{91CEC24B-4D06-4B59-92C7-DC796FAEBE9B}" name="ĐK - Thời gian" dataDxfId="369">
      <calculatedColumnFormula>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calculatedColumnFormula>
    </tableColumn>
    <tableColumn id="21" xr3:uid="{CDE0A96A-6DC4-4C0B-8085-D810D8BD6B09}" name="ĐK - Giá trị" dataDxfId="368">
      <calculatedColumnFormula>IF(ISBLANK(Table_DonBan[[#This Row],[Chương trình]]),
1,
IF(ISBLANK(VLOOKUP(Table_DonBan[[#This Row],[Chương trình]],Table_ChuongTrinh[],Sheet_ChuongTrinh!$J$1,0)),
1,
IF(Table_DonBan[[#This Row],[Tiền hàng]]&gt;= VLOOKUP(Table_DonBan[[#This Row],[Chương trình]],Table_ChuongTrinh[],Sheet_ChuongTrinh!$J$1,0),
1,
0)))</calculatedColumnFormula>
    </tableColumn>
    <tableColumn id="22" xr3:uid="{72AE805F-03C0-43DD-88BA-2DF7A78917BD}" name="ĐK - Số lượng" dataDxfId="367">
      <calculatedColumnFormula>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calculatedColumnFormula>
    </tableColumn>
    <tableColumn id="26" xr3:uid="{F153AA2A-79FC-4F66-8AAF-A4AF3B9484FE}" name="ĐK - Sinh nhật" dataDxfId="366">
      <calculatedColumnFormula>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calculatedColumnFormula>
    </tableColumn>
    <tableColumn id="27" xr3:uid="{FE61275D-FCFE-4E16-9D18-EC2465BE210A}" name="ĐK - Ngày mua cuối" dataDxfId="365">
      <calculatedColumnFormula>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calculatedColumnFormula>
    </tableColumn>
    <tableColumn id="5" xr3:uid="{42E487F3-6C93-4884-A544-1394391B285A}" name="Còn lại" dataDxfId="364">
      <calculatedColumnFormula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calculatedColumnFormula>
    </tableColumn>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E1FBC0-CA11-44D8-84E1-E68C320835D5}" name="Table_VanDon" displayName="Table_VanDon" ref="M45:AA46" totalsRowShown="0" headerRowDxfId="359">
  <autoFilter ref="M45:AA46" xr:uid="{7EE1FBC0-CA11-44D8-84E1-E68C320835D5}"/>
  <tableColumns count="15">
    <tableColumn id="13" xr3:uid="{D020F9F1-56E1-4EFD-ACAE-A034A2EF6F29}" name="STT" dataDxfId="358"/>
    <tableColumn id="1" xr3:uid="{47D87E04-812B-4F27-A7ED-D51F3CFF31D2}" name="Mã Vận đơn" dataDxfId="357">
      <calculatedColumnFormula>CONCATENATE("GIAO-",Table_VanDon[[#This Row],[Khách hàng]],"-",MOD(YEAR(Table_VanDon[[#This Row],[Ngày lập]]),100)*10000+MONTH(Table_VanDon[[#This Row],[Ngày lập]])*100+DAY(Table_VanDon[[#This Row],[Ngày lập]]),"-",Table_VanDon[[#This Row],[STT]])</calculatedColumnFormula>
    </tableColumn>
    <tableColumn id="2" xr3:uid="{197994DE-D54D-4437-8685-4EEB708B977E}" name="Ngày lập" dataDxfId="356"/>
    <tableColumn id="3" xr3:uid="{5FDEBD9C-B8FD-493A-8A69-D4907DEC93EF}" name="Ngày hoàn tất" dataDxfId="355"/>
    <tableColumn id="4" xr3:uid="{0EC6DF3F-3156-41AB-8283-EEDDEF5F175D}" name="Đơn vị vận tải" dataDxfId="354"/>
    <tableColumn id="11" xr3:uid="{60EABEF1-C548-4DC8-869A-F875DCF8227D}" name="Khách hàng" dataDxfId="353"/>
    <tableColumn id="7" xr3:uid="{BA31FDC3-4731-4843-BA58-AC6A8086EF6C}" name="Kho đối tác" dataDxfId="352">
      <calculatedColumnFormula xml:space="preserve">
IFERROR(
VLOOKUP(Table_VanDon[[#This Row],[Khách hàng]],Table_KhachHang[],COUNTA(Table_KhachHang[[#Headers],[Mã KH]:[Địa chỉ]]),0),"")</calculatedColumnFormula>
    </tableColumn>
    <tableColumn id="8" xr3:uid="{5BF38569-A5F9-4B02-A78A-736101AADA30}" name="Phí ship" dataDxfId="351" dataCellStyle="Comma"/>
    <tableColumn id="9" xr3:uid="{7A2F61A9-732F-47DD-AE4E-0929A9506A7E}" name="Bên chịu phí" dataDxfId="350"/>
    <tableColumn id="14" xr3:uid="{0F7009E9-A661-4B83-A79F-DC45BB15636E}" name="Tỷ suất VAT" dataDxfId="349" dataCellStyle="Percent"/>
    <tableColumn id="16" xr3:uid="{591A1862-E955-4303-AB77-7B95B1C2C73E}" name="VAT khấu trừ" dataDxfId="348" dataCellStyle="Comma">
      <calculatedColumnFormula>IF(Table_VanDon[[#This Row],[Bên chịu phí]] = "Bên bán",Table_VanDon[[#This Row],[Tỷ suất VAT]]*(Table_VanDon[[#This Row],[Phí ship]]/(1+Table_VanDon[[#This Row],[Tỷ suất VAT]])),0)</calculatedColumnFormula>
    </tableColumn>
    <tableColumn id="15" xr3:uid="{398A6BFA-A332-475B-80FD-2A5E3ADC953A}" name="Chi phí tính thuế" dataDxfId="347" dataCellStyle="Comma">
      <calculatedColumnFormula>Table_VanDon[[#This Row],[Phải trả ship]]-Table_VanDon[[#This Row],[VAT khấu trừ]]</calculatedColumnFormula>
    </tableColumn>
    <tableColumn id="6" xr3:uid="{3F583072-563A-4D58-A602-65255FF72650}" name="Phải trả ship" dataDxfId="346" dataCellStyle="Comma">
      <calculatedColumnFormula>IF(Table_VanDon[[#This Row],[Bên chịu phí]] = "Bên bán",Table_VanDon[[#This Row],[Phí ship]],0)</calculatedColumnFormula>
    </tableColumn>
    <tableColumn id="12" xr3:uid="{AC15A925-0B65-47D5-910C-D995B98EE8C8}" name="Add" dataDxfId="345"/>
    <tableColumn id="10" xr3:uid="{F1204514-D69D-44B5-98DD-F2A3F4668EE0}" name="Còn lại" dataDxfId="344">
      <calculatedColumnFormula array="1"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calculatedColumnFormula>
    </tableColumn>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F36B7A69-356B-47A9-A8FD-D4378665B30F}" name="Table_PhieuGiao" displayName="Table_PhieuGiao" ref="B17:J29" totalsRowShown="0" headerRowDxfId="343" dataDxfId="342">
  <autoFilter ref="B17:J29" xr:uid="{437FEB67-8942-4F2C-8C6B-5164C1E58BF5}"/>
  <tableColumns count="9">
    <tableColumn id="1" xr3:uid="{CF9FD2DE-3FFB-4B51-A89E-7241347A2ECF}" name="STT" dataDxfId="341">
      <calculatedColumnFormula>IF(Table_PhieuGiao[[#This Row],[SKU]]&lt;&gt;"",COUNTIF(D$18:D18,"&lt;&gt;"""),"")</calculatedColumnFormula>
    </tableColumn>
    <tableColumn id="5" xr3:uid="{7AF7F8DF-62C4-4D7E-BDD9-A4793DB112B6}" name="Đơn bán" dataDxfId="340"/>
    <tableColumn id="2" xr3:uid="{78FB16B5-C042-4270-BFDD-257F18968692}" name="SKU" dataDxfId="339"/>
    <tableColumn id="3" xr3:uid="{2A78210F-A234-4CDA-A076-E413F772BCA5}" name="Mô tả" dataDxfId="338">
      <calculatedColumnFormula xml:space="preserve">
IFERROR(VLOOKUP(Table_PhieuGiao[[#This Row],[SKU]],Table_SKU[[Mã SKU]:[Mô tả]],Sheet_SKU!$H$1,0),"")</calculatedColumnFormula>
    </tableColumn>
    <tableColumn id="7" xr3:uid="{47BF1A26-E475-4961-AEFC-1172FAD98AAA}" name="Số lượng đặt" dataDxfId="337" dataCellStyle="Comma">
      <calculatedColumnFormula array="1">IF(ISBLANK(Table_PhieuGiao[[#This Row],[SKU]]),"",
SUM(_xlfn._xlws.FILTER(Table_Main[Số lượng],
(Table_Main[Mã SKU] = Table_PhieuGiao[[#This Row],[SKU]])*
(Table_Main[Đơn bán] = Table_PhieuGiao[[#This Row],[Đơn bán]]))
))</calculatedColumnFormula>
    </tableColumn>
    <tableColumn id="4" xr3:uid="{B880A8B4-E514-4E0F-97E2-CFAD61930E7E}" name="Số lượng giao" dataDxfId="336" dataCellStyle="Comma"/>
    <tableColumn id="8" xr3:uid="{0E9C344A-03E5-4E66-9A57-E537C6A35F0C}" name="Thành tiền đặt" dataDxfId="335" dataCellStyle="Comma">
      <calculatedColumnFormula array="1">IF(ISBLANK(Table_PhieuGiao[[#This Row],[SKU]]),"",
SUM(_xlfn._xlws.FILTER(Table_Main[Giá trị bán trước VAT],
(Table_Main[Mã SKU] = Table_PhieuGiao[[#This Row],[SKU]])*
(Table_Main[Đơn bán] = Table_PhieuGiao[[#This Row],[Đơn bán]]))
))</calculatedColumnFormula>
    </tableColumn>
    <tableColumn id="11" xr3:uid="{0575B57B-29CB-48FD-8678-250D3755E906}" name="Thành tiền giao" dataDxfId="334" dataCellStyle="Comma">
      <calculatedColumnFormula xml:space="preserve">
IF(ISBLANK(Table_PhieuGiao[[#This Row],[SKU]]),"",
Table_PhieuGiao[[#This Row],[Thành tiền đặt]]*Table_PhieuGiao[[#This Row],[Số lượng giao]]/Table_PhieuGiao[[#This Row],[Số lượng đặt]])</calculatedColumnFormula>
    </tableColumn>
    <tableColumn id="10" xr3:uid="{012D2588-AB07-42A6-8FC8-AFC3A860AB07}" name="Tỷ trọng thành tiền" dataDxfId="333" dataCellStyle="Percent">
      <calculatedColumnFormula array="1" xml:space="preserve">
IF(ISBLANK(Table_PhieuGiao[[#This Row],[SKU]]),"",
IFERROR(
Table_PhieuGiao[[#This Row],[Thành tiền giao]]/
IFERROR(
SUM(_xlfn._xlws.FILTER(Table_Main[Giá trị bán trước VAT],
(Table_Main[Đơn bán] = Table_PhieuGiao[[#This Row],[Đơn bán]])
)),0),
0))</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A27BF1C-8CD6-431B-8FCB-E3087A269402}" name="Table_LaiKhac" displayName="Table_LaiKhac" ref="B4:P5" totalsRowShown="0" headerRowDxfId="330" dataDxfId="329">
  <autoFilter ref="B4:P5" xr:uid="{2A27BF1C-8CD6-431B-8FCB-E3087A269402}"/>
  <tableColumns count="15">
    <tableColumn id="2" xr3:uid="{32912DBC-3256-4130-96F7-3E069F9569CE}" name="Kỳ" dataDxfId="328">
      <calculatedColumnFormula>IFERROR(
IF(ISBLANK(Table_LaiKhac[[#This Row],[Tháng]]),
DATE(Table_LaiKhac[[#This Row],[Năm]],12,1),
DATE(Table_LaiKhac[[#This Row],[Năm]],Table_LaiKhac[[#This Row],[Tháng]],1)),0)</calculatedColumnFormula>
    </tableColumn>
    <tableColumn id="1" xr3:uid="{9ED1705C-3CC2-4F20-94F7-FE27FFA50EA2}" name="Năm" dataDxfId="327"/>
    <tableColumn id="7" xr3:uid="{7011CE3A-4170-4F34-8A45-3C14EF584624}" name="Tháng" dataDxfId="326"/>
    <tableColumn id="13" xr3:uid="{17DBD87B-D607-4F10-9204-36EA96A70492}" name="Phân bổ từ" dataDxfId="325"/>
    <tableColumn id="14" xr3:uid="{B9685FB0-3596-4744-973F-F04B788D5C88}" name="Phân bổ đến" dataDxfId="324"/>
    <tableColumn id="3" xr3:uid="{A4B96B9D-F8B8-42EB-9824-FF28F81F7230}" name="Phân loại" dataDxfId="323"/>
    <tableColumn id="4" xr3:uid="{AFC8E105-3BFF-423F-8C41-314B2A03EB74}" name="Nội dung" dataDxfId="322"/>
    <tableColumn id="15" xr3:uid="{63DD0B39-75F3-4F54-934E-E9D0B6C25ED8}" name="Nhóm đối tác" dataDxfId="321"/>
    <tableColumn id="6" xr3:uid="{C5900F8A-787C-496B-A516-DB99B8B937AF}" name="Đối tác" dataDxfId="320"/>
    <tableColumn id="5" xr3:uid="{7D008247-88BA-4F37-AFEA-7683692A08F0}" name="Giá trị" dataDxfId="319"/>
    <tableColumn id="9" xr3:uid="{36F10CCD-CD36-4314-9238-24A84B56395C}" name="Tỷ suất VAT" dataDxfId="318" dataCellStyle="Percent"/>
    <tableColumn id="10" xr3:uid="{E80C2A67-F2A3-4D2D-BF9B-202BD5E412EA}" name="Giá trị VAT" dataDxfId="317" dataCellStyle="Comma">
      <calculatedColumnFormula>IFERROR(Table_LaiKhac[[#This Row],[Tỷ suất VAT]]*(Table_LaiKhac[[#This Row],[Giá trị]]/(1+Table_LaiKhac[[#This Row],[Tỷ suất VAT]])),0)</calculatedColumnFormula>
    </tableColumn>
    <tableColumn id="12" xr3:uid="{B7A26378-03C9-46C7-9581-1F1A6CEEE64B}" name="Giá trị tính thuế" dataDxfId="316" dataCellStyle="Comma">
      <calculatedColumnFormula>IF(Table_LaiKhac[[#This Row],[Giá trị]] &lt;0,
Table_LaiKhac[[#This Row],[Giá trị]],
Table_LaiKhac[[#This Row],[Giá trị]] -Table_LaiKhac[[#This Row],[Giá trị VAT]]
)</calculatedColumnFormula>
    </tableColumn>
    <tableColumn id="8" xr3:uid="{76A72EA7-10BE-4502-86F2-91D1013CDFFD}" name="Add" dataDxfId="315"/>
    <tableColumn id="11" xr3:uid="{DB25EBA2-EAF5-4D85-89BC-088940F2D607}" name="Còn lại" dataDxfId="314">
      <calculatedColumnFormula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calculatedColumnFormula>
    </tableColumn>
  </tableColumns>
  <tableStyleInfo name="TableStyleMedium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B28:N46" totalsRowShown="0" headerRowDxfId="309" dataDxfId="308">
  <autoFilter ref="B28:N46" xr:uid="{A6B1C031-348A-44B9-8D33-5EE5EC82DEAF}"/>
  <sortState xmlns:xlrd2="http://schemas.microsoft.com/office/spreadsheetml/2017/richdata2" ref="B29:N46">
    <sortCondition ref="D28:D46"/>
  </sortState>
  <tableColumns count="13">
    <tableColumn id="4" xr3:uid="{C7435740-0E30-4F59-870A-C7042BDA6B68}" name="STT" dataDxfId="307"/>
    <tableColumn id="1" xr3:uid="{3D886268-D42B-4EDF-9DDD-8B07A3BB1ADB}" name="Mã phiếu thu chi" dataDxfId="306">
      <calculatedColumnFormula>CONCATENATE(E29,"-",H29,"-",MOD(YEAR(D29),100)*10000+MONTH(D29)*100+DAY(D29),"-",B29)</calculatedColumnFormula>
    </tableColumn>
    <tableColumn id="2" xr3:uid="{491FCAFA-B1AD-46FB-8647-AA401FFD2AAA}" name="Ngày GD" dataDxfId="305"/>
    <tableColumn id="3" xr3:uid="{B9BD7AA2-C1D5-4E64-8D16-409D287CC48C}" name="Loại GD" dataDxfId="304"/>
    <tableColumn id="12" xr3:uid="{3A7EF55C-3E4D-4ADC-A987-EE3819E551D7}" name="Nội dung GD" dataDxfId="303"/>
    <tableColumn id="13" xr3:uid="{48204029-EABB-4AAE-9C1D-051B6312696D}" name="Nhóm đối tác" dataDxfId="302"/>
    <tableColumn id="5" xr3:uid="{49A47456-4C51-4447-84B0-C657FFDF4DD6}" name="Đối tác" dataDxfId="301"/>
    <tableColumn id="6" xr3:uid="{0CDCC0A6-47DE-4B3C-A651-2B10AE2D54EE}" name="TK GD" dataDxfId="300"/>
    <tableColumn id="7" xr3:uid="{4E5E42A3-26F6-4DBE-8D74-7F5305C9516A}" name="Giá trị GD" dataDxfId="299" dataCellStyle="Comma"/>
    <tableColumn id="10" xr3:uid="{A4473CA9-1AA1-40AA-B166-CA4639D6D21D}" name="Phí suất GD" dataDxfId="298">
      <calculatedColumnFormula>IF(Table_ThuChiKD[[#This Row],[Loại GD]] = "THU",
VLOOKUP(Table_ThuChiKD[[#This Row],[TK GD]],Table_TaiKhoan[],COUNTA(Table_TaiKhoan[[#Headers],[Mã Tài khoản]:[Phí Thanh toán]]),0),
0)</calculatedColumnFormula>
    </tableColumn>
    <tableColumn id="9" xr3:uid="{C86A6209-B128-4923-9549-6CBD084E5734}" name="Phí GD" dataDxfId="297" dataCellStyle="Comma">
      <calculatedColumnFormula>J29*K29</calculatedColumnFormula>
    </tableColumn>
    <tableColumn id="11" xr3:uid="{A664AE69-C2DC-4436-BDB2-AEFE89079C62}" name="Giá trị sau phí" dataDxfId="296" dataCellStyle="Comma">
      <calculatedColumnFormula>Table_ThuChiKD[[#This Row],[Giá trị GD]]-Table_ThuChiKD[[#This Row],[Phí GD]]</calculatedColumnFormula>
    </tableColumn>
    <tableColumn id="8" xr3:uid="{82EB006A-DD38-4126-823B-D7856CE71E6B}" name="Add" dataDxfId="295"/>
  </tableColumns>
  <tableStyleInfo name="TableStyleMedium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10BD9CF-04EA-4A06-A52D-50A7CE300F60}" name="Table_ThuChiKD_NoiDungGD" displayName="Table_ThuChiKD_NoiDungGD" ref="E3:F12" totalsRowShown="0" headerRowDxfId="294" dataDxfId="293">
  <autoFilter ref="E3:F12" xr:uid="{D10BD9CF-04EA-4A06-A52D-50A7CE300F60}"/>
  <tableColumns count="2">
    <tableColumn id="2" xr3:uid="{40512225-2330-428E-AB71-937372499A1F}" name="STT" dataDxfId="292">
      <calculatedColumnFormula>IFERROR(+E3+1,1)</calculatedColumnFormula>
    </tableColumn>
    <tableColumn id="1" xr3:uid="{3A75AD2B-488A-42AD-80B3-1BB5E573CF50}" name="Nội dung GD" dataDxfId="291"/>
  </tableColumns>
  <tableStyleInfo name="TableStyleMedium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664BFD78-E653-443C-9FA6-C4D8594AC611}" name="Table_ThuChiTC" displayName="Table_ThuChiTC" ref="B16:L17" totalsRowShown="0" headerRowDxfId="287" dataDxfId="286">
  <autoFilter ref="B16:L17" xr:uid="{A6B1C031-348A-44B9-8D33-5EE5EC82DEAF}"/>
  <sortState xmlns:xlrd2="http://schemas.microsoft.com/office/spreadsheetml/2017/richdata2" ref="B17:L17">
    <sortCondition ref="D16:D17"/>
  </sortState>
  <tableColumns count="11">
    <tableColumn id="4" xr3:uid="{F803AFF6-797E-4542-A408-654C11CA19E2}" name="STT" dataDxfId="285"/>
    <tableColumn id="1" xr3:uid="{45742FAA-80A9-4C34-988A-130A5FA27BBE}" name="Mã phiếu thu chi" dataDxfId="284">
      <calculatedColumnFormula>CONCATENATE(E17,"-",H17,"-",MOD(YEAR(D17),100)*10000+MONTH(D17)*100+DAY(D17),"-",B17)</calculatedColumnFormula>
    </tableColumn>
    <tableColumn id="2" xr3:uid="{1F07107C-BEAF-4595-9D97-3CA40A6E5C13}" name="Ngày GD" dataDxfId="283"/>
    <tableColumn id="3" xr3:uid="{AD4ECA87-A6F4-41AD-85ED-A453FDAEF2A3}" name="Loại GD" dataDxfId="282"/>
    <tableColumn id="12" xr3:uid="{269689F3-A1F2-4FF9-896E-1F077776B351}" name="Nội dung GD" dataDxfId="281"/>
    <tableColumn id="10" xr3:uid="{0A32DAC3-670F-44F4-8435-A9DF6980C954}" name="Nhóm đối tác" dataDxfId="280"/>
    <tableColumn id="5" xr3:uid="{FA4A4CC0-A12B-4EA7-9660-3F36083E3F33}" name="Đối tác" dataDxfId="279"/>
    <tableColumn id="6" xr3:uid="{6E6D9ED9-7C73-4BEA-8509-DA3B5B025931}" name="TK GD" dataDxfId="278"/>
    <tableColumn id="7" xr3:uid="{B32B184A-91D5-47BD-AF78-AAC7293CCA62}" name="Giá trị GD" dataDxfId="277" dataCellStyle="Comma"/>
    <tableColumn id="9" xr3:uid="{175C7478-C2C1-4F15-846F-5B33016C4AA2}" name="Ngày đáo hạn" dataDxfId="276">
      <calculatedColumnFormula>IFERROR(
VLOOKUP(Table_ThuChiTC[[#This Row],[Đối tác]],Table_VayNo[],COUNTA(Table_VayNo[[#Headers],[Mã khoản vay]:[Kết thúc trả gốc]]),0),
IFERROR(
VLOOKUP(Table_ThuChiTC[[#This Row],[Đối tác]],Table_DauTu[],COUNTA(Table_DauTu[[#Headers],[Mã khoản đầu tư]:[Kỳ đáo hạn]]),0),
0))</calculatedColumnFormula>
    </tableColumn>
    <tableColumn id="8" xr3:uid="{6C4C173B-33FB-4F99-9936-6B269C8696FD}" name="Add" dataDxfId="275"/>
  </tableColumns>
  <tableStyleInfo name="TableStyleMedium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45AF8E-3B40-4432-873E-E8A362F81F63}" name="Table_ThuChiTC_NoiDungGD" displayName="Table_ThuChiTC_NoiDungGD" ref="E3:F13" totalsRowShown="0" headerRowDxfId="274" dataDxfId="273">
  <autoFilter ref="E3:F13" xr:uid="{D10BD9CF-04EA-4A06-A52D-50A7CE300F60}"/>
  <tableColumns count="2">
    <tableColumn id="2" xr3:uid="{1B498D18-30F5-4944-9156-0E4A00896955}" name="STT" dataDxfId="272">
      <calculatedColumnFormula>IFERROR(E3+1,1)</calculatedColumnFormula>
    </tableColumn>
    <tableColumn id="1" xr3:uid="{768EC5AA-4BC6-4314-8EB2-C60AA81000E0}" name="Các hạng mục giao dịch" dataDxfId="271"/>
  </tableColumns>
  <tableStyleInfo name="TableStyleMedium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1BC7E-C06D-4928-91D7-60ED2FF9E0B2}" name="Table_TaiKhoan" displayName="Table_TaiKhoan" ref="B4:G5" totalsRowShown="0" headerRowDxfId="268" dataDxfId="267">
  <autoFilter ref="B4:G5" xr:uid="{7981BC7E-C06D-4928-91D7-60ED2FF9E0B2}"/>
  <tableColumns count="6">
    <tableColumn id="5" xr3:uid="{110B2137-B0AB-411B-AE82-F8D4A7958DC7}" name="Mã Tài khoản" dataDxfId="266"/>
    <tableColumn id="1" xr3:uid="{6BCAD684-B6EA-41EB-91E4-5267F4AA263E}" name="Loại tài khoản" dataDxfId="265"/>
    <tableColumn id="2" xr3:uid="{603DB923-4BC5-4423-A274-A17C876CE4A2}" name="Số Tài khoản" dataDxfId="264"/>
    <tableColumn id="4" xr3:uid="{C4306A62-2891-4731-A717-CC6F7910F169}" name="Phí Thanh toán" dataDxfId="263" dataCellStyle="Percent"/>
    <tableColumn id="3" xr3:uid="{4E886D6E-8A90-4289-A5D3-7DE9B8C36862}" name="Số dư ban đầu" dataDxfId="262" dataCellStyle="Comma"/>
    <tableColumn id="6" xr3:uid="{8C5B89A2-9332-4B66-BC31-5DFDAE28C026}" name="Add" dataDxfId="261"/>
  </tableColumns>
  <tableStyleInfo name="TableStyleMedium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80D11C9-B5AA-435B-AAF7-8F67E7C7D504}" name="Table_DauTu" displayName="Table_DauTu" ref="B4:J5" totalsRowShown="0" headerRowDxfId="259" dataDxfId="258">
  <autoFilter ref="B4:J5" xr:uid="{33BA97D5-806B-467F-8072-874973E61A4E}"/>
  <tableColumns count="9">
    <tableColumn id="1" xr3:uid="{13417069-BFE5-4A56-98E1-E251A793602E}" name="Mã khoản đầu tư" dataDxfId="257"/>
    <tableColumn id="2" xr3:uid="{7D0B06DC-AD10-4C17-8CA5-5D5883186557}" name="Tài sản đầu tư" dataDxfId="256"/>
    <tableColumn id="3" xr3:uid="{D33CF87D-21E8-4D3A-8E01-4F1161353E26}" name="Giá trị đầu tư" dataDxfId="255" dataCellStyle="Comma"/>
    <tableColumn id="4" xr3:uid="{EFB06D4B-4971-468B-9A1B-D04F8830D305}" name="Thời hạn (tháng)" dataDxfId="254" dataCellStyle="Comma"/>
    <tableColumn id="8" xr3:uid="{65743D85-4109-4D92-B664-2BCBF0420CA1}" name="Lãi suất (năm)" dataDxfId="253" dataCellStyle="Percent"/>
    <tableColumn id="9" xr3:uid="{846A9515-722D-44B8-90F2-8D8E0F05BA3D}" name="Kỳ đầu tư" dataDxfId="252"/>
    <tableColumn id="6" xr3:uid="{4C00745A-B1FE-45B1-9B3E-38A95580281F}" name="Kỳ đáo hạn" dataDxfId="251">
      <calculatedColumnFormula>IF(ISBLANK(Table_DauTu[[#This Row],[Thời hạn (tháng)]]),0,
Table_DauTu[[#This Row],[Kỳ đầu tư]] + ROUND(Table_DauTu[[#This Row],[Thời hạn (tháng)]] * (365.25/12),0))</calculatedColumnFormula>
    </tableColumn>
    <tableColumn id="5" xr3:uid="{78924250-EF4E-4CA1-B05F-ABFB6E62438A}" name="Lãi hàng tháng" dataDxfId="250" dataCellStyle="Comma">
      <calculatedColumnFormula>IF(ISBLANK(Table_DauTu[[#This Row],[Lãi suất (năm)]]),0,Table_DauTu[[#This Row],[Giá trị đầu tư]]* Table_DauTu[[#This Row],[Lãi suất (năm)]]/12)</calculatedColumnFormula>
    </tableColumn>
    <tableColumn id="10" xr3:uid="{DD51B405-73CD-400C-ADF6-CF820E5F4616}" name="Add" dataDxfId="249"/>
  </tableColumns>
  <tableStyleInfo name="TableStyleMedium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B4:M8" totalsRowShown="0" headerRowDxfId="245" dataDxfId="244">
  <autoFilter ref="B4:M8" xr:uid="{33BA97D5-806B-467F-8072-874973E61A4E}"/>
  <tableColumns count="12">
    <tableColumn id="1" xr3:uid="{4A93644F-8224-447B-9E36-259792E6E138}" name="Mã khoản vay" dataDxfId="243"/>
    <tableColumn id="2" xr3:uid="{A89F2CB3-3FD7-456C-B7F4-0E3DBE246171}" name="Bên cho vay" dataDxfId="242"/>
    <tableColumn id="3" xr3:uid="{0346E20E-CC57-4F1B-B612-52C1688C2B55}" name="Giá trị vay" dataDxfId="241" dataCellStyle="Comma"/>
    <tableColumn id="12" xr3:uid="{B3E707F2-4568-4E1A-A294-7D6F30EC02BD}" name="Tần suất trả nợ" dataDxfId="240" dataCellStyle="Comma"/>
    <tableColumn id="11" xr3:uid="{AA3EB2D4-0F79-41E8-BF8E-F9B87967230F}" name="Thời hạn (năm)" dataDxfId="239" dataCellStyle="Comma"/>
    <tableColumn id="4" xr3:uid="{57419588-C918-4A04-A1A6-318776271252}" name="Thời hạn (tháng)" dataDxfId="238" dataCellStyle="Comma"/>
    <tableColumn id="8" xr3:uid="{ADE26E08-469E-496D-8DD9-6D7A2F0B7494}" name="Lãi suất (năm)" dataDxfId="237" dataCellStyle="Percent"/>
    <tableColumn id="9" xr3:uid="{BE0A26C0-FBBB-45BA-804C-0B8E64CC81D3}" name="Ngày vay" dataDxfId="236"/>
    <tableColumn id="5" xr3:uid="{77AF3B82-48AE-4D87-A5EB-64C9E37C071D}" name="Bắt đầu trả gốc" dataDxfId="235"/>
    <tableColumn id="6" xr3:uid="{585AAE9C-F2FC-4DF5-9A78-D2638745E9B1}" name="Kết thúc trả gốc" dataDxfId="234">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233"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 id="10" xr3:uid="{DD812B37-DC69-4136-862B-4E317D93174B}" name="Add" dataDxfId="232"/>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C709573-89B6-4517-AED2-CA532A54D3DD}" name="Table_CoDong" displayName="Table_CoDong" ref="B4:K5" totalsRowShown="0" headerRowDxfId="229" dataDxfId="228">
  <autoFilter ref="B4:K5" xr:uid="{1C709573-89B6-4517-AED2-CA532A54D3DD}"/>
  <tableColumns count="10">
    <tableColumn id="1" xr3:uid="{11E1E3A6-FE95-4E0C-BEA8-076729333970}" name="Mã Cổ đông" dataDxfId="227"/>
    <tableColumn id="2" xr3:uid="{65209269-4DB8-4391-A298-4C64CE3A340D}" name="Tên Cổ đông" dataDxfId="226"/>
    <tableColumn id="3" xr3:uid="{C0AAD33A-81E5-48B1-BB5B-03749E6409F0}" name="Vốn góp ban đầu" dataDxfId="225" dataCellStyle="Comma"/>
    <tableColumn id="4" xr3:uid="{0167E8D1-6899-412F-9852-A8F5405AB4C3}" name="Vốn góp hiện tại" dataDxfId="224" dataCellStyle="Comma">
      <calculatedColumnFormula>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calculatedColumnFormula>
    </tableColumn>
    <tableColumn id="5" xr3:uid="{C3D2C8AC-C9EC-4AE7-9BB4-B7E0B7330025}" name="Tỷ lệ sở hữu" dataDxfId="223" dataCellStyle="Percent">
      <calculatedColumnFormula>IFERROR(Table_CoDong[[#This Row],[Vốn góp hiện tại]]/SUM(Table_CoDong[Vốn góp hiện tại]),0)</calculatedColumnFormula>
    </tableColumn>
    <tableColumn id="6" xr3:uid="{0788CB80-297F-4206-91C9-CF1E0FC99640}" name="Tỷ lệ chia lợi nhuận" dataDxfId="222" dataCellStyle="Percent">
      <calculatedColumnFormula>Table_CoDong[[#This Row],[Tỷ lệ sở hữu]]</calculatedColumnFormula>
    </tableColumn>
    <tableColumn id="7" xr3:uid="{CF2A8E55-DDBD-4A97-B224-28CD96F9E7D5}" name="MST / CCCD" dataDxfId="221"/>
    <tableColumn id="8" xr3:uid="{E7AC8E04-EB64-406A-BE0D-7081826BA7F9}" name="Địa chỉ" dataDxfId="220"/>
    <tableColumn id="9" xr3:uid="{F171E66A-5F9D-4092-B19D-F0B4D3C1A7D4}" name="SĐT" dataDxfId="219"/>
    <tableColumn id="10" xr3:uid="{157EEF0C-DA61-4F78-B69B-396759529D02}" name="Add" dataDxfId="218"/>
  </tableColumns>
  <tableStyleInfo name="TableStyleMedium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991E17-DE02-4747-B5A3-0BC9073CB224}" name="Table_ChiPhiKD" displayName="Table_ChiPhiKD" ref="B19:T20" totalsRowShown="0" headerRowDxfId="215" dataDxfId="214">
  <autoFilter ref="B19:T20" xr:uid="{5F991E17-DE02-4747-B5A3-0BC9073CB224}"/>
  <tableColumns count="19">
    <tableColumn id="1" xr3:uid="{8EB76FFF-4298-4FA9-8AEF-A1BCE446D786}" name="STT" dataDxfId="213"/>
    <tableColumn id="2" xr3:uid="{BD174AD5-E97E-477B-BC4F-E91FD9C428FE}" name="Mã chi phí" dataDxfId="212">
      <calculatedColumnFormula>CONCATENATE("CP-",Table_ChiPhiKD[[#This Row],[Vendor]],"-",MOD(Table_ChiPhiKD[[#This Row],[Năm]],100)*100+Table_ChiPhiKD[[#This Row],[Tháng]],"-",Table_ChiPhiKD[[#This Row],[STT]])</calculatedColumnFormula>
    </tableColumn>
    <tableColumn id="4" xr3:uid="{E44E3A1C-E824-4C08-B3CB-09598F123B88}" name="Kỳ" dataDxfId="211">
      <calculatedColumnFormula>IFERROR(
IF(ISBLANK(Table_ChiPhiKD[[#This Row],[Tháng]]),
DATE(Table_ChiPhiKD[[#This Row],[Năm]],12,1),
DATE(Table_ChiPhiKD[[#This Row],[Năm]],Table_ChiPhiKD[[#This Row],[Tháng]],1)),0)</calculatedColumnFormula>
    </tableColumn>
    <tableColumn id="3" xr3:uid="{951F499D-E058-410C-B58A-2B55796DF745}" name="Năm" dataDxfId="210" dataCellStyle="Comma"/>
    <tableColumn id="10" xr3:uid="{B1FB9B04-80B2-4715-A31B-B948274CB86B}" name="Tháng" dataDxfId="209" dataCellStyle="Comma"/>
    <tableColumn id="16" xr3:uid="{AA4DD464-AA58-4FC8-AA01-05E1E24161BC}" name="Phân bổ từ" dataDxfId="208"/>
    <tableColumn id="17" xr3:uid="{3D1DA3BA-92E3-490C-B457-D14473A7D91A}" name="Phân bổ đến" dataDxfId="207"/>
    <tableColumn id="5" xr3:uid="{C39693CD-AB60-4CF1-A1B9-5926B9B0DCC1}" name="Nhóm chi phí" dataDxfId="206"/>
    <tableColumn id="15" xr3:uid="{D484D441-3E9A-4FB5-870D-8565F8778970}" name="Nhóm vendor" dataDxfId="205"/>
    <tableColumn id="6" xr3:uid="{D224774D-C286-440F-9995-EADC42C63DDB}" name="Vendor" dataDxfId="204"/>
    <tableColumn id="8" xr3:uid="{784EA8E4-5DA1-413C-B845-3AC745F511D2}" name="Nội dung" dataDxfId="203"/>
    <tableColumn id="9" xr3:uid="{9CFBD63A-3004-4019-B4C0-8BC6155C769E}" name="Giá trị" dataDxfId="202" dataCellStyle="Comma"/>
    <tableColumn id="18" xr3:uid="{42ABD383-EB1B-4899-850E-374A9A28D191}" name="Tỷ lệ sản xuất" dataDxfId="201" dataCellStyle="Percent"/>
    <tableColumn id="19" xr3:uid="{7A8A9ABF-72A7-48DA-8A79-22E155680628}" name="Phân bổ sản xuất" dataDxfId="200" dataCellStyle="Comma">
      <calculatedColumnFormula>Table_ChiPhiKD[[#This Row],[Tỷ lệ sản xuất]]*Table_ChiPhiKD[[#This Row],[Giá trị]]</calculatedColumnFormula>
    </tableColumn>
    <tableColumn id="11" xr3:uid="{F137258A-D68A-4907-82AC-D5F9125EDBEF}" name="Tỷ suất VAT kháu trừ" dataDxfId="199" dataCellStyle="Percent"/>
    <tableColumn id="13" xr3:uid="{61812D02-8B46-4BA6-871B-7AE02B78CA8A}" name="VAT khấu trừ" dataDxfId="198" dataCellStyle="Comma">
      <calculatedColumnFormula>Table_ChiPhiKD[[#This Row],[Tỷ suất VAT kháu trừ]]*Table_ChiPhiKD[[#This Row],[Giá trị]]/(1+Table_ChiPhiKD[[#This Row],[Tỷ suất VAT kháu trừ]])</calculatedColumnFormula>
    </tableColumn>
    <tableColumn id="14" xr3:uid="{1D65BDC4-EDFD-41F7-A00B-66DE0DD1816F}" name="Chi phí tính thuế" dataDxfId="197" dataCellStyle="Comma">
      <calculatedColumnFormula>Table_ChiPhiKD[[#This Row],[Giá trị]]-Table_ChiPhiKD[[#This Row],[VAT khấu trừ]]</calculatedColumnFormula>
    </tableColumn>
    <tableColumn id="12" xr3:uid="{B64FA33D-F32F-4150-89F0-5E5629BF018D}" name="Add" dataDxfId="196"/>
    <tableColumn id="7" xr3:uid="{925DFFB3-F75E-4803-8AB1-5A25D839F13D}" name="Còn lại" dataDxfId="195">
      <calculatedColumnFormula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calculatedColumnFormula>
    </tableColumn>
  </tableColumns>
  <tableStyleInfo name="TableStyleMedium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I3:J16" totalsRowShown="0" headerRowDxfId="194" dataDxfId="193">
  <autoFilter ref="I3:J16" xr:uid="{A3BF0C5B-FC17-4D9C-B315-53375E480D6F}"/>
  <tableColumns count="2">
    <tableColumn id="1" xr3:uid="{5A01712E-882C-4D38-85D0-54B58A2EB9BA}" name="Nhóm chi phí" dataDxfId="192"/>
    <tableColumn id="3" xr3:uid="{995D1958-CA48-46CF-BFF8-F6D8301B03B8}" name="Chức năng" dataDxfId="191"/>
  </tableColumns>
  <tableStyleInfo name="TableStyleMedium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CDC939-2E96-4476-86E6-B56E18A675E8}" name="Table_NhaCungCap" displayName="Table_NhaCungCap" ref="B14:J25" totalsRowShown="0" headerRowDxfId="183" dataDxfId="181" headerRowBorderDxfId="182" tableBorderDxfId="180" totalsRowBorderDxfId="179">
  <autoFilter ref="B14:J25" xr:uid="{F9CDC939-2E96-4476-86E6-B56E18A675E8}"/>
  <tableColumns count="9">
    <tableColumn id="1" xr3:uid="{7721CE83-F664-4762-9716-4889305A9FE2}" name="Mã Đối tác" dataDxfId="178"/>
    <tableColumn id="2" xr3:uid="{41D3F0CF-E150-49FF-8B01-450666B3CC4E}" name="Tên Đối tác" dataDxfId="177"/>
    <tableColumn id="8" xr3:uid="{CF26196B-69EB-46EC-B556-EA7E356900A5}" name="Loại đối tác" dataDxfId="176"/>
    <tableColumn id="3" xr3:uid="{B91B8895-5250-4079-BB0D-F4FE31F381D7}" name="Mã số thuế" dataDxfId="175"/>
    <tableColumn id="4" xr3:uid="{81E3C711-500A-4593-942E-FEAB04058687}" name="SĐT" dataDxfId="174"/>
    <tableColumn id="5" xr3:uid="{BB737E9B-C3C7-42A0-AE4B-C771A4B94B46}" name="Địa điểm" dataDxfId="173"/>
    <tableColumn id="6" xr3:uid="{ABBC3333-2DA9-426E-B6D7-895106AB9BC7}" name="Tài khoản" dataDxfId="172"/>
    <tableColumn id="9" xr3:uid="{AB1EED42-5145-44D2-B0AC-5FA7A87C5A4B}" name="Dư nợ" dataDxfId="171" dataCellStyle="Comma">
      <calculatedColumnFormula>IFERROR(VLOOKUP(Table_NhaCungCap[[#This Row],[Mã Đối tác]],Table_PhaiTra[[Đối tác]:[Add]],COUNTA(Table_PhaiTra[[#Headers],[Đối tác]:[Add]])-1,0),0)</calculatedColumnFormula>
    </tableColumn>
    <tableColumn id="7" xr3:uid="{33848DA7-3319-42F8-95F5-D04554228C07}" name="Add" dataDxfId="170"/>
  </tableColumns>
  <tableStyleInfo name="TableStyleMedium3"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T9:AC10" totalsRowShown="0" headerRowDxfId="167" dataDxfId="166">
  <autoFilter ref="T9:AC10" xr:uid="{D36C50C2-9F50-44F9-851E-AF3CE876FBFE}"/>
  <tableColumns count="10">
    <tableColumn id="1" xr3:uid="{4A3FCD0C-E17B-4120-9BE4-7374A2C75088}" name="Mã NV" dataDxfId="165"/>
    <tableColumn id="2" xr3:uid="{3FF44A59-1049-4D92-87E1-AE653BB3E15F}" name="Tên NV" dataDxfId="164"/>
    <tableColumn id="8" xr3:uid="{99A1AB96-F8C1-4D21-9FC4-EF4072A4DE00}" name="Bộ phận" dataDxfId="163"/>
    <tableColumn id="5" xr3:uid="{BEAC1714-C1E8-49D6-9AC3-1AF3087A84E0}" name="Phòng" dataDxfId="162">
      <calculatedColumnFormula>IFERROR(VLOOKUP(Table_NhanVien[[#This Row],[Bộ phận]],Table_CauTruc_BoPhan[],COUNTA(Table_CauTruc_BoPhan[[#Headers],[Tên bộ phận]:[Phòng trực thuộc]]),0),0)</calculatedColumnFormula>
    </tableColumn>
    <tableColumn id="4" xr3:uid="{EA7F935A-1ED0-40EA-89FE-F00403EBFCE3}" name="Chức năng" dataDxfId="161">
      <calculatedColumnFormula>IFERROR(
VLOOKUP(Table_NhanVien[[#This Row],[Phòng]],Table_CauTruc_PhongBan[],COUNTA(Table_CauTruc_PhongBan[[#Headers],[Tên phòng ban]:[Chức năng]]),0),0)</calculatedColumnFormula>
    </tableColumn>
    <tableColumn id="6" xr3:uid="{7B5CEAB6-BD30-4D2D-943C-5EC7D3E12B9D}" name="Vị trí" dataDxfId="160"/>
    <tableColumn id="7" xr3:uid="{8B9A2DC1-6892-4BE3-8A30-44D5EB94ABC1}" name="Lương gross" dataDxfId="159" dataCellStyle="Comma"/>
    <tableColumn id="12" xr3:uid="{E89F53C3-90D6-460E-8E47-F1E06E1BC555}" name="Người phụ thuộc" dataDxfId="158" dataCellStyle="Comma"/>
    <tableColumn id="9" xr3:uid="{DA7672C3-D179-41D7-B233-EF01246FF73A}" name="Nghỉ phép năm" dataDxfId="157" dataCellStyle="Comma"/>
    <tableColumn id="3" xr3:uid="{0997A14D-6FB9-4585-89CD-7360C6B38981}" name="Add" dataDxfId="156"/>
  </tableColumns>
  <tableStyleInfo name="TableStyleMedium3"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874024D3-C0F6-4B78-91DE-183D234B7E0A}" name="Table_CauTruc_PhongBan" displayName="Table_CauTruc_PhongBan" ref="B9:E10" totalsRowShown="0" headerRowDxfId="155" dataDxfId="154">
  <autoFilter ref="B9:E10" xr:uid="{874024D3-C0F6-4B78-91DE-183D234B7E0A}"/>
  <tableColumns count="4">
    <tableColumn id="2" xr3:uid="{4955A630-83A9-465E-8E2B-CCAF528A483F}" name="Tên phòng ban" dataDxfId="153"/>
    <tableColumn id="3" xr3:uid="{BB289D1A-97DE-4CC3-9BC0-D73268339B89}" name="Chức năng" dataDxfId="152"/>
    <tableColumn id="4" xr3:uid="{BD3DB428-9E80-4CCB-859B-3280E06AA362}" name="Trưởng phòng" dataDxfId="151"/>
    <tableColumn id="5" xr3:uid="{196D9394-A077-432C-A305-7C9FA44F664A}" name="Add" dataDxfId="150"/>
  </tableColumns>
  <tableStyleInfo name="TableStyleMedium3"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63F1D030-35D8-461C-A2E4-DECEBB912102}" name="Table_CauTruc_BoPhan" displayName="Table_CauTruc_BoPhan" ref="G9:J10" totalsRowShown="0" headerRowDxfId="149" dataDxfId="148">
  <autoFilter ref="G9:J10" xr:uid="{63F1D030-35D8-461C-A2E4-DECEBB912102}"/>
  <tableColumns count="4">
    <tableColumn id="2" xr3:uid="{17A0FDD1-EA20-464F-B4AF-395480699CFD}" name="Tên bộ phận" dataDxfId="147"/>
    <tableColumn id="3" xr3:uid="{C35AC608-7B82-4B64-A7A0-64477DE43413}" name="Phòng trực thuộc" dataDxfId="146"/>
    <tableColumn id="4" xr3:uid="{509D9E98-94F9-4818-A87B-FC2F4C2B8217}" name="Trưởng bộ phận" dataDxfId="145"/>
    <tableColumn id="5" xr3:uid="{BA1EEDDC-46C1-425D-ABD9-403CE33F6A1A}" name="Add" dataDxfId="144"/>
  </tableColumns>
  <tableStyleInfo name="TableStyleMedium3"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CDFD35B-AF46-4CAA-8C17-32B8AF8F3C2E}" name="Table_CauTruc_ViTri" displayName="Table_CauTruc_ViTri" ref="L9:Q10" totalsRowShown="0" headerRowDxfId="143" dataDxfId="142">
  <autoFilter ref="L9:Q10" xr:uid="{BCDFD35B-AF46-4CAA-8C17-32B8AF8F3C2E}"/>
  <tableColumns count="6">
    <tableColumn id="1" xr3:uid="{CB2DDD6C-91E3-4F80-827C-B2E595D107A9}" name="Vị trí" dataDxfId="141"/>
    <tableColumn id="2" xr3:uid="{095AE0D0-0F39-4AEF-8276-39235A16F179}" name="Bộ phận" dataDxfId="140"/>
    <tableColumn id="3" xr3:uid="{535346B0-31A3-47B7-BD2E-E27629B35699}" name="Lương gross tiêu chuẩn" dataDxfId="139"/>
    <tableColumn id="4" xr3:uid="{8DC987E5-7EDA-444E-8653-BC208CE9DA98}" name="Số lượng mục tiêu" dataDxfId="138"/>
    <tableColumn id="5" xr3:uid="{0DE7B6C0-6272-4C44-A820-47B109AAF2DD}" name="Số lượng hiện tại" dataDxfId="137">
      <calculatedColumnFormula>IFERROR(
COUNTIFS(Table_NhanVien[[#This Row],[Bộ phận]],Table_CauTruc_ViTri[[#This Row],[Bộ phận]],Table_NhanVien[[#This Row],[Vị trí]],Table_CauTruc_ViTri[[#This Row],[Vị trí]]),0)</calculatedColumnFormula>
    </tableColumn>
    <tableColumn id="6" xr3:uid="{4EA7719B-CBE6-4F05-9433-6F66A26A7EF3}" name="Add" dataDxfId="136"/>
  </tableColumns>
  <tableStyleInfo name="TableStyleMedium3"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H23:AD29" totalsRowShown="0" headerRowDxfId="132" dataDxfId="131">
  <autoFilter ref="H23:AD29" xr:uid="{40AFBD15-C3DB-4B1A-A7ED-68DC4F48A342}"/>
  <tableColumns count="23">
    <tableColumn id="1" xr3:uid="{A47B5657-C017-4789-8658-5878F1E279FC}" name="Mã Tài sản" dataDxfId="130"/>
    <tableColumn id="12" xr3:uid="{6EEF3686-9329-4F08-B3CD-EA296F7F9C7B}" name="Tên tài sản" dataDxfId="129"/>
    <tableColumn id="2" xr3:uid="{4F42ED11-12D7-40D8-B475-C321101CBE70}" name="Chức năng" dataDxfId="128"/>
    <tableColumn id="18" xr3:uid="{7C7701C7-1751-4E95-9C28-B86A2A873F7A}" name="Phân loại" dataDxfId="127"/>
    <tableColumn id="16" xr3:uid="{1E1E7B91-780E-48E4-A150-E80FD4EECDAF}" name="Công suất" dataDxfId="126" dataCellStyle="Comma"/>
    <tableColumn id="17" xr3:uid="{CF466C8E-B41D-429E-BDA5-A572C444FD7B}" name="Đơn vị công suất" dataDxfId="125"/>
    <tableColumn id="7" xr3:uid="{EB0326DA-5004-47BD-903B-08B8745AEC52}" name="Giá trị sổ sách" dataDxfId="124" dataCellStyle="Comma"/>
    <tableColumn id="9" xr3:uid="{F17E30ED-4447-4BC1-AC59-9DECB27CE82F}" name="Ngày mua" dataDxfId="123"/>
    <tableColumn id="3" xr3:uid="{367D1F63-7B9D-4BD0-908B-ED95605B8762}" name="Năm khấu hao" dataDxfId="122" dataCellStyle="Comma"/>
    <tableColumn id="4" xr3:uid="{DAEEE6C4-A0AA-484E-B5B8-9797AC6DD237}" name="Tháng khấu hao" dataDxfId="121" dataCellStyle="Comma">
      <calculatedColumnFormula>Table_TSCD[[#This Row],[Năm khấu hao]]*12</calculatedColumnFormula>
    </tableColumn>
    <tableColumn id="5" xr3:uid="{07F00AC5-E602-4A83-B7F0-0D26923028DF}" name="Ngày vận hành" dataDxfId="120"/>
    <tableColumn id="10" xr3:uid="{0433B6A4-1457-4046-8C56-89725B66D191}" name="Ngày thanh lý" dataDxfId="119"/>
    <tableColumn id="6" xr3:uid="{16F64D22-997F-4AD6-BAD5-FC61B6F5356C}" name="Ngày kết thúc" dataDxfId="118">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17" dataCellStyle="Comma">
      <calculatedColumnFormula>IFERROR(
Table_TSCD[[#This Row],[Giá trị sổ sách]]/Table_TSCD[[#This Row],[Tháng khấu hao]],
0)</calculatedColumnFormula>
    </tableColumn>
    <tableColumn id="15" xr3:uid="{D7FCA084-26D7-43E9-AB01-6C08A1C39460}" name="Tình trạng VAT" dataDxfId="116"/>
    <tableColumn id="13" xr3:uid="{7E34F990-ADFE-456A-A4D5-00D9D0FBED1F}" name="Tỷ suất VAT" dataDxfId="115" dataCellStyle="Percent"/>
    <tableColumn id="14" xr3:uid="{596FA92E-DD2A-48BD-B8C1-3CEAB720BF6D}" name="VAT khấu trừ" dataDxfId="114" dataCellStyle="Comma">
      <calculatedColumnFormula>IFERROR(
IF(Table_TSCD[[#This Row],[Tình trạng VAT]] = "Chưa khấu trừ / bồi hoàn",
Table_TSCD[[#This Row],[Tỷ suất VAT]]*(Table_TSCD[[#This Row],[Giá trị sổ sách]]/(1+Table_TSCD[[#This Row],[Tỷ suất VAT]])),
0),0)</calculatedColumnFormula>
    </tableColumn>
    <tableColumn id="19" xr3:uid="{00065620-15B2-44BB-B27E-EA5A501A347B}" name="Số ngày vận hành" dataDxfId="113" dataCellStyle="Comma">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20" xr3:uid="{88D3743C-BC14-4DB3-8B23-AB45EE66ED62}" name="Khấu hao lũy kế theo ngày" dataDxfId="112" dataCellStyle="Comma">
      <calculatedColumnFormula>MIN(Table_TSCD[[#This Row],[Giá trị sổ sách]],Table_TSCD[[#This Row],[Giá trị sổ sách]]/(Table_TSCD[[#This Row],[Tháng khấu hao]]*365.25/12)*Table_TSCD[[#This Row],[Số ngày vận hành]])</calculatedColumnFormula>
    </tableColumn>
    <tableColumn id="21" xr3:uid="{FBE6E5BF-2ECD-4E12-9C56-8BC004D1129F}" name="Tỷ lệ khấu hao" dataDxfId="111" dataCellStyle="Percent">
      <calculatedColumnFormula>Table_TSCD[[#This Row],[Khấu hao lũy kế theo ngày]]/Table_TSCD[[#This Row],[Giá trị sổ sách]]</calculatedColumnFormula>
    </tableColumn>
    <tableColumn id="22" xr3:uid="{5B2AFBB9-6F62-4288-9CC5-CFDFEB00724B}" name="Giá trị còn lại" dataDxfId="110" dataCellStyle="Comma">
      <calculatedColumnFormula>Table_TSCD[[#This Row],[Giá trị sổ sách]]-Table_TSCD[[#This Row],[Khấu hao lũy kế theo ngày]]</calculatedColumnFormula>
    </tableColumn>
    <tableColumn id="23" xr3:uid="{B68CD42B-E757-4940-B628-028C623B9FF4}" name="Số ngày còn lại" dataDxfId="109" dataCellStyle="Comma">
      <calculatedColumnFormula>MAX(0,IF(ISBLANK(Table_TSCD[[#This Row],[Ngày vận hành]]),0,
IF(ISBLANK(Table_TSCD[[#This Row],[Ngày thanh lý]]),
Table_TSCD[[#This Row],[Ngày kết thúc]]-TODAY(),0
)))</calculatedColumnFormula>
    </tableColumn>
    <tableColumn id="11" xr3:uid="{617F9077-BD66-4A1B-976D-AB47BE35D003}" name="Add" dataDxfId="108"/>
  </tableColumns>
  <tableStyleInfo name="TableStyleMedium3"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98D07-B144-49DD-8ED6-30712C7785F9}" name="Table_NguyenLieu" displayName="Table_NguyenLieu" ref="C8:J10" totalsRowShown="0" headerRowDxfId="101" dataDxfId="99" headerRowBorderDxfId="100" tableBorderDxfId="98" totalsRowBorderDxfId="97">
  <autoFilter ref="C8:J10" xr:uid="{F9CDC939-2E96-4476-86E6-B56E18A675E8}"/>
  <tableColumns count="8">
    <tableColumn id="1" xr3:uid="{1B67AE99-FDAD-4835-9D4E-34EA44144EE0}" name="Mã Nguyên liệu" dataDxfId="96"/>
    <tableColumn id="2" xr3:uid="{3C30776B-A6FB-47C4-8E72-61682F243AD3}" name="Tên Nguyên liệu" dataDxfId="95"/>
    <tableColumn id="3" xr3:uid="{87313DE0-6E80-44F2-914E-50F319B39506}" name="Chức năng" dataDxfId="94"/>
    <tableColumn id="4" xr3:uid="{915AAD01-0CDD-4393-9B34-72D2B09711C7}" name="Đơn vị" dataDxfId="93"/>
    <tableColumn id="5" xr3:uid="{43F9A0B6-22CC-4BE8-94BC-83710307A141}" name="Tỷ suất VAT" dataDxfId="92"/>
    <tableColumn id="8" xr3:uid="{1E207E09-C9FA-4E1E-BBA2-DE7826E06361}" name="Hạn sử dụng" dataDxfId="91"/>
    <tableColumn id="6" xr3:uid="{CD709ECA-DA11-4A56-A7D0-4462FFBF48DD}" name="Tồn kho" dataDxfId="90" dataCellStyle="Comma">
      <calculatedColumnFormula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calculatedColumnFormula>
    </tableColumn>
    <tableColumn id="7" xr3:uid="{D12ADB4A-753F-4E3F-8360-988F7C70F7A1}" name="Add" dataDxfId="89"/>
  </tableColumns>
  <tableStyleInfo name="TableStyleMedium3"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D4D2D8-07A6-4019-B2DE-FD28C29C2B5F}" name="Table_ChuongTrinh" displayName="Table_ChuongTrinh" ref="B5:N6" totalsRowShown="0" headerRowDxfId="87" dataDxfId="86">
  <autoFilter ref="B5:N6" xr:uid="{89D4D2D8-07A6-4019-B2DE-FD28C29C2B5F}"/>
  <tableColumns count="13">
    <tableColumn id="1" xr3:uid="{C07B4D49-6C55-4384-8622-8E12E3545080}" name="Mã Chương trình" dataDxfId="85"/>
    <tableColumn id="10" xr3:uid="{C922E9CA-E240-489B-BF96-87E46297C0A4}" name="Đối tượng CK" dataDxfId="84"/>
    <tableColumn id="2" xr3:uid="{60DDFE69-7F8F-4970-9DF7-BBE4159ACE63}" name="Nội dung Chương trình" dataDxfId="83"/>
    <tableColumn id="3" xr3:uid="{6AD3BBB5-4931-4482-A0C5-69CCB2D21437}" name="Bắt đầu" dataDxfId="82"/>
    <tableColumn id="4" xr3:uid="{D841A234-B8B9-421B-BC2F-26B35AA9284D}" name="Kết thúc" dataDxfId="81"/>
    <tableColumn id="5" xr3:uid="{18734680-1290-4A36-81B4-E137009CFECE}" name="Tỷ lệ CK" dataDxfId="80"/>
    <tableColumn id="6" xr3:uid="{A4897EC7-31DE-4F08-8716-1B71CB19BB9C}" name="Giá trị CK" dataDxfId="79" dataCellStyle="Comma"/>
    <tableColumn id="8" xr3:uid="{A678DB58-0A2F-46DD-ADD2-53C6F78C9D5D}" name="Số lượng" dataDxfId="78" dataCellStyle="Comma"/>
    <tableColumn id="9" xr3:uid="{0B14159A-8061-4F3D-9C98-CC9169AF2819}" name="Giá trị tối thiểu" dataDxfId="77" dataCellStyle="Comma"/>
    <tableColumn id="14" xr3:uid="{02C28D48-ADA4-42D2-B1D6-6B3ECF7B9637}" name="Sinh nhật" dataDxfId="76" dataCellStyle="Comma"/>
    <tableColumn id="15" xr3:uid="{E08C58CE-C14D-4155-BD98-3405A6557F2C}" name="Ngày mua cuối" dataDxfId="75" dataCellStyle="Comma"/>
    <tableColumn id="7" xr3:uid="{2C3E4CBC-B39B-4DE4-8CC7-9D656A80807F}" name="Chi phí" dataDxfId="74" dataCellStyle="Comma"/>
    <tableColumn id="11" xr3:uid="{9F97954A-5E09-49C4-BF7A-3D47ED5D6855}" name="Add" dataDxfId="73"/>
  </tableColumns>
  <tableStyleInfo name="TableStyleMedium3"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FD265DA-C428-4BBF-9997-524EA24EACF2}" name="Table_HoaHong" displayName="Table_HoaHong" ref="B4:G5" insertRow="1" totalsRowShown="0" headerRowDxfId="71" dataDxfId="70">
  <autoFilter ref="B4:G5" xr:uid="{BFD265DA-C428-4BBF-9997-524EA24EACF2}"/>
  <tableColumns count="6">
    <tableColumn id="1" xr3:uid="{A976ACD2-663C-42B5-A29A-3F119C4BFAF8}" name="SKU" dataDxfId="69"/>
    <tableColumn id="2" xr3:uid="{7B693058-09CD-4FC7-82F6-C9C42132806D}" name="Đối tượng" dataDxfId="68"/>
    <tableColumn id="3" xr3:uid="{EA765741-F5DC-4846-BA61-71C5CC0C8E9D}" name="Mã Nhân viên" dataDxfId="67"/>
    <tableColumn id="4" xr3:uid="{6C52C6DF-D30B-490B-AE76-9A46BD269A4B}" name="Mã Kênh" dataDxfId="66"/>
    <tableColumn id="5" xr3:uid="{8CACF372-1843-432A-91FD-C2D566B04294}" name="Tỷ lệ" dataDxfId="65" dataCellStyle="Percent"/>
    <tableColumn id="6" xr3:uid="{7BF68F79-ABD2-4029-8EC0-27A97CFFE79A}" name="Add" dataDxfId="64"/>
  </tableColumns>
  <tableStyleInfo name="TableStyleMedium3"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5:E6" totalsRowShown="0" headerRowDxfId="62" dataDxfId="61">
  <autoFilter ref="B5:E6" xr:uid="{2C190213-2920-4301-9BD2-35D456F6F833}"/>
  <tableColumns count="4">
    <tableColumn id="1" xr3:uid="{48D2CC13-06FE-4B51-8CAD-C4F4EF85420A}" name="Mã Kênh" dataDxfId="60"/>
    <tableColumn id="2" xr3:uid="{FF2BFB4A-9E52-473D-B444-382777BA80E7}" name="Tên Kênh" dataDxfId="59"/>
    <tableColumn id="5" xr3:uid="{D22ACC48-099B-4D66-B1CD-75FB257CD025}" name="Nhóm Kênh" dataDxfId="58"/>
    <tableColumn id="4" xr3:uid="{1A6D0473-8727-4A96-823F-B0D1727EF43F}" name="Add" dataDxfId="57"/>
  </tableColumns>
  <tableStyleInfo name="TableStyleMedium3"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B4:H10" totalsRowShown="0" headerRowDxfId="55" dataDxfId="54">
  <autoFilter ref="B4:H10" xr:uid="{2A700966-B946-4558-BE22-99AF6B5C1F14}"/>
  <tableColumns count="7">
    <tableColumn id="1" xr3:uid="{6540178E-6A74-4E52-9659-A4417E2EEE4E}" name="Cấp khách hàng" dataDxfId="53"/>
    <tableColumn id="2" xr3:uid="{09519A03-DE47-49D1-A93A-D7D1B0D21CA7}" name="Doanh thu tối thiểu" dataDxfId="52" dataCellStyle="Comma"/>
    <tableColumn id="3" xr3:uid="{3D6F47F4-0B0E-46DC-994D-47D05A146FEB}" name="Doanh thu tối đa" dataDxfId="51" dataCellStyle="Comma"/>
    <tableColumn id="6" xr3:uid="{80CA5847-269C-4A48-832B-FA8EE738B896}" name="Tỷ lệ điểm thưởng" dataDxfId="50" dataCellStyle="Percent"/>
    <tableColumn id="4" xr3:uid="{ACB3DB24-CDD2-4384-8CDA-D6179B576C5B}" name="Điểm thưởng tối đa" dataDxfId="49"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48"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 id="5" xr3:uid="{E5320752-FB3D-4043-94B1-33FE3605375A}" name="Add" dataDxfId="47"/>
  </tableColumns>
  <tableStyleInfo name="TableStyleMedium3"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B5:K8" totalsRowShown="0" headerRowDxfId="44" dataDxfId="43">
  <autoFilter ref="B5:K8" xr:uid="{2EBADAAF-4973-4630-9BDB-5AF1B00AEAF7}"/>
  <tableColumns count="10">
    <tableColumn id="1" xr3:uid="{D1EE74C4-8BF8-4369-81F8-60D04CDD26D7}" name="Mã KH" dataDxfId="42"/>
    <tableColumn id="3" xr3:uid="{4E5DA2CF-550B-4BCB-8C7D-5456FFB6D93D}" name="Tên KH" dataDxfId="41"/>
    <tableColumn id="7" xr3:uid="{9AE8DD08-A2D5-4075-A123-CC5A43E448DA}" name="Phân khúc" dataDxfId="40"/>
    <tableColumn id="5" xr3:uid="{FD3B42F2-01B0-43C5-B7E1-FAE3A48CDD5B}" name="Mã số thuế" dataDxfId="39"/>
    <tableColumn id="4" xr3:uid="{0FDCF1F2-5A53-41D3-9656-BA5781D47D38}" name="SĐT" dataDxfId="38"/>
    <tableColumn id="2" xr3:uid="{71DC607F-1DB8-4928-BFA3-B3A477A5C8EB}" name="Địa chỉ" dataDxfId="37"/>
    <tableColumn id="9" xr3:uid="{2B15EAE2-A992-47F2-9D76-EDADC7F4C528}" name="Tỉnh" dataDxfId="36"/>
    <tableColumn id="11" xr3:uid="{3A0A7840-53D2-4736-8931-CCE981296A64}" name="Ngày sinh" dataDxfId="35"/>
    <tableColumn id="10" xr3:uid="{BDAAB05E-2D03-45A1-87CE-84E22A07FF75}" name="Dư nợ" dataDxfId="34" dataCellStyle="Comma">
      <calculatedColumnFormula>IFERROR(VLOOKUP(Table_KhachHang[[#This Row],[Mã KH]],Table_PhaiThu[#All],COUNTA(Table_PhaiThu[#Headers])-1,0),0)</calculatedColumnFormula>
    </tableColumn>
    <tableColumn id="6" xr3:uid="{410C20FD-44DC-4783-B04E-7EA1619304AD}" name="Add" dataDxfId="33"/>
  </tableColumns>
  <tableStyleInfo name="TableStyleMedium3"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B10:N13" totalsRowShown="0" headerRowDxfId="31" dataDxfId="30">
  <autoFilter ref="B10:N13" xr:uid="{344C42FF-9F83-4C27-9362-4B542233AFFC}"/>
  <tableColumns count="13">
    <tableColumn id="4" xr3:uid="{A409BE9F-5728-4D17-9C85-BFF1265CFA01}" name="Nhóm 1" dataDxfId="29"/>
    <tableColumn id="5" xr3:uid="{59983357-4AD1-477D-929B-70FB8B218B82}" name="Nhóm 2" dataDxfId="28"/>
    <tableColumn id="6" xr3:uid="{1C63F242-181A-4DEE-AFFC-B73E5DE6B2E1}" name="Nhóm 3" dataDxfId="27"/>
    <tableColumn id="9" xr3:uid="{700A3E70-071E-4497-86DA-202F9E185FC6}" name="Thêm nhóm" dataDxfId="26"/>
    <tableColumn id="10" xr3:uid="{9C5F1942-B834-40C0-9E5C-195AF99EA79F}" name="Loại hình" dataDxfId="25"/>
    <tableColumn id="1" xr3:uid="{496E3AD4-7DAC-4CCC-AB6A-6EB5FC0738A9}" name="Mã SKU" dataDxfId="24"/>
    <tableColumn id="2" xr3:uid="{4C8BC40C-89DE-4EC2-B538-4A541070024B}" name="Mô tả" dataDxfId="23"/>
    <tableColumn id="12" xr3:uid="{D788A326-DDE4-47B7-84D0-16FE8BF48AD2}" name="Đơn vị" dataDxfId="22"/>
    <tableColumn id="3" xr3:uid="{1F6E4874-BC3B-4258-B78D-0142F78D11A5}" name="Giá bán" dataDxfId="21" dataCellStyle="Comma"/>
    <tableColumn id="7" xr3:uid="{2DA989F2-DDCC-4442-B0A9-99F018650A96}" name="Tỷ suất VAT" dataDxfId="20"/>
    <tableColumn id="8" xr3:uid="{3F835F55-98EF-4782-8BE7-56C50CD60116}" name="Hạn sử dụng" dataDxfId="19"/>
    <tableColumn id="11" xr3:uid="{C52ACE3B-0C0D-4F77-8C37-C973D98837A0}" name="Tồn kho" dataDxfId="18" dataCellStyle="Comma">
      <calculatedColumnFormula xml:space="preserve">
+IFERROR(SUM(_xlfn._xlws.FILTER(Table_Main[Số lượng],
(Table_Main[Mã SKU]=Table_SKU[[#This Row],[Mã SKU]])*
(Table_Main[Loại] = "Nhập")
)),0)
-IFERROR(SUM(_xlfn._xlws.FILTER(Table_Main[Số lượng],
(Table_Main[Mã SKU]=Table_SKU[[#This Row],[Mã SKU]])*
(Table_Main[Loại] = "Xuất")
)),0)</calculatedColumnFormula>
    </tableColumn>
    <tableColumn id="24" xr3:uid="{8D9AC353-2451-42A1-B8BC-FFF6B9DAE244}" name="Add" dataDxfId="17"/>
  </tableColumns>
  <tableStyleInfo name="TableStyleMedium3"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A7877C-ED73-405D-A4DE-C3E9E2386DD7}" name="Table_SKU_PhanNhom" displayName="Table_SKU_PhanNhom" ref="B3:E5" totalsRowShown="0" headerRowDxfId="16" dataDxfId="15" tableBorderDxfId="14">
  <autoFilter ref="B3:E5" xr:uid="{91A7877C-ED73-405D-A4DE-C3E9E2386DD7}"/>
  <tableColumns count="4">
    <tableColumn id="1" xr3:uid="{29D45E7A-1109-49A1-AE99-A8ECCF501146}" name="Nhóm 1" dataDxfId="13"/>
    <tableColumn id="2" xr3:uid="{B8CAB449-11C9-4EE4-83BD-FC87D759A448}" name="Nhóm 2" dataDxfId="12"/>
    <tableColumn id="3" xr3:uid="{1691829F-6B50-473C-9869-2235C66679BD}" name="Nhóm 3" dataDxfId="11"/>
    <tableColumn id="4" xr3:uid="{1ED246E4-71EB-4DE2-9EA2-6F56FFA5AE89}" name="Thêm" dataDxfId="10"/>
  </tableColumns>
  <tableStyleInfo name="TableStyleMedium3"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01EEF4A-E49F-4684-9983-3493471F48BE}" name="Table_Kho" displayName="Table_Kho" ref="B3:F4" totalsRowShown="0" headerRowDxfId="7" dataDxfId="5" headerRowBorderDxfId="6">
  <autoFilter ref="B3:F4" xr:uid="{101EEF4A-E49F-4684-9983-3493471F48BE}"/>
  <tableColumns count="5">
    <tableColumn id="1" xr3:uid="{B2C99BE9-1CD7-44CE-900C-44FB90B20E86}" name="Mã Kho" dataDxfId="4"/>
    <tableColumn id="2" xr3:uid="{D9529A20-131C-486A-9F9A-D947B49C5E4C}" name="Tên Kho" dataDxfId="3"/>
    <tableColumn id="4" xr3:uid="{35B84542-4832-4E73-BE31-EDA5EB7E3E71}" name="SĐT" dataDxfId="2"/>
    <tableColumn id="5" xr3:uid="{B07E8F17-19C8-4C3A-9E61-874AA256432F}" name="Địa điểm" dataDxfId="1"/>
    <tableColumn id="3" xr3:uid="{F18266A8-5538-4319-9D81-B0BB7344F53A}"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drive.google.com/drive/folders/1nMNkaAGU79v1TojCvB5Odmb0cysjzetM?usp=drive_lin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microsoft.com/office/2011/relationships/timeline" Target="../timelines/timeline1.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table" Target="../tables/table5.xml"/><Relationship Id="rId12"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11" Type="http://schemas.microsoft.com/office/2007/relationships/slicer" Target="../slicers/slicer1.xml"/><Relationship Id="rId5" Type="http://schemas.openxmlformats.org/officeDocument/2006/relationships/ctrlProp" Target="../ctrlProps/ctrlProp12.xml"/><Relationship Id="rId10" Type="http://schemas.openxmlformats.org/officeDocument/2006/relationships/table" Target="../tables/table8.xml"/><Relationship Id="rId4" Type="http://schemas.openxmlformats.org/officeDocument/2006/relationships/ctrlProp" Target="../ctrlProps/ctrlProp11.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5.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9.xml"/><Relationship Id="rId11" Type="http://schemas.microsoft.com/office/2011/relationships/timeline" Target="../timelines/timeline3.xml"/><Relationship Id="rId5" Type="http://schemas.openxmlformats.org/officeDocument/2006/relationships/ctrlProp" Target="../ctrlProps/ctrlProp15.xml"/><Relationship Id="rId10" Type="http://schemas.microsoft.com/office/2007/relationships/slicer" Target="../slicers/slicer2.xml"/><Relationship Id="rId4" Type="http://schemas.openxmlformats.org/officeDocument/2006/relationships/ctrlProp" Target="../ctrlProps/ctrlProp14.xml"/><Relationship Id="rId9"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6" Type="http://schemas.microsoft.com/office/2011/relationships/timeline" Target="../timelines/timeline4.xml"/><Relationship Id="rId5" Type="http://schemas.openxmlformats.org/officeDocument/2006/relationships/table" Target="../tables/table16.xml"/><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11/relationships/timeline" Target="../timelines/timeline5.xml"/><Relationship Id="rId5" Type="http://schemas.openxmlformats.org/officeDocument/2006/relationships/table" Target="../tables/table19.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table" Target="../tables/table35.xml"/><Relationship Id="rId89" Type="http://schemas.openxmlformats.org/officeDocument/2006/relationships/table" Target="../tables/table40.xml"/><Relationship Id="rId16" Type="http://schemas.openxmlformats.org/officeDocument/2006/relationships/ctrlProp" Target="../ctrlProps/ctrlProp28.xml"/><Relationship Id="rId11" Type="http://schemas.openxmlformats.org/officeDocument/2006/relationships/ctrlProp" Target="../ctrlProps/ctrlProp23.xml"/><Relationship Id="rId32" Type="http://schemas.openxmlformats.org/officeDocument/2006/relationships/ctrlProp" Target="../ctrlProps/ctrlProp44.xml"/><Relationship Id="rId37" Type="http://schemas.openxmlformats.org/officeDocument/2006/relationships/ctrlProp" Target="../ctrlProps/ctrlProp49.xml"/><Relationship Id="rId53" Type="http://schemas.openxmlformats.org/officeDocument/2006/relationships/ctrlProp" Target="../ctrlProps/ctrlProp65.xml"/><Relationship Id="rId58" Type="http://schemas.openxmlformats.org/officeDocument/2006/relationships/ctrlProp" Target="../ctrlProps/ctrlProp70.xml"/><Relationship Id="rId74" Type="http://schemas.openxmlformats.org/officeDocument/2006/relationships/table" Target="../tables/table25.xml"/><Relationship Id="rId79" Type="http://schemas.openxmlformats.org/officeDocument/2006/relationships/table" Target="../tables/table30.xml"/><Relationship Id="rId102" Type="http://schemas.openxmlformats.org/officeDocument/2006/relationships/table" Target="../tables/table53.xml"/><Relationship Id="rId5" Type="http://schemas.openxmlformats.org/officeDocument/2006/relationships/ctrlProp" Target="../ctrlProps/ctrlProp17.xml"/><Relationship Id="rId90" Type="http://schemas.openxmlformats.org/officeDocument/2006/relationships/table" Target="../tables/table41.xml"/><Relationship Id="rId95" Type="http://schemas.openxmlformats.org/officeDocument/2006/relationships/table" Target="../tables/table46.xml"/><Relationship Id="rId22" Type="http://schemas.openxmlformats.org/officeDocument/2006/relationships/ctrlProp" Target="../ctrlProps/ctrlProp34.xml"/><Relationship Id="rId27" Type="http://schemas.openxmlformats.org/officeDocument/2006/relationships/ctrlProp" Target="../ctrlProps/ctrlProp39.xml"/><Relationship Id="rId43" Type="http://schemas.openxmlformats.org/officeDocument/2006/relationships/ctrlProp" Target="../ctrlProps/ctrlProp55.xml"/><Relationship Id="rId48" Type="http://schemas.openxmlformats.org/officeDocument/2006/relationships/ctrlProp" Target="../ctrlProps/ctrlProp60.xml"/><Relationship Id="rId64" Type="http://schemas.openxmlformats.org/officeDocument/2006/relationships/ctrlProp" Target="../ctrlProps/ctrlProp76.xml"/><Relationship Id="rId69" Type="http://schemas.openxmlformats.org/officeDocument/2006/relationships/table" Target="../tables/table20.xml"/><Relationship Id="rId80" Type="http://schemas.openxmlformats.org/officeDocument/2006/relationships/table" Target="../tables/table31.xml"/><Relationship Id="rId85" Type="http://schemas.openxmlformats.org/officeDocument/2006/relationships/table" Target="../tables/table36.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table" Target="../tables/table21.xml"/><Relationship Id="rId75" Type="http://schemas.openxmlformats.org/officeDocument/2006/relationships/table" Target="../tables/table26.xml"/><Relationship Id="rId83" Type="http://schemas.openxmlformats.org/officeDocument/2006/relationships/table" Target="../tables/table34.xml"/><Relationship Id="rId88" Type="http://schemas.openxmlformats.org/officeDocument/2006/relationships/table" Target="../tables/table39.xml"/><Relationship Id="rId91" Type="http://schemas.openxmlformats.org/officeDocument/2006/relationships/table" Target="../tables/table42.xml"/><Relationship Id="rId96" Type="http://schemas.openxmlformats.org/officeDocument/2006/relationships/table" Target="../tables/table4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table" Target="../tables/table24.xml"/><Relationship Id="rId78" Type="http://schemas.openxmlformats.org/officeDocument/2006/relationships/table" Target="../tables/table29.xml"/><Relationship Id="rId81" Type="http://schemas.openxmlformats.org/officeDocument/2006/relationships/table" Target="../tables/table32.xml"/><Relationship Id="rId86" Type="http://schemas.openxmlformats.org/officeDocument/2006/relationships/table" Target="../tables/table37.xml"/><Relationship Id="rId94" Type="http://schemas.openxmlformats.org/officeDocument/2006/relationships/table" Target="../tables/table45.xml"/><Relationship Id="rId99" Type="http://schemas.openxmlformats.org/officeDocument/2006/relationships/table" Target="../tables/table50.xml"/><Relationship Id="rId101" Type="http://schemas.openxmlformats.org/officeDocument/2006/relationships/table" Target="../tables/table52.xml"/><Relationship Id="rId4" Type="http://schemas.openxmlformats.org/officeDocument/2006/relationships/ctrlProp" Target="../ctrlProps/ctrlProp16.x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table" Target="../tables/table27.xml"/><Relationship Id="rId97" Type="http://schemas.openxmlformats.org/officeDocument/2006/relationships/table" Target="../tables/table48.xml"/><Relationship Id="rId7" Type="http://schemas.openxmlformats.org/officeDocument/2006/relationships/ctrlProp" Target="../ctrlProps/ctrlProp19.xml"/><Relationship Id="rId71" Type="http://schemas.openxmlformats.org/officeDocument/2006/relationships/table" Target="../tables/table22.xml"/><Relationship Id="rId92" Type="http://schemas.openxmlformats.org/officeDocument/2006/relationships/table" Target="../tables/table43.xml"/><Relationship Id="rId2" Type="http://schemas.openxmlformats.org/officeDocument/2006/relationships/drawing" Target="../drawings/drawing9.xml"/><Relationship Id="rId29" Type="http://schemas.openxmlformats.org/officeDocument/2006/relationships/ctrlProp" Target="../ctrlProps/ctrlProp41.xml"/><Relationship Id="rId24" Type="http://schemas.openxmlformats.org/officeDocument/2006/relationships/ctrlProp" Target="../ctrlProps/ctrlProp36.xml"/><Relationship Id="rId40" Type="http://schemas.openxmlformats.org/officeDocument/2006/relationships/ctrlProp" Target="../ctrlProps/ctrlProp52.xml"/><Relationship Id="rId45" Type="http://schemas.openxmlformats.org/officeDocument/2006/relationships/ctrlProp" Target="../ctrlProps/ctrlProp57.xml"/><Relationship Id="rId66" Type="http://schemas.openxmlformats.org/officeDocument/2006/relationships/ctrlProp" Target="../ctrlProps/ctrlProp78.xml"/><Relationship Id="rId87" Type="http://schemas.openxmlformats.org/officeDocument/2006/relationships/table" Target="../tables/table38.xml"/><Relationship Id="rId61" Type="http://schemas.openxmlformats.org/officeDocument/2006/relationships/ctrlProp" Target="../ctrlProps/ctrlProp73.xml"/><Relationship Id="rId82" Type="http://schemas.openxmlformats.org/officeDocument/2006/relationships/table" Target="../tables/table33.xml"/><Relationship Id="rId19" Type="http://schemas.openxmlformats.org/officeDocument/2006/relationships/ctrlProp" Target="../ctrlProps/ctrlProp31.xml"/><Relationship Id="rId14" Type="http://schemas.openxmlformats.org/officeDocument/2006/relationships/ctrlProp" Target="../ctrlProps/ctrlProp26.xml"/><Relationship Id="rId30" Type="http://schemas.openxmlformats.org/officeDocument/2006/relationships/ctrlProp" Target="../ctrlProps/ctrlProp42.xml"/><Relationship Id="rId35" Type="http://schemas.openxmlformats.org/officeDocument/2006/relationships/ctrlProp" Target="../ctrlProps/ctrlProp47.xml"/><Relationship Id="rId56" Type="http://schemas.openxmlformats.org/officeDocument/2006/relationships/ctrlProp" Target="../ctrlProps/ctrlProp68.xml"/><Relationship Id="rId77" Type="http://schemas.openxmlformats.org/officeDocument/2006/relationships/table" Target="../tables/table28.xml"/><Relationship Id="rId100" Type="http://schemas.openxmlformats.org/officeDocument/2006/relationships/table" Target="../tables/table51.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table" Target="../tables/table23.xml"/><Relationship Id="rId93" Type="http://schemas.openxmlformats.org/officeDocument/2006/relationships/table" Target="../tables/table44.xml"/><Relationship Id="rId98" Type="http://schemas.openxmlformats.org/officeDocument/2006/relationships/table" Target="../tables/table49.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table" Target="../tables/table55.xml"/><Relationship Id="rId3" Type="http://schemas.openxmlformats.org/officeDocument/2006/relationships/ctrlProp" Target="../ctrlProps/ctrlProp81.xml"/><Relationship Id="rId7" Type="http://schemas.openxmlformats.org/officeDocument/2006/relationships/ctrlProp" Target="../ctrlProps/ctrlProp85.xml"/><Relationship Id="rId12" Type="http://schemas.openxmlformats.org/officeDocument/2006/relationships/table" Target="../tables/table5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table" Target="../tables/table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18" Type="http://schemas.openxmlformats.org/officeDocument/2006/relationships/table" Target="../tables/table58.xml"/><Relationship Id="rId3" Type="http://schemas.openxmlformats.org/officeDocument/2006/relationships/vmlDrawing" Target="../drawings/vmlDrawing8.v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table" Target="../tables/table57.xml"/><Relationship Id="rId2" Type="http://schemas.openxmlformats.org/officeDocument/2006/relationships/drawing" Target="../drawings/drawing11.xml"/><Relationship Id="rId16" Type="http://schemas.openxmlformats.org/officeDocument/2006/relationships/ctrlProp" Target="../ctrlProps/ctrlProp102.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trlProp" Target="../ctrlProps/ctrlProp101.xml"/><Relationship Id="rId10" Type="http://schemas.openxmlformats.org/officeDocument/2006/relationships/ctrlProp" Target="../ctrlProps/ctrlProp96.xml"/><Relationship Id="rId19" Type="http://schemas.openxmlformats.org/officeDocument/2006/relationships/table" Target="../tables/table59.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table" Target="../tables/table63.xml"/><Relationship Id="rId3" Type="http://schemas.openxmlformats.org/officeDocument/2006/relationships/drawing" Target="../drawings/drawing12.x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table" Target="../tables/table62.xml"/><Relationship Id="rId2" Type="http://schemas.openxmlformats.org/officeDocument/2006/relationships/printerSettings" Target="../printerSettings/printerSettings9.bin"/><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ivotTable" Target="../pivotTables/pivotTable7.xml"/><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table" Target="../tables/table61.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table" Target="../tables/table60.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vmlDrawing" Target="../drawings/vmlDrawing9.v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0.v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table" Target="../tables/table64.xml"/><Relationship Id="rId2" Type="http://schemas.openxmlformats.org/officeDocument/2006/relationships/drawing" Target="../drawings/drawing13.xml"/><Relationship Id="rId16"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trlProp" Target="../ctrlProps/ctrlProp132.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vmlDrawing" Target="../drawings/vmlDrawing11.vml"/><Relationship Id="rId7" Type="http://schemas.openxmlformats.org/officeDocument/2006/relationships/ctrlProp" Target="../ctrlProps/ctrlProp137.xml"/><Relationship Id="rId12" Type="http://schemas.openxmlformats.org/officeDocument/2006/relationships/ctrlProp" Target="../ctrlProps/ctrlProp142.xml"/><Relationship Id="rId17" Type="http://schemas.openxmlformats.org/officeDocument/2006/relationships/table" Target="../tables/table65.xml"/><Relationship Id="rId2" Type="http://schemas.openxmlformats.org/officeDocument/2006/relationships/drawing" Target="../drawings/drawing14.xml"/><Relationship Id="rId16" Type="http://schemas.openxmlformats.org/officeDocument/2006/relationships/ctrlProp" Target="../ctrlProps/ctrlProp146.xml"/><Relationship Id="rId1" Type="http://schemas.openxmlformats.org/officeDocument/2006/relationships/printerSettings" Target="../printerSettings/printerSettings11.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trlProp" Target="../ctrlProps/ctrlProp14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table" Target="../tables/table66.xml"/><Relationship Id="rId3" Type="http://schemas.openxmlformats.org/officeDocument/2006/relationships/vmlDrawing" Target="../drawings/vmlDrawing12.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5.xml"/><Relationship Id="rId16" Type="http://schemas.openxmlformats.org/officeDocument/2006/relationships/ctrlProp" Target="../ctrlProps/ctrlProp159.xml"/><Relationship Id="rId1" Type="http://schemas.openxmlformats.org/officeDocument/2006/relationships/pivotTable" Target="../pivotTables/pivotTable8.xml"/><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table" Target="../tables/table68.xml"/><Relationship Id="rId3" Type="http://schemas.openxmlformats.org/officeDocument/2006/relationships/pivotTable" Target="../pivotTables/pivotTable11.x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table" Target="../tables/table67.xml"/><Relationship Id="rId2" Type="http://schemas.openxmlformats.org/officeDocument/2006/relationships/pivotTable" Target="../pivotTables/pivotTable10.xml"/><Relationship Id="rId16" Type="http://schemas.openxmlformats.org/officeDocument/2006/relationships/ctrlProp" Target="../ctrlProps/ctrlProp170.xml"/><Relationship Id="rId20" Type="http://schemas.openxmlformats.org/officeDocument/2006/relationships/ctrlProp" Target="../ctrlProps/ctrlProp174.xml"/><Relationship Id="rId1" Type="http://schemas.openxmlformats.org/officeDocument/2006/relationships/pivotTable" Target="../pivotTables/pivotTable9.xml"/><Relationship Id="rId6" Type="http://schemas.openxmlformats.org/officeDocument/2006/relationships/vmlDrawing" Target="../drawings/vmlDrawing13.v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drawing" Target="../drawings/drawing16.xml"/><Relationship Id="rId15" Type="http://schemas.openxmlformats.org/officeDocument/2006/relationships/ctrlProp" Target="../ctrlProps/ctrlProp169.xml"/><Relationship Id="rId23" Type="http://schemas.openxmlformats.org/officeDocument/2006/relationships/ctrlProp" Target="../ctrlProps/ctrlProp177.xml"/><Relationship Id="rId10" Type="http://schemas.openxmlformats.org/officeDocument/2006/relationships/ctrlProp" Target="../ctrlProps/ctrlProp164.xml"/><Relationship Id="rId19" Type="http://schemas.openxmlformats.org/officeDocument/2006/relationships/ctrlProp" Target="../ctrlProps/ctrlProp173.xml"/><Relationship Id="rId4" Type="http://schemas.openxmlformats.org/officeDocument/2006/relationships/pivotTable" Target="../pivotTables/pivotTable12.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table" Target="../tables/table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0.xml"/><Relationship Id="rId13" Type="http://schemas.microsoft.com/office/2011/relationships/timeline" Target="../timelines/timeline6.xml"/><Relationship Id="rId3" Type="http://schemas.openxmlformats.org/officeDocument/2006/relationships/pivotTable" Target="../pivotTables/pivotTable15.xml"/><Relationship Id="rId7" Type="http://schemas.openxmlformats.org/officeDocument/2006/relationships/ctrlProp" Target="../ctrlProps/ctrlProp179.xml"/><Relationship Id="rId12" Type="http://schemas.openxmlformats.org/officeDocument/2006/relationships/table" Target="../tables/table7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14.vml"/><Relationship Id="rId11" Type="http://schemas.openxmlformats.org/officeDocument/2006/relationships/ctrlProp" Target="../ctrlProps/ctrlProp183.xml"/><Relationship Id="rId5" Type="http://schemas.openxmlformats.org/officeDocument/2006/relationships/drawing" Target="../drawings/drawing17.xml"/><Relationship Id="rId10" Type="http://schemas.openxmlformats.org/officeDocument/2006/relationships/ctrlProp" Target="../ctrlProps/ctrlProp182.xml"/><Relationship Id="rId4" Type="http://schemas.openxmlformats.org/officeDocument/2006/relationships/pivotTable" Target="../pivotTables/pivotTable16.xml"/><Relationship Id="rId9" Type="http://schemas.openxmlformats.org/officeDocument/2006/relationships/ctrlProp" Target="../ctrlProps/ctrlProp18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table" Target="../tables/table71.xml"/><Relationship Id="rId3" Type="http://schemas.openxmlformats.org/officeDocument/2006/relationships/vmlDrawing" Target="../drawings/vmlDrawing15.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8.xml"/><Relationship Id="rId16" Type="http://schemas.openxmlformats.org/officeDocument/2006/relationships/ctrlProp" Target="../ctrlProps/ctrlProp196.xml"/><Relationship Id="rId1" Type="http://schemas.openxmlformats.org/officeDocument/2006/relationships/pivotTable" Target="../pivotTables/pivotTable17.xml"/><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table" Target="../tables/table72.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pivotTable" Target="../pivotTables/pivotTable20.xml"/><Relationship Id="rId21" Type="http://schemas.openxmlformats.org/officeDocument/2006/relationships/ctrlProp" Target="../ctrlProps/ctrlProp211.xml"/><Relationship Id="rId7" Type="http://schemas.openxmlformats.org/officeDocument/2006/relationships/vmlDrawing" Target="../drawings/vmlDrawing16.v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pivotTable" Target="../pivotTables/pivotTable19.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ivotTable" Target="../pivotTables/pivotTable18.xml"/><Relationship Id="rId6" Type="http://schemas.openxmlformats.org/officeDocument/2006/relationships/drawing" Target="../drawings/drawing19.xml"/><Relationship Id="rId11" Type="http://schemas.openxmlformats.org/officeDocument/2006/relationships/ctrlProp" Target="../ctrlProps/ctrlProp201.xml"/><Relationship Id="rId5" Type="http://schemas.openxmlformats.org/officeDocument/2006/relationships/printerSettings" Target="../printerSettings/printerSettings12.bin"/><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pivotTable" Target="../pivotTables/pivotTable21.xml"/><Relationship Id="rId9" Type="http://schemas.openxmlformats.org/officeDocument/2006/relationships/ctrlProp" Target="../ctrlProps/ctrlProp199.xml"/><Relationship Id="rId14" Type="http://schemas.openxmlformats.org/officeDocument/2006/relationships/ctrlProp" Target="../ctrlProps/ctrlProp204.xml"/><Relationship Id="rId22" Type="http://schemas.openxmlformats.org/officeDocument/2006/relationships/table" Target="../tables/table7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table" Target="../tables/table74.xml"/><Relationship Id="rId3" Type="http://schemas.openxmlformats.org/officeDocument/2006/relationships/vmlDrawing" Target="../drawings/vmlDrawing17.v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drawing" Target="../drawings/drawing20.xml"/><Relationship Id="rId16" Type="http://schemas.openxmlformats.org/officeDocument/2006/relationships/ctrlProp" Target="../ctrlProps/ctrlProp224.xml"/><Relationship Id="rId1" Type="http://schemas.openxmlformats.org/officeDocument/2006/relationships/printerSettings" Target="../printerSettings/printerSettings13.bin"/><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table" Target="../tables/table78.xml"/><Relationship Id="rId3" Type="http://schemas.openxmlformats.org/officeDocument/2006/relationships/ctrlProp" Target="../ctrlProps/ctrlProp226.xml"/><Relationship Id="rId21" Type="http://schemas.openxmlformats.org/officeDocument/2006/relationships/ctrlProp" Target="../ctrlProps/ctrlProp244.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table" Target="../tables/table77.xml"/><Relationship Id="rId2" Type="http://schemas.openxmlformats.org/officeDocument/2006/relationships/vmlDrawing" Target="../drawings/vmlDrawing18.vml"/><Relationship Id="rId16" Type="http://schemas.openxmlformats.org/officeDocument/2006/relationships/ctrlProp" Target="../ctrlProps/ctrlProp239.xml"/><Relationship Id="rId20" Type="http://schemas.openxmlformats.org/officeDocument/2006/relationships/ctrlProp" Target="../ctrlProps/ctrlProp243.xml"/><Relationship Id="rId1" Type="http://schemas.openxmlformats.org/officeDocument/2006/relationships/drawing" Target="../drawings/drawing21.xml"/><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table" Target="../tables/table76.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table" Target="../tables/table75.xml"/><Relationship Id="rId28" Type="http://schemas.openxmlformats.org/officeDocument/2006/relationships/table" Target="../tables/table80.xml"/><Relationship Id="rId10" Type="http://schemas.openxmlformats.org/officeDocument/2006/relationships/ctrlProp" Target="../ctrlProps/ctrlProp233.xml"/><Relationship Id="rId19" Type="http://schemas.openxmlformats.org/officeDocument/2006/relationships/ctrlProp" Target="../ctrlProps/ctrlProp242.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table" Target="../tables/table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1.xml"/><Relationship Id="rId13" Type="http://schemas.openxmlformats.org/officeDocument/2006/relationships/ctrlProp" Target="../ctrlProps/ctrlProp256.xml"/><Relationship Id="rId18" Type="http://schemas.openxmlformats.org/officeDocument/2006/relationships/ctrlProp" Target="../ctrlProps/ctrlProp261.xml"/><Relationship Id="rId3" Type="http://schemas.openxmlformats.org/officeDocument/2006/relationships/ctrlProp" Target="../ctrlProps/ctrlProp246.xml"/><Relationship Id="rId21" Type="http://schemas.openxmlformats.org/officeDocument/2006/relationships/table" Target="../tables/table81.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 Type="http://schemas.openxmlformats.org/officeDocument/2006/relationships/vmlDrawing" Target="../drawings/vmlDrawing19.vml"/><Relationship Id="rId16" Type="http://schemas.openxmlformats.org/officeDocument/2006/relationships/ctrlProp" Target="../ctrlProps/ctrlProp259.xml"/><Relationship Id="rId20" Type="http://schemas.openxmlformats.org/officeDocument/2006/relationships/ctrlProp" Target="../ctrlProps/ctrlProp263.xml"/><Relationship Id="rId1" Type="http://schemas.openxmlformats.org/officeDocument/2006/relationships/drawing" Target="../drawings/drawing22.xml"/><Relationship Id="rId6" Type="http://schemas.openxmlformats.org/officeDocument/2006/relationships/ctrlProp" Target="../ctrlProps/ctrlProp249.xml"/><Relationship Id="rId11" Type="http://schemas.openxmlformats.org/officeDocument/2006/relationships/ctrlProp" Target="../ctrlProps/ctrlProp254.xml"/><Relationship Id="rId5" Type="http://schemas.openxmlformats.org/officeDocument/2006/relationships/ctrlProp" Target="../ctrlProps/ctrlProp248.xml"/><Relationship Id="rId15" Type="http://schemas.openxmlformats.org/officeDocument/2006/relationships/ctrlProp" Target="../ctrlProps/ctrlProp258.xml"/><Relationship Id="rId10" Type="http://schemas.openxmlformats.org/officeDocument/2006/relationships/ctrlProp" Target="../ctrlProps/ctrlProp253.xml"/><Relationship Id="rId19" Type="http://schemas.openxmlformats.org/officeDocument/2006/relationships/ctrlProp" Target="../ctrlProps/ctrlProp262.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table" Target="../tables/table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table" Target="../tables/table83.xml"/><Relationship Id="rId3" Type="http://schemas.openxmlformats.org/officeDocument/2006/relationships/vmlDrawing" Target="../drawings/vmlDrawing20.v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 Type="http://schemas.openxmlformats.org/officeDocument/2006/relationships/drawing" Target="../drawings/drawing23.xml"/><Relationship Id="rId16" Type="http://schemas.openxmlformats.org/officeDocument/2006/relationships/ctrlProp" Target="../ctrlProps/ctrlProp276.xml"/><Relationship Id="rId1" Type="http://schemas.openxmlformats.org/officeDocument/2006/relationships/pivotTable" Target="../pivotTables/pivotTable22.xml"/><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5" Type="http://schemas.openxmlformats.org/officeDocument/2006/relationships/ctrlProp" Target="../ctrlProps/ctrlProp27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18" Type="http://schemas.openxmlformats.org/officeDocument/2006/relationships/table" Target="../tables/table85.xml"/><Relationship Id="rId3" Type="http://schemas.openxmlformats.org/officeDocument/2006/relationships/vmlDrawing" Target="../drawings/vmlDrawing21.vml"/><Relationship Id="rId7" Type="http://schemas.openxmlformats.org/officeDocument/2006/relationships/ctrlProp" Target="../ctrlProps/ctrlProp281.xml"/><Relationship Id="rId12" Type="http://schemas.openxmlformats.org/officeDocument/2006/relationships/ctrlProp" Target="../ctrlProps/ctrlProp286.xml"/><Relationship Id="rId17" Type="http://schemas.openxmlformats.org/officeDocument/2006/relationships/table" Target="../tables/table84.xml"/><Relationship Id="rId2" Type="http://schemas.openxmlformats.org/officeDocument/2006/relationships/drawing" Target="../drawings/drawing24.xml"/><Relationship Id="rId16"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80.xml"/><Relationship Id="rId11" Type="http://schemas.openxmlformats.org/officeDocument/2006/relationships/ctrlProp" Target="../ctrlProps/ctrlProp285.xml"/><Relationship Id="rId5" Type="http://schemas.openxmlformats.org/officeDocument/2006/relationships/ctrlProp" Target="../ctrlProps/ctrlProp279.xml"/><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ctrlProp" Target="../ctrlProps/ctrlProp278.xm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drawing" Target="../drawings/drawing25.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pivotTable" Target="../pivotTables/pivotTable24.xml"/><Relationship Id="rId16" Type="http://schemas.openxmlformats.org/officeDocument/2006/relationships/ctrlProp" Target="../ctrlProps/ctrlProp302.xml"/><Relationship Id="rId1" Type="http://schemas.openxmlformats.org/officeDocument/2006/relationships/pivotTable" Target="../pivotTables/pivotTable23.xm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table" Target="../tables/table86.xml"/><Relationship Id="rId4" Type="http://schemas.openxmlformats.org/officeDocument/2006/relationships/vmlDrawing" Target="../drawings/vmlDrawing22.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3" Type="http://schemas.openxmlformats.org/officeDocument/2006/relationships/ctrlProp" Target="../ctrlProps/ctrlProp305.xml"/><Relationship Id="rId7" Type="http://schemas.openxmlformats.org/officeDocument/2006/relationships/ctrlProp" Target="../ctrlProps/ctrlProp309.xml"/><Relationship Id="rId12" Type="http://schemas.openxmlformats.org/officeDocument/2006/relationships/ctrlProp" Target="../ctrlProps/ctrlProp314.xml"/><Relationship Id="rId2" Type="http://schemas.openxmlformats.org/officeDocument/2006/relationships/vmlDrawing" Target="../drawings/vmlDrawing23.vml"/><Relationship Id="rId16" Type="http://schemas.openxmlformats.org/officeDocument/2006/relationships/table" Target="../tables/table87.xml"/><Relationship Id="rId1" Type="http://schemas.openxmlformats.org/officeDocument/2006/relationships/drawing" Target="../drawings/drawing26.xml"/><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22.xml"/><Relationship Id="rId13" Type="http://schemas.openxmlformats.org/officeDocument/2006/relationships/ctrlProp" Target="../ctrlProps/ctrlProp327.xml"/><Relationship Id="rId18" Type="http://schemas.openxmlformats.org/officeDocument/2006/relationships/table" Target="../tables/table88.xml"/><Relationship Id="rId3" Type="http://schemas.openxmlformats.org/officeDocument/2006/relationships/vmlDrawing" Target="../drawings/vmlDrawing24.vml"/><Relationship Id="rId7" Type="http://schemas.openxmlformats.org/officeDocument/2006/relationships/ctrlProp" Target="../ctrlProps/ctrlProp321.xml"/><Relationship Id="rId12" Type="http://schemas.openxmlformats.org/officeDocument/2006/relationships/ctrlProp" Target="../ctrlProps/ctrlProp326.xml"/><Relationship Id="rId17" Type="http://schemas.openxmlformats.org/officeDocument/2006/relationships/ctrlProp" Target="../ctrlProps/ctrlProp331.xml"/><Relationship Id="rId2" Type="http://schemas.openxmlformats.org/officeDocument/2006/relationships/drawing" Target="../drawings/drawing27.xml"/><Relationship Id="rId16" Type="http://schemas.openxmlformats.org/officeDocument/2006/relationships/ctrlProp" Target="../ctrlProps/ctrlProp330.xml"/><Relationship Id="rId1" Type="http://schemas.openxmlformats.org/officeDocument/2006/relationships/printerSettings" Target="../printerSettings/printerSettings15.bin"/><Relationship Id="rId6" Type="http://schemas.openxmlformats.org/officeDocument/2006/relationships/ctrlProp" Target="../ctrlProps/ctrlProp320.xml"/><Relationship Id="rId11" Type="http://schemas.openxmlformats.org/officeDocument/2006/relationships/ctrlProp" Target="../ctrlProps/ctrlProp325.xml"/><Relationship Id="rId5" Type="http://schemas.openxmlformats.org/officeDocument/2006/relationships/ctrlProp" Target="../ctrlProps/ctrlProp319.xml"/><Relationship Id="rId15" Type="http://schemas.openxmlformats.org/officeDocument/2006/relationships/ctrlProp" Target="../ctrlProps/ctrlProp329.xml"/><Relationship Id="rId10" Type="http://schemas.openxmlformats.org/officeDocument/2006/relationships/ctrlProp" Target="../ctrlProps/ctrlProp324.xml"/><Relationship Id="rId4" Type="http://schemas.openxmlformats.org/officeDocument/2006/relationships/ctrlProp" Target="../ctrlProps/ctrlProp318.xml"/><Relationship Id="rId9" Type="http://schemas.openxmlformats.org/officeDocument/2006/relationships/ctrlProp" Target="../ctrlProps/ctrlProp323.xml"/><Relationship Id="rId14" Type="http://schemas.openxmlformats.org/officeDocument/2006/relationships/ctrlProp" Target="../ctrlProps/ctrlProp32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table" Target="../tables/table89.xml"/><Relationship Id="rId3" Type="http://schemas.openxmlformats.org/officeDocument/2006/relationships/vmlDrawing" Target="../drawings/vmlDrawing25.v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 Type="http://schemas.openxmlformats.org/officeDocument/2006/relationships/drawing" Target="../drawings/drawing28.xml"/><Relationship Id="rId16" Type="http://schemas.openxmlformats.org/officeDocument/2006/relationships/ctrlProp" Target="../ctrlProps/ctrlProp344.xml"/><Relationship Id="rId1" Type="http://schemas.openxmlformats.org/officeDocument/2006/relationships/printerSettings" Target="../printerSettings/printerSettings16.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5" Type="http://schemas.openxmlformats.org/officeDocument/2006/relationships/ctrlProp" Target="../ctrlProps/ctrlProp343.xml"/><Relationship Id="rId10" Type="http://schemas.openxmlformats.org/officeDocument/2006/relationships/ctrlProp" Target="../ctrlProps/ctrlProp338.xml"/><Relationship Id="rId19" Type="http://schemas.openxmlformats.org/officeDocument/2006/relationships/table" Target="../tables/table90.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table" Target="../tables/table91.xml"/><Relationship Id="rId3" Type="http://schemas.openxmlformats.org/officeDocument/2006/relationships/vmlDrawing" Target="../drawings/vmlDrawing26.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29.xml"/><Relationship Id="rId16" Type="http://schemas.openxmlformats.org/officeDocument/2006/relationships/ctrlProp" Target="../ctrlProps/ctrlProp358.xml"/><Relationship Id="rId1" Type="http://schemas.openxmlformats.org/officeDocument/2006/relationships/printerSettings" Target="../printerSettings/printerSettings17.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table" Target="../tables/table92.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table" Target="../tables/table93.xml"/><Relationship Id="rId3" Type="http://schemas.openxmlformats.org/officeDocument/2006/relationships/vmlDrawing" Target="../drawings/vmlDrawing27.v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 Type="http://schemas.openxmlformats.org/officeDocument/2006/relationships/drawing" Target="../drawings/drawing30.xml"/><Relationship Id="rId16" Type="http://schemas.openxmlformats.org/officeDocument/2006/relationships/ctrlProp" Target="../ctrlProps/ctrlProp372.xml"/><Relationship Id="rId1" Type="http://schemas.openxmlformats.org/officeDocument/2006/relationships/printerSettings" Target="../printerSettings/printerSettings18.bin"/><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trlProp" Target="../ctrlProps/ctrlProp371.xml"/><Relationship Id="rId10" Type="http://schemas.openxmlformats.org/officeDocument/2006/relationships/ctrlProp" Target="../ctrlProps/ctrlProp366.xml"/><Relationship Id="rId19" Type="http://schemas.openxmlformats.org/officeDocument/2006/relationships/table" Target="../tables/table94.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table" Target="../tables/table95.xml"/><Relationship Id="rId3" Type="http://schemas.openxmlformats.org/officeDocument/2006/relationships/vmlDrawing" Target="../drawings/vmlDrawing28.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31.xml"/><Relationship Id="rId16" Type="http://schemas.openxmlformats.org/officeDocument/2006/relationships/ctrlProp" Target="../ctrlProps/ctrlProp386.xml"/><Relationship Id="rId1" Type="http://schemas.openxmlformats.org/officeDocument/2006/relationships/printerSettings" Target="../printerSettings/printerSettings19.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92.xml"/><Relationship Id="rId13" Type="http://schemas.openxmlformats.org/officeDocument/2006/relationships/ctrlProp" Target="../ctrlProps/ctrlProp397.xml"/><Relationship Id="rId18" Type="http://schemas.openxmlformats.org/officeDocument/2006/relationships/table" Target="../tables/table96.xml"/><Relationship Id="rId3" Type="http://schemas.openxmlformats.org/officeDocument/2006/relationships/vmlDrawing" Target="../drawings/vmlDrawing29.vml"/><Relationship Id="rId7" Type="http://schemas.openxmlformats.org/officeDocument/2006/relationships/ctrlProp" Target="../ctrlProps/ctrlProp391.xml"/><Relationship Id="rId12" Type="http://schemas.openxmlformats.org/officeDocument/2006/relationships/ctrlProp" Target="../ctrlProps/ctrlProp396.xml"/><Relationship Id="rId17" Type="http://schemas.openxmlformats.org/officeDocument/2006/relationships/ctrlProp" Target="../ctrlProps/ctrlProp401.xml"/><Relationship Id="rId2" Type="http://schemas.openxmlformats.org/officeDocument/2006/relationships/drawing" Target="../drawings/drawing32.xml"/><Relationship Id="rId16" Type="http://schemas.openxmlformats.org/officeDocument/2006/relationships/ctrlProp" Target="../ctrlProps/ctrlProp400.xml"/><Relationship Id="rId1" Type="http://schemas.openxmlformats.org/officeDocument/2006/relationships/printerSettings" Target="../printerSettings/printerSettings20.bin"/><Relationship Id="rId6" Type="http://schemas.openxmlformats.org/officeDocument/2006/relationships/ctrlProp" Target="../ctrlProps/ctrlProp390.xml"/><Relationship Id="rId11" Type="http://schemas.openxmlformats.org/officeDocument/2006/relationships/ctrlProp" Target="../ctrlProps/ctrlProp395.xml"/><Relationship Id="rId5" Type="http://schemas.openxmlformats.org/officeDocument/2006/relationships/ctrlProp" Target="../ctrlProps/ctrlProp389.xml"/><Relationship Id="rId15" Type="http://schemas.openxmlformats.org/officeDocument/2006/relationships/ctrlProp" Target="../ctrlProps/ctrlProp399.xml"/><Relationship Id="rId10" Type="http://schemas.openxmlformats.org/officeDocument/2006/relationships/ctrlProp" Target="../ctrlProps/ctrlProp394.xml"/><Relationship Id="rId19" Type="http://schemas.openxmlformats.org/officeDocument/2006/relationships/table" Target="../tables/table97.xml"/><Relationship Id="rId4" Type="http://schemas.openxmlformats.org/officeDocument/2006/relationships/ctrlProp" Target="../ctrlProps/ctrlProp388.xml"/><Relationship Id="rId9" Type="http://schemas.openxmlformats.org/officeDocument/2006/relationships/ctrlProp" Target="../ctrlProps/ctrlProp393.xml"/><Relationship Id="rId1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6.xml"/><Relationship Id="rId13" Type="http://schemas.openxmlformats.org/officeDocument/2006/relationships/ctrlProp" Target="../ctrlProps/ctrlProp411.xml"/><Relationship Id="rId18" Type="http://schemas.openxmlformats.org/officeDocument/2006/relationships/table" Target="../tables/table98.xml"/><Relationship Id="rId3" Type="http://schemas.openxmlformats.org/officeDocument/2006/relationships/vmlDrawing" Target="../drawings/vmlDrawing30.v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 Type="http://schemas.openxmlformats.org/officeDocument/2006/relationships/drawing" Target="../drawings/drawing33.xml"/><Relationship Id="rId16" Type="http://schemas.openxmlformats.org/officeDocument/2006/relationships/ctrlProp" Target="../ctrlProps/ctrlProp414.xml"/><Relationship Id="rId1" Type="http://schemas.openxmlformats.org/officeDocument/2006/relationships/printerSettings" Target="../printerSettings/printerSettings21.bin"/><Relationship Id="rId6" Type="http://schemas.openxmlformats.org/officeDocument/2006/relationships/ctrlProp" Target="../ctrlProps/ctrlProp404.xml"/><Relationship Id="rId11" Type="http://schemas.openxmlformats.org/officeDocument/2006/relationships/ctrlProp" Target="../ctrlProps/ctrlProp409.xml"/><Relationship Id="rId5" Type="http://schemas.openxmlformats.org/officeDocument/2006/relationships/ctrlProp" Target="../ctrlProps/ctrlProp403.xml"/><Relationship Id="rId15" Type="http://schemas.openxmlformats.org/officeDocument/2006/relationships/ctrlProp" Target="../ctrlProps/ctrlProp413.xml"/><Relationship Id="rId10" Type="http://schemas.openxmlformats.org/officeDocument/2006/relationships/ctrlProp" Target="../ctrlProps/ctrlProp408.xml"/><Relationship Id="rId19" Type="http://schemas.openxmlformats.org/officeDocument/2006/relationships/table" Target="../tables/table9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421.xml"/><Relationship Id="rId13" Type="http://schemas.openxmlformats.org/officeDocument/2006/relationships/ctrlProp" Target="../ctrlProps/ctrlProp426.xml"/><Relationship Id="rId3" Type="http://schemas.openxmlformats.org/officeDocument/2006/relationships/ctrlProp" Target="../ctrlProps/ctrlProp416.x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vmlDrawing" Target="../drawings/vmlDrawing31.vml"/><Relationship Id="rId16" Type="http://schemas.openxmlformats.org/officeDocument/2006/relationships/table" Target="../tables/table100.xml"/><Relationship Id="rId1" Type="http://schemas.openxmlformats.org/officeDocument/2006/relationships/drawing" Target="../drawings/drawing34.xm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5" Type="http://schemas.openxmlformats.org/officeDocument/2006/relationships/ctrlProp" Target="../ctrlProps/ctrlProp42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 Id="rId14" Type="http://schemas.openxmlformats.org/officeDocument/2006/relationships/ctrlProp" Target="../ctrlProps/ctrlProp42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33.xml"/><Relationship Id="rId13" Type="http://schemas.openxmlformats.org/officeDocument/2006/relationships/ctrlProp" Target="../ctrlProps/ctrlProp438.xml"/><Relationship Id="rId3" Type="http://schemas.openxmlformats.org/officeDocument/2006/relationships/vmlDrawing" Target="../drawings/vmlDrawing32.vml"/><Relationship Id="rId7" Type="http://schemas.openxmlformats.org/officeDocument/2006/relationships/ctrlProp" Target="../ctrlProps/ctrlProp432.xml"/><Relationship Id="rId12" Type="http://schemas.openxmlformats.org/officeDocument/2006/relationships/ctrlProp" Target="../ctrlProps/ctrlProp437.xml"/><Relationship Id="rId17" Type="http://schemas.openxmlformats.org/officeDocument/2006/relationships/table" Target="../tables/table101.xml"/><Relationship Id="rId2" Type="http://schemas.openxmlformats.org/officeDocument/2006/relationships/drawing" Target="../drawings/drawing35.xml"/><Relationship Id="rId16" Type="http://schemas.openxmlformats.org/officeDocument/2006/relationships/ctrlProp" Target="../ctrlProps/ctrlProp441.xml"/><Relationship Id="rId1" Type="http://schemas.openxmlformats.org/officeDocument/2006/relationships/printerSettings" Target="../printerSettings/printerSettings22.bin"/><Relationship Id="rId6" Type="http://schemas.openxmlformats.org/officeDocument/2006/relationships/ctrlProp" Target="../ctrlProps/ctrlProp431.xml"/><Relationship Id="rId11" Type="http://schemas.openxmlformats.org/officeDocument/2006/relationships/ctrlProp" Target="../ctrlProps/ctrlProp436.xml"/><Relationship Id="rId5" Type="http://schemas.openxmlformats.org/officeDocument/2006/relationships/ctrlProp" Target="../ctrlProps/ctrlProp430.xml"/><Relationship Id="rId15" Type="http://schemas.openxmlformats.org/officeDocument/2006/relationships/ctrlProp" Target="../ctrlProps/ctrlProp440.xml"/><Relationship Id="rId10" Type="http://schemas.openxmlformats.org/officeDocument/2006/relationships/ctrlProp" Target="../ctrlProps/ctrlProp435.xml"/><Relationship Id="rId4" Type="http://schemas.openxmlformats.org/officeDocument/2006/relationships/ctrlProp" Target="../ctrlProps/ctrlProp429.xml"/><Relationship Id="rId9" Type="http://schemas.openxmlformats.org/officeDocument/2006/relationships/ctrlProp" Target="../ctrlProps/ctrlProp434.xml"/><Relationship Id="rId14" Type="http://schemas.openxmlformats.org/officeDocument/2006/relationships/ctrlProp" Target="../ctrlProps/ctrlProp439.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3" Type="http://schemas.openxmlformats.org/officeDocument/2006/relationships/ctrlProp" Target="../ctrlProps/ctrlProp442.xml"/><Relationship Id="rId7" Type="http://schemas.openxmlformats.org/officeDocument/2006/relationships/ctrlProp" Target="../ctrlProps/ctrlProp446.xml"/><Relationship Id="rId12" Type="http://schemas.openxmlformats.org/officeDocument/2006/relationships/ctrlProp" Target="../ctrlProps/ctrlProp451.xml"/><Relationship Id="rId2" Type="http://schemas.openxmlformats.org/officeDocument/2006/relationships/vmlDrawing" Target="../drawings/vmlDrawing33.vml"/><Relationship Id="rId16" Type="http://schemas.openxmlformats.org/officeDocument/2006/relationships/table" Target="../tables/table102.xml"/><Relationship Id="rId1" Type="http://schemas.openxmlformats.org/officeDocument/2006/relationships/drawing" Target="../drawings/drawing36.xml"/><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60.xml"/><Relationship Id="rId13" Type="http://schemas.openxmlformats.org/officeDocument/2006/relationships/ctrlProp" Target="../ctrlProps/ctrlProp465.xml"/><Relationship Id="rId3" Type="http://schemas.openxmlformats.org/officeDocument/2006/relationships/ctrlProp" Target="../ctrlProps/ctrlProp455.xml"/><Relationship Id="rId7" Type="http://schemas.openxmlformats.org/officeDocument/2006/relationships/ctrlProp" Target="../ctrlProps/ctrlProp459.xml"/><Relationship Id="rId12" Type="http://schemas.openxmlformats.org/officeDocument/2006/relationships/ctrlProp" Target="../ctrlProps/ctrlProp464.xml"/><Relationship Id="rId2" Type="http://schemas.openxmlformats.org/officeDocument/2006/relationships/vmlDrawing" Target="../drawings/vmlDrawing34.vml"/><Relationship Id="rId16" Type="http://schemas.openxmlformats.org/officeDocument/2006/relationships/table" Target="../tables/table103.xml"/><Relationship Id="rId1" Type="http://schemas.openxmlformats.org/officeDocument/2006/relationships/drawing" Target="../drawings/drawing37.xml"/><Relationship Id="rId6" Type="http://schemas.openxmlformats.org/officeDocument/2006/relationships/ctrlProp" Target="../ctrlProps/ctrlProp458.xml"/><Relationship Id="rId11" Type="http://schemas.openxmlformats.org/officeDocument/2006/relationships/ctrlProp" Target="../ctrlProps/ctrlProp463.xml"/><Relationship Id="rId5" Type="http://schemas.openxmlformats.org/officeDocument/2006/relationships/ctrlProp" Target="../ctrlProps/ctrlProp457.xml"/><Relationship Id="rId15" Type="http://schemas.openxmlformats.org/officeDocument/2006/relationships/ctrlProp" Target="../ctrlProps/ctrlProp467.xml"/><Relationship Id="rId10" Type="http://schemas.openxmlformats.org/officeDocument/2006/relationships/ctrlProp" Target="../ctrlProps/ctrlProp462.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72.xml"/><Relationship Id="rId13" Type="http://schemas.openxmlformats.org/officeDocument/2006/relationships/ctrlProp" Target="../ctrlProps/ctrlProp477.xml"/><Relationship Id="rId18" Type="http://schemas.openxmlformats.org/officeDocument/2006/relationships/table" Target="../tables/table104.xml"/><Relationship Id="rId3" Type="http://schemas.openxmlformats.org/officeDocument/2006/relationships/vmlDrawing" Target="../drawings/vmlDrawing35.v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 Type="http://schemas.openxmlformats.org/officeDocument/2006/relationships/drawing" Target="../drawings/drawing38.xml"/><Relationship Id="rId16" Type="http://schemas.openxmlformats.org/officeDocument/2006/relationships/ctrlProp" Target="../ctrlProps/ctrlProp480.xml"/><Relationship Id="rId1" Type="http://schemas.openxmlformats.org/officeDocument/2006/relationships/printerSettings" Target="../printerSettings/printerSettings23.bin"/><Relationship Id="rId6" Type="http://schemas.openxmlformats.org/officeDocument/2006/relationships/ctrlProp" Target="../ctrlProps/ctrlProp470.xml"/><Relationship Id="rId11" Type="http://schemas.openxmlformats.org/officeDocument/2006/relationships/ctrlProp" Target="../ctrlProps/ctrlProp475.xml"/><Relationship Id="rId5" Type="http://schemas.openxmlformats.org/officeDocument/2006/relationships/ctrlProp" Target="../ctrlProps/ctrlProp469.xml"/><Relationship Id="rId15" Type="http://schemas.openxmlformats.org/officeDocument/2006/relationships/ctrlProp" Target="../ctrlProps/ctrlProp479.xml"/><Relationship Id="rId10" Type="http://schemas.openxmlformats.org/officeDocument/2006/relationships/ctrlProp" Target="../ctrlProps/ctrlProp474.xml"/><Relationship Id="rId19" Type="http://schemas.openxmlformats.org/officeDocument/2006/relationships/table" Target="../tables/table105.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485.xml"/><Relationship Id="rId2" Type="http://schemas.openxmlformats.org/officeDocument/2006/relationships/drawing" Target="../drawings/drawing39.xml"/><Relationship Id="rId1" Type="http://schemas.openxmlformats.org/officeDocument/2006/relationships/printerSettings" Target="../printerSettings/printerSettings24.bin"/><Relationship Id="rId6" Type="http://schemas.openxmlformats.org/officeDocument/2006/relationships/ctrlProp" Target="../ctrlProps/ctrlProp484.xml"/><Relationship Id="rId5" Type="http://schemas.openxmlformats.org/officeDocument/2006/relationships/ctrlProp" Target="../ctrlProps/ctrlProp483.xml"/><Relationship Id="rId4" Type="http://schemas.openxmlformats.org/officeDocument/2006/relationships/ctrlProp" Target="../ctrlProps/ctrlProp482.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491.xml"/><Relationship Id="rId13" Type="http://schemas.openxmlformats.org/officeDocument/2006/relationships/ctrlProp" Target="../ctrlProps/ctrlProp496.xml"/><Relationship Id="rId3" Type="http://schemas.openxmlformats.org/officeDocument/2006/relationships/ctrlProp" Target="../ctrlProps/ctrlProp486.xml"/><Relationship Id="rId7" Type="http://schemas.openxmlformats.org/officeDocument/2006/relationships/ctrlProp" Target="../ctrlProps/ctrlProp490.xml"/><Relationship Id="rId12" Type="http://schemas.openxmlformats.org/officeDocument/2006/relationships/ctrlProp" Target="../ctrlProps/ctrlProp495.xml"/><Relationship Id="rId2" Type="http://schemas.openxmlformats.org/officeDocument/2006/relationships/vmlDrawing" Target="../drawings/vmlDrawing37.vml"/><Relationship Id="rId16" Type="http://schemas.openxmlformats.org/officeDocument/2006/relationships/table" Target="../tables/table106.xml"/><Relationship Id="rId1" Type="http://schemas.openxmlformats.org/officeDocument/2006/relationships/drawing" Target="../drawings/drawing40.xml"/><Relationship Id="rId6" Type="http://schemas.openxmlformats.org/officeDocument/2006/relationships/ctrlProp" Target="../ctrlProps/ctrlProp489.xml"/><Relationship Id="rId11" Type="http://schemas.openxmlformats.org/officeDocument/2006/relationships/ctrlProp" Target="../ctrlProps/ctrlProp494.xml"/><Relationship Id="rId5" Type="http://schemas.openxmlformats.org/officeDocument/2006/relationships/ctrlProp" Target="../ctrlProps/ctrlProp488.xml"/><Relationship Id="rId15" Type="http://schemas.openxmlformats.org/officeDocument/2006/relationships/ctrlProp" Target="../ctrlProps/ctrlProp498.xml"/><Relationship Id="rId10" Type="http://schemas.openxmlformats.org/officeDocument/2006/relationships/ctrlProp" Target="../ctrlProps/ctrlProp493.xml"/><Relationship Id="rId4" Type="http://schemas.openxmlformats.org/officeDocument/2006/relationships/ctrlProp" Target="../ctrlProps/ctrlProp487.xml"/><Relationship Id="rId9" Type="http://schemas.openxmlformats.org/officeDocument/2006/relationships/ctrlProp" Target="../ctrlProps/ctrlProp492.xml"/><Relationship Id="rId14" Type="http://schemas.openxmlformats.org/officeDocument/2006/relationships/ctrlProp" Target="../ctrlProps/ctrlProp497.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504.xml"/><Relationship Id="rId13" Type="http://schemas.openxmlformats.org/officeDocument/2006/relationships/ctrlProp" Target="../ctrlProps/ctrlProp509.xml"/><Relationship Id="rId18" Type="http://schemas.openxmlformats.org/officeDocument/2006/relationships/ctrlProp" Target="../ctrlProps/ctrlProp514.xml"/><Relationship Id="rId26" Type="http://schemas.openxmlformats.org/officeDocument/2006/relationships/ctrlProp" Target="../ctrlProps/ctrlProp522.xml"/><Relationship Id="rId3" Type="http://schemas.openxmlformats.org/officeDocument/2006/relationships/ctrlProp" Target="../ctrlProps/ctrlProp499.xml"/><Relationship Id="rId21" Type="http://schemas.openxmlformats.org/officeDocument/2006/relationships/ctrlProp" Target="../ctrlProps/ctrlProp517.xml"/><Relationship Id="rId7" Type="http://schemas.openxmlformats.org/officeDocument/2006/relationships/ctrlProp" Target="../ctrlProps/ctrlProp503.xml"/><Relationship Id="rId12" Type="http://schemas.openxmlformats.org/officeDocument/2006/relationships/ctrlProp" Target="../ctrlProps/ctrlProp508.xml"/><Relationship Id="rId17" Type="http://schemas.openxmlformats.org/officeDocument/2006/relationships/ctrlProp" Target="../ctrlProps/ctrlProp513.xml"/><Relationship Id="rId25" Type="http://schemas.openxmlformats.org/officeDocument/2006/relationships/ctrlProp" Target="../ctrlProps/ctrlProp521.xml"/><Relationship Id="rId2" Type="http://schemas.openxmlformats.org/officeDocument/2006/relationships/vmlDrawing" Target="../drawings/vmlDrawing38.vml"/><Relationship Id="rId16" Type="http://schemas.openxmlformats.org/officeDocument/2006/relationships/ctrlProp" Target="../ctrlProps/ctrlProp512.xml"/><Relationship Id="rId20" Type="http://schemas.openxmlformats.org/officeDocument/2006/relationships/ctrlProp" Target="../ctrlProps/ctrlProp516.xml"/><Relationship Id="rId29" Type="http://schemas.openxmlformats.org/officeDocument/2006/relationships/table" Target="../tables/table108.xml"/><Relationship Id="rId1" Type="http://schemas.openxmlformats.org/officeDocument/2006/relationships/drawing" Target="../drawings/drawing41.xml"/><Relationship Id="rId6" Type="http://schemas.openxmlformats.org/officeDocument/2006/relationships/ctrlProp" Target="../ctrlProps/ctrlProp502.xml"/><Relationship Id="rId11" Type="http://schemas.openxmlformats.org/officeDocument/2006/relationships/ctrlProp" Target="../ctrlProps/ctrlProp507.xml"/><Relationship Id="rId24" Type="http://schemas.openxmlformats.org/officeDocument/2006/relationships/ctrlProp" Target="../ctrlProps/ctrlProp520.xml"/><Relationship Id="rId5" Type="http://schemas.openxmlformats.org/officeDocument/2006/relationships/ctrlProp" Target="../ctrlProps/ctrlProp501.xml"/><Relationship Id="rId15" Type="http://schemas.openxmlformats.org/officeDocument/2006/relationships/ctrlProp" Target="../ctrlProps/ctrlProp511.xml"/><Relationship Id="rId23" Type="http://schemas.openxmlformats.org/officeDocument/2006/relationships/ctrlProp" Target="../ctrlProps/ctrlProp519.xml"/><Relationship Id="rId28" Type="http://schemas.openxmlformats.org/officeDocument/2006/relationships/table" Target="../tables/table107.xml"/><Relationship Id="rId10" Type="http://schemas.openxmlformats.org/officeDocument/2006/relationships/ctrlProp" Target="../ctrlProps/ctrlProp506.xml"/><Relationship Id="rId19" Type="http://schemas.openxmlformats.org/officeDocument/2006/relationships/ctrlProp" Target="../ctrlProps/ctrlProp515.xml"/><Relationship Id="rId31" Type="http://schemas.openxmlformats.org/officeDocument/2006/relationships/table" Target="../tables/table110.xml"/><Relationship Id="rId4" Type="http://schemas.openxmlformats.org/officeDocument/2006/relationships/ctrlProp" Target="../ctrlProps/ctrlProp500.xml"/><Relationship Id="rId9" Type="http://schemas.openxmlformats.org/officeDocument/2006/relationships/ctrlProp" Target="../ctrlProps/ctrlProp505.xml"/><Relationship Id="rId14" Type="http://schemas.openxmlformats.org/officeDocument/2006/relationships/ctrlProp" Target="../ctrlProps/ctrlProp510.xml"/><Relationship Id="rId22" Type="http://schemas.openxmlformats.org/officeDocument/2006/relationships/ctrlProp" Target="../ctrlProps/ctrlProp518.xml"/><Relationship Id="rId27" Type="http://schemas.openxmlformats.org/officeDocument/2006/relationships/ctrlProp" Target="../ctrlProps/ctrlProp523.xml"/><Relationship Id="rId30" Type="http://schemas.openxmlformats.org/officeDocument/2006/relationships/table" Target="../tables/table109.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28.xml"/><Relationship Id="rId13" Type="http://schemas.openxmlformats.org/officeDocument/2006/relationships/ctrlProp" Target="../ctrlProps/ctrlProp533.xml"/><Relationship Id="rId18" Type="http://schemas.openxmlformats.org/officeDocument/2006/relationships/table" Target="../tables/table111.xml"/><Relationship Id="rId3" Type="http://schemas.openxmlformats.org/officeDocument/2006/relationships/vmlDrawing" Target="../drawings/vmlDrawing39.vml"/><Relationship Id="rId7" Type="http://schemas.openxmlformats.org/officeDocument/2006/relationships/ctrlProp" Target="../ctrlProps/ctrlProp527.xml"/><Relationship Id="rId12" Type="http://schemas.openxmlformats.org/officeDocument/2006/relationships/ctrlProp" Target="../ctrlProps/ctrlProp532.xml"/><Relationship Id="rId17" Type="http://schemas.openxmlformats.org/officeDocument/2006/relationships/ctrlProp" Target="../ctrlProps/ctrlProp537.xml"/><Relationship Id="rId2" Type="http://schemas.openxmlformats.org/officeDocument/2006/relationships/drawing" Target="../drawings/drawing42.xml"/><Relationship Id="rId16" Type="http://schemas.openxmlformats.org/officeDocument/2006/relationships/ctrlProp" Target="../ctrlProps/ctrlProp536.xml"/><Relationship Id="rId1" Type="http://schemas.openxmlformats.org/officeDocument/2006/relationships/pivotTable" Target="../pivotTables/pivotTable25.xml"/><Relationship Id="rId6" Type="http://schemas.openxmlformats.org/officeDocument/2006/relationships/ctrlProp" Target="../ctrlProps/ctrlProp526.xml"/><Relationship Id="rId11" Type="http://schemas.openxmlformats.org/officeDocument/2006/relationships/ctrlProp" Target="../ctrlProps/ctrlProp531.xml"/><Relationship Id="rId5" Type="http://schemas.openxmlformats.org/officeDocument/2006/relationships/ctrlProp" Target="../ctrlProps/ctrlProp525.xml"/><Relationship Id="rId15" Type="http://schemas.openxmlformats.org/officeDocument/2006/relationships/ctrlProp" Target="../ctrlProps/ctrlProp535.xml"/><Relationship Id="rId10" Type="http://schemas.openxmlformats.org/officeDocument/2006/relationships/ctrlProp" Target="../ctrlProps/ctrlProp530.xml"/><Relationship Id="rId4" Type="http://schemas.openxmlformats.org/officeDocument/2006/relationships/ctrlProp" Target="../ctrlProps/ctrlProp524.xml"/><Relationship Id="rId9" Type="http://schemas.openxmlformats.org/officeDocument/2006/relationships/ctrlProp" Target="../ctrlProps/ctrlProp529.xml"/><Relationship Id="rId14" Type="http://schemas.openxmlformats.org/officeDocument/2006/relationships/ctrlProp" Target="../ctrlProps/ctrlProp534.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43.xml"/><Relationship Id="rId13" Type="http://schemas.openxmlformats.org/officeDocument/2006/relationships/ctrlProp" Target="../ctrlProps/ctrlProp548.xml"/><Relationship Id="rId3" Type="http://schemas.openxmlformats.org/officeDocument/2006/relationships/ctrlProp" Target="../ctrlProps/ctrlProp538.xml"/><Relationship Id="rId7" Type="http://schemas.openxmlformats.org/officeDocument/2006/relationships/ctrlProp" Target="../ctrlProps/ctrlProp542.xml"/><Relationship Id="rId12" Type="http://schemas.openxmlformats.org/officeDocument/2006/relationships/ctrlProp" Target="../ctrlProps/ctrlProp547.xml"/><Relationship Id="rId2" Type="http://schemas.openxmlformats.org/officeDocument/2006/relationships/vmlDrawing" Target="../drawings/vmlDrawing40.vml"/><Relationship Id="rId16" Type="http://schemas.openxmlformats.org/officeDocument/2006/relationships/table" Target="../tables/table112.xml"/><Relationship Id="rId1" Type="http://schemas.openxmlformats.org/officeDocument/2006/relationships/drawing" Target="../drawings/drawing43.xml"/><Relationship Id="rId6" Type="http://schemas.openxmlformats.org/officeDocument/2006/relationships/ctrlProp" Target="../ctrlProps/ctrlProp541.xml"/><Relationship Id="rId11" Type="http://schemas.openxmlformats.org/officeDocument/2006/relationships/ctrlProp" Target="../ctrlProps/ctrlProp546.xml"/><Relationship Id="rId5" Type="http://schemas.openxmlformats.org/officeDocument/2006/relationships/ctrlProp" Target="../ctrlProps/ctrlProp540.xml"/><Relationship Id="rId15" Type="http://schemas.openxmlformats.org/officeDocument/2006/relationships/ctrlProp" Target="../ctrlProps/ctrlProp550.xml"/><Relationship Id="rId10" Type="http://schemas.openxmlformats.org/officeDocument/2006/relationships/ctrlProp" Target="../ctrlProps/ctrlProp545.xml"/><Relationship Id="rId4" Type="http://schemas.openxmlformats.org/officeDocument/2006/relationships/ctrlProp" Target="../ctrlProps/ctrlProp539.xml"/><Relationship Id="rId9" Type="http://schemas.openxmlformats.org/officeDocument/2006/relationships/ctrlProp" Target="../ctrlProps/ctrlProp544.xml"/><Relationship Id="rId14" Type="http://schemas.openxmlformats.org/officeDocument/2006/relationships/ctrlProp" Target="../ctrlProps/ctrlProp549.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56.xml"/><Relationship Id="rId13" Type="http://schemas.openxmlformats.org/officeDocument/2006/relationships/ctrlProp" Target="../ctrlProps/ctrlProp561.xml"/><Relationship Id="rId3" Type="http://schemas.openxmlformats.org/officeDocument/2006/relationships/ctrlProp" Target="../ctrlProps/ctrlProp551.xml"/><Relationship Id="rId7" Type="http://schemas.openxmlformats.org/officeDocument/2006/relationships/ctrlProp" Target="../ctrlProps/ctrlProp555.xml"/><Relationship Id="rId12" Type="http://schemas.openxmlformats.org/officeDocument/2006/relationships/ctrlProp" Target="../ctrlProps/ctrlProp560.xml"/><Relationship Id="rId2" Type="http://schemas.openxmlformats.org/officeDocument/2006/relationships/vmlDrawing" Target="../drawings/vmlDrawing41.vml"/><Relationship Id="rId16" Type="http://schemas.openxmlformats.org/officeDocument/2006/relationships/table" Target="../tables/table113.xml"/><Relationship Id="rId1" Type="http://schemas.openxmlformats.org/officeDocument/2006/relationships/drawing" Target="../drawings/drawing44.xml"/><Relationship Id="rId6" Type="http://schemas.openxmlformats.org/officeDocument/2006/relationships/ctrlProp" Target="../ctrlProps/ctrlProp554.xml"/><Relationship Id="rId11" Type="http://schemas.openxmlformats.org/officeDocument/2006/relationships/ctrlProp" Target="../ctrlProps/ctrlProp559.xml"/><Relationship Id="rId5" Type="http://schemas.openxmlformats.org/officeDocument/2006/relationships/ctrlProp" Target="../ctrlProps/ctrlProp553.xml"/><Relationship Id="rId15" Type="http://schemas.openxmlformats.org/officeDocument/2006/relationships/ctrlProp" Target="../ctrlProps/ctrlProp563.xml"/><Relationship Id="rId10" Type="http://schemas.openxmlformats.org/officeDocument/2006/relationships/ctrlProp" Target="../ctrlProps/ctrlProp558.xml"/><Relationship Id="rId4" Type="http://schemas.openxmlformats.org/officeDocument/2006/relationships/ctrlProp" Target="../ctrlProps/ctrlProp552.xml"/><Relationship Id="rId9" Type="http://schemas.openxmlformats.org/officeDocument/2006/relationships/ctrlProp" Target="../ctrlProps/ctrlProp557.xml"/><Relationship Id="rId14" Type="http://schemas.openxmlformats.org/officeDocument/2006/relationships/ctrlProp" Target="../ctrlProps/ctrlProp562.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569.xml"/><Relationship Id="rId13" Type="http://schemas.openxmlformats.org/officeDocument/2006/relationships/ctrlProp" Target="../ctrlProps/ctrlProp574.xml"/><Relationship Id="rId3" Type="http://schemas.openxmlformats.org/officeDocument/2006/relationships/ctrlProp" Target="../ctrlProps/ctrlProp564.xml"/><Relationship Id="rId7" Type="http://schemas.openxmlformats.org/officeDocument/2006/relationships/ctrlProp" Target="../ctrlProps/ctrlProp568.xml"/><Relationship Id="rId12" Type="http://schemas.openxmlformats.org/officeDocument/2006/relationships/ctrlProp" Target="../ctrlProps/ctrlProp573.xml"/><Relationship Id="rId2" Type="http://schemas.openxmlformats.org/officeDocument/2006/relationships/vmlDrawing" Target="../drawings/vmlDrawing42.vml"/><Relationship Id="rId16" Type="http://schemas.openxmlformats.org/officeDocument/2006/relationships/table" Target="../tables/table114.xml"/><Relationship Id="rId1" Type="http://schemas.openxmlformats.org/officeDocument/2006/relationships/drawing" Target="../drawings/drawing45.xml"/><Relationship Id="rId6" Type="http://schemas.openxmlformats.org/officeDocument/2006/relationships/ctrlProp" Target="../ctrlProps/ctrlProp567.xml"/><Relationship Id="rId11" Type="http://schemas.openxmlformats.org/officeDocument/2006/relationships/ctrlProp" Target="../ctrlProps/ctrlProp572.xml"/><Relationship Id="rId5" Type="http://schemas.openxmlformats.org/officeDocument/2006/relationships/ctrlProp" Target="../ctrlProps/ctrlProp566.xml"/><Relationship Id="rId15" Type="http://schemas.openxmlformats.org/officeDocument/2006/relationships/ctrlProp" Target="../ctrlProps/ctrlProp576.xml"/><Relationship Id="rId10" Type="http://schemas.openxmlformats.org/officeDocument/2006/relationships/ctrlProp" Target="../ctrlProps/ctrlProp571.xml"/><Relationship Id="rId4" Type="http://schemas.openxmlformats.org/officeDocument/2006/relationships/ctrlProp" Target="../ctrlProps/ctrlProp565.xml"/><Relationship Id="rId9" Type="http://schemas.openxmlformats.org/officeDocument/2006/relationships/ctrlProp" Target="../ctrlProps/ctrlProp570.xml"/><Relationship Id="rId14" Type="http://schemas.openxmlformats.org/officeDocument/2006/relationships/ctrlProp" Target="../ctrlProps/ctrlProp575.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582.xml"/><Relationship Id="rId13" Type="http://schemas.openxmlformats.org/officeDocument/2006/relationships/ctrlProp" Target="../ctrlProps/ctrlProp587.xml"/><Relationship Id="rId3" Type="http://schemas.openxmlformats.org/officeDocument/2006/relationships/ctrlProp" Target="../ctrlProps/ctrlProp577.xml"/><Relationship Id="rId7" Type="http://schemas.openxmlformats.org/officeDocument/2006/relationships/ctrlProp" Target="../ctrlProps/ctrlProp581.xml"/><Relationship Id="rId12" Type="http://schemas.openxmlformats.org/officeDocument/2006/relationships/ctrlProp" Target="../ctrlProps/ctrlProp586.xml"/><Relationship Id="rId2" Type="http://schemas.openxmlformats.org/officeDocument/2006/relationships/vmlDrawing" Target="../drawings/vmlDrawing43.vml"/><Relationship Id="rId16" Type="http://schemas.openxmlformats.org/officeDocument/2006/relationships/table" Target="../tables/table115.xml"/><Relationship Id="rId1" Type="http://schemas.openxmlformats.org/officeDocument/2006/relationships/drawing" Target="../drawings/drawing46.xml"/><Relationship Id="rId6" Type="http://schemas.openxmlformats.org/officeDocument/2006/relationships/ctrlProp" Target="../ctrlProps/ctrlProp580.xml"/><Relationship Id="rId11" Type="http://schemas.openxmlformats.org/officeDocument/2006/relationships/ctrlProp" Target="../ctrlProps/ctrlProp585.xml"/><Relationship Id="rId5" Type="http://schemas.openxmlformats.org/officeDocument/2006/relationships/ctrlProp" Target="../ctrlProps/ctrlProp579.xml"/><Relationship Id="rId15" Type="http://schemas.openxmlformats.org/officeDocument/2006/relationships/ctrlProp" Target="../ctrlProps/ctrlProp589.xml"/><Relationship Id="rId10" Type="http://schemas.openxmlformats.org/officeDocument/2006/relationships/ctrlProp" Target="../ctrlProps/ctrlProp584.xml"/><Relationship Id="rId4" Type="http://schemas.openxmlformats.org/officeDocument/2006/relationships/ctrlProp" Target="../ctrlProps/ctrlProp578.xml"/><Relationship Id="rId9" Type="http://schemas.openxmlformats.org/officeDocument/2006/relationships/ctrlProp" Target="../ctrlProps/ctrlProp583.xml"/><Relationship Id="rId14" Type="http://schemas.openxmlformats.org/officeDocument/2006/relationships/ctrlProp" Target="../ctrlProps/ctrlProp588.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595.xml"/><Relationship Id="rId13" Type="http://schemas.openxmlformats.org/officeDocument/2006/relationships/ctrlProp" Target="../ctrlProps/ctrlProp600.xml"/><Relationship Id="rId3" Type="http://schemas.openxmlformats.org/officeDocument/2006/relationships/ctrlProp" Target="../ctrlProps/ctrlProp590.xml"/><Relationship Id="rId7" Type="http://schemas.openxmlformats.org/officeDocument/2006/relationships/ctrlProp" Target="../ctrlProps/ctrlProp594.xml"/><Relationship Id="rId12" Type="http://schemas.openxmlformats.org/officeDocument/2006/relationships/ctrlProp" Target="../ctrlProps/ctrlProp599.xml"/><Relationship Id="rId2" Type="http://schemas.openxmlformats.org/officeDocument/2006/relationships/vmlDrawing" Target="../drawings/vmlDrawing44.vml"/><Relationship Id="rId16" Type="http://schemas.openxmlformats.org/officeDocument/2006/relationships/table" Target="../tables/table116.xml"/><Relationship Id="rId1" Type="http://schemas.openxmlformats.org/officeDocument/2006/relationships/drawing" Target="../drawings/drawing47.xml"/><Relationship Id="rId6" Type="http://schemas.openxmlformats.org/officeDocument/2006/relationships/ctrlProp" Target="../ctrlProps/ctrlProp593.xml"/><Relationship Id="rId11" Type="http://schemas.openxmlformats.org/officeDocument/2006/relationships/ctrlProp" Target="../ctrlProps/ctrlProp598.xml"/><Relationship Id="rId5" Type="http://schemas.openxmlformats.org/officeDocument/2006/relationships/ctrlProp" Target="../ctrlProps/ctrlProp592.xml"/><Relationship Id="rId15" Type="http://schemas.openxmlformats.org/officeDocument/2006/relationships/ctrlProp" Target="../ctrlProps/ctrlProp602.xml"/><Relationship Id="rId10" Type="http://schemas.openxmlformats.org/officeDocument/2006/relationships/ctrlProp" Target="../ctrlProps/ctrlProp597.xml"/><Relationship Id="rId4" Type="http://schemas.openxmlformats.org/officeDocument/2006/relationships/ctrlProp" Target="../ctrlProps/ctrlProp591.xml"/><Relationship Id="rId9" Type="http://schemas.openxmlformats.org/officeDocument/2006/relationships/ctrlProp" Target="../ctrlProps/ctrlProp596.xml"/><Relationship Id="rId14" Type="http://schemas.openxmlformats.org/officeDocument/2006/relationships/ctrlProp" Target="../ctrlProps/ctrlProp601.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08.xml"/><Relationship Id="rId13" Type="http://schemas.openxmlformats.org/officeDocument/2006/relationships/ctrlProp" Target="../ctrlProps/ctrlProp613.xml"/><Relationship Id="rId3" Type="http://schemas.openxmlformats.org/officeDocument/2006/relationships/ctrlProp" Target="../ctrlProps/ctrlProp603.xml"/><Relationship Id="rId7" Type="http://schemas.openxmlformats.org/officeDocument/2006/relationships/ctrlProp" Target="../ctrlProps/ctrlProp607.xml"/><Relationship Id="rId12" Type="http://schemas.openxmlformats.org/officeDocument/2006/relationships/ctrlProp" Target="../ctrlProps/ctrlProp612.xml"/><Relationship Id="rId2" Type="http://schemas.openxmlformats.org/officeDocument/2006/relationships/vmlDrawing" Target="../drawings/vmlDrawing45.vml"/><Relationship Id="rId16" Type="http://schemas.openxmlformats.org/officeDocument/2006/relationships/table" Target="../tables/table117.xml"/><Relationship Id="rId1" Type="http://schemas.openxmlformats.org/officeDocument/2006/relationships/drawing" Target="../drawings/drawing48.xml"/><Relationship Id="rId6" Type="http://schemas.openxmlformats.org/officeDocument/2006/relationships/ctrlProp" Target="../ctrlProps/ctrlProp606.xml"/><Relationship Id="rId11" Type="http://schemas.openxmlformats.org/officeDocument/2006/relationships/ctrlProp" Target="../ctrlProps/ctrlProp611.xml"/><Relationship Id="rId5" Type="http://schemas.openxmlformats.org/officeDocument/2006/relationships/ctrlProp" Target="../ctrlProps/ctrlProp605.xml"/><Relationship Id="rId15" Type="http://schemas.openxmlformats.org/officeDocument/2006/relationships/ctrlProp" Target="../ctrlProps/ctrlProp615.xml"/><Relationship Id="rId10" Type="http://schemas.openxmlformats.org/officeDocument/2006/relationships/ctrlProp" Target="../ctrlProps/ctrlProp610.xml"/><Relationship Id="rId4" Type="http://schemas.openxmlformats.org/officeDocument/2006/relationships/ctrlProp" Target="../ctrlProps/ctrlProp604.xml"/><Relationship Id="rId9" Type="http://schemas.openxmlformats.org/officeDocument/2006/relationships/ctrlProp" Target="../ctrlProps/ctrlProp609.xml"/><Relationship Id="rId14" Type="http://schemas.openxmlformats.org/officeDocument/2006/relationships/ctrlProp" Target="../ctrlProps/ctrlProp614.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0.xml"/><Relationship Id="rId13" Type="http://schemas.openxmlformats.org/officeDocument/2006/relationships/ctrlProp" Target="../ctrlProps/ctrlProp625.xml"/><Relationship Id="rId18" Type="http://schemas.openxmlformats.org/officeDocument/2006/relationships/table" Target="../tables/table119.xml"/><Relationship Id="rId3" Type="http://schemas.openxmlformats.org/officeDocument/2006/relationships/vmlDrawing" Target="../drawings/vmlDrawing46.vml"/><Relationship Id="rId7" Type="http://schemas.openxmlformats.org/officeDocument/2006/relationships/ctrlProp" Target="../ctrlProps/ctrlProp619.xml"/><Relationship Id="rId12" Type="http://schemas.openxmlformats.org/officeDocument/2006/relationships/ctrlProp" Target="../ctrlProps/ctrlProp624.xml"/><Relationship Id="rId17" Type="http://schemas.openxmlformats.org/officeDocument/2006/relationships/table" Target="../tables/table118.xml"/><Relationship Id="rId2" Type="http://schemas.openxmlformats.org/officeDocument/2006/relationships/drawing" Target="../drawings/drawing49.xml"/><Relationship Id="rId16" Type="http://schemas.openxmlformats.org/officeDocument/2006/relationships/ctrlProp" Target="../ctrlProps/ctrlProp628.xml"/><Relationship Id="rId1" Type="http://schemas.openxmlformats.org/officeDocument/2006/relationships/printerSettings" Target="../printerSettings/printerSettings25.bin"/><Relationship Id="rId6" Type="http://schemas.openxmlformats.org/officeDocument/2006/relationships/ctrlProp" Target="../ctrlProps/ctrlProp618.xml"/><Relationship Id="rId11" Type="http://schemas.openxmlformats.org/officeDocument/2006/relationships/ctrlProp" Target="../ctrlProps/ctrlProp623.xml"/><Relationship Id="rId5" Type="http://schemas.openxmlformats.org/officeDocument/2006/relationships/ctrlProp" Target="../ctrlProps/ctrlProp617.xml"/><Relationship Id="rId15" Type="http://schemas.openxmlformats.org/officeDocument/2006/relationships/ctrlProp" Target="../ctrlProps/ctrlProp627.xml"/><Relationship Id="rId10" Type="http://schemas.openxmlformats.org/officeDocument/2006/relationships/ctrlProp" Target="../ctrlProps/ctrlProp622.xml"/><Relationship Id="rId4" Type="http://schemas.openxmlformats.org/officeDocument/2006/relationships/ctrlProp" Target="../ctrlProps/ctrlProp616.xml"/><Relationship Id="rId9" Type="http://schemas.openxmlformats.org/officeDocument/2006/relationships/ctrlProp" Target="../ctrlProps/ctrlProp621.xml"/><Relationship Id="rId14" Type="http://schemas.openxmlformats.org/officeDocument/2006/relationships/ctrlProp" Target="../ctrlProps/ctrlProp626.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34.xml"/><Relationship Id="rId13" Type="http://schemas.openxmlformats.org/officeDocument/2006/relationships/ctrlProp" Target="../ctrlProps/ctrlProp639.xml"/><Relationship Id="rId3" Type="http://schemas.openxmlformats.org/officeDocument/2006/relationships/ctrlProp" Target="../ctrlProps/ctrlProp629.xml"/><Relationship Id="rId7" Type="http://schemas.openxmlformats.org/officeDocument/2006/relationships/ctrlProp" Target="../ctrlProps/ctrlProp633.xml"/><Relationship Id="rId12" Type="http://schemas.openxmlformats.org/officeDocument/2006/relationships/ctrlProp" Target="../ctrlProps/ctrlProp638.xml"/><Relationship Id="rId2" Type="http://schemas.openxmlformats.org/officeDocument/2006/relationships/vmlDrawing" Target="../drawings/vmlDrawing47.vml"/><Relationship Id="rId16" Type="http://schemas.openxmlformats.org/officeDocument/2006/relationships/table" Target="../tables/table120.xml"/><Relationship Id="rId1" Type="http://schemas.openxmlformats.org/officeDocument/2006/relationships/drawing" Target="../drawings/drawing50.xml"/><Relationship Id="rId6" Type="http://schemas.openxmlformats.org/officeDocument/2006/relationships/ctrlProp" Target="../ctrlProps/ctrlProp632.xml"/><Relationship Id="rId11" Type="http://schemas.openxmlformats.org/officeDocument/2006/relationships/ctrlProp" Target="../ctrlProps/ctrlProp637.xml"/><Relationship Id="rId5" Type="http://schemas.openxmlformats.org/officeDocument/2006/relationships/ctrlProp" Target="../ctrlProps/ctrlProp631.xml"/><Relationship Id="rId15" Type="http://schemas.openxmlformats.org/officeDocument/2006/relationships/ctrlProp" Target="../ctrlProps/ctrlProp641.xml"/><Relationship Id="rId10" Type="http://schemas.openxmlformats.org/officeDocument/2006/relationships/ctrlProp" Target="../ctrlProps/ctrlProp636.xml"/><Relationship Id="rId4" Type="http://schemas.openxmlformats.org/officeDocument/2006/relationships/ctrlProp" Target="../ctrlProps/ctrlProp630.xml"/><Relationship Id="rId9" Type="http://schemas.openxmlformats.org/officeDocument/2006/relationships/ctrlProp" Target="../ctrlProps/ctrlProp635.xml"/><Relationship Id="rId14" Type="http://schemas.openxmlformats.org/officeDocument/2006/relationships/ctrlProp" Target="../ctrlProps/ctrlProp6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M2"/>
    </sheetView>
  </sheetViews>
  <sheetFormatPr defaultRowHeight="16.5" x14ac:dyDescent="0.3"/>
  <cols>
    <col min="1" max="1" width="10.5" style="98" bestFit="1" customWidth="1"/>
    <col min="2" max="2" width="36.25" style="98" bestFit="1" customWidth="1"/>
    <col min="3" max="3" width="16.125" style="98" bestFit="1" customWidth="1"/>
    <col min="4" max="5" width="14.375" style="191" bestFit="1" customWidth="1"/>
    <col min="6" max="25" width="9" style="98"/>
    <col min="26" max="26" width="9" style="98" hidden="1" customWidth="1"/>
    <col min="27" max="16384" width="9" style="98"/>
  </cols>
  <sheetData>
    <row r="1" spans="1:26" x14ac:dyDescent="0.3">
      <c r="A1" s="186" t="s">
        <v>860</v>
      </c>
      <c r="B1" s="187" t="s">
        <v>14</v>
      </c>
      <c r="C1" s="188" t="s">
        <v>15</v>
      </c>
      <c r="D1" s="190" t="s">
        <v>861</v>
      </c>
      <c r="E1" s="190" t="s">
        <v>862</v>
      </c>
      <c r="F1" s="186" t="s">
        <v>863</v>
      </c>
      <c r="G1" s="189" t="s">
        <v>864</v>
      </c>
      <c r="H1" s="186" t="s">
        <v>865</v>
      </c>
      <c r="I1" s="186" t="s">
        <v>866</v>
      </c>
      <c r="J1" s="189" t="s">
        <v>867</v>
      </c>
      <c r="K1" s="189" t="s">
        <v>868</v>
      </c>
      <c r="L1" s="189" t="s">
        <v>869</v>
      </c>
      <c r="M1" s="189" t="s">
        <v>870</v>
      </c>
      <c r="N1" s="255"/>
      <c r="O1" s="255"/>
      <c r="P1" s="255"/>
      <c r="Q1" s="255"/>
      <c r="R1" s="255"/>
      <c r="S1" s="255"/>
      <c r="T1" s="255"/>
      <c r="U1" s="255"/>
      <c r="V1" s="255"/>
      <c r="W1" s="255"/>
      <c r="X1" s="255"/>
      <c r="Y1" s="255"/>
      <c r="Z1" s="98" t="s">
        <v>872</v>
      </c>
    </row>
    <row r="2" spans="1:26" x14ac:dyDescent="0.3">
      <c r="A2" s="255" t="s">
        <v>1009</v>
      </c>
      <c r="B2" s="98" t="s">
        <v>1267</v>
      </c>
      <c r="C2" s="98" t="s">
        <v>1268</v>
      </c>
      <c r="D2" s="191">
        <v>45785</v>
      </c>
      <c r="E2" s="191">
        <v>46150</v>
      </c>
      <c r="F2" s="255">
        <v>365</v>
      </c>
      <c r="G2" s="98" t="s">
        <v>1010</v>
      </c>
      <c r="H2" s="255"/>
      <c r="I2" s="255"/>
      <c r="J2" s="255"/>
      <c r="K2" s="255"/>
      <c r="L2" s="255"/>
      <c r="M2" s="255"/>
      <c r="N2" s="255"/>
      <c r="O2" s="255"/>
      <c r="P2" s="255"/>
      <c r="Q2" s="255"/>
      <c r="R2" s="255"/>
      <c r="S2" s="255"/>
      <c r="T2" s="255"/>
      <c r="U2" s="255"/>
      <c r="V2" s="255"/>
      <c r="W2" s="255"/>
      <c r="X2" s="255"/>
      <c r="Y2" s="255"/>
      <c r="Z2" s="255" t="s">
        <v>1088</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95F2-D700-4538-BD5C-EAD8CFD88F0C}">
  <sheetPr codeName="Sheet44"/>
  <dimension ref="A1:E4"/>
  <sheetViews>
    <sheetView showGridLines="0" workbookViewId="0">
      <selection activeCell="B8" sqref="B8"/>
    </sheetView>
  </sheetViews>
  <sheetFormatPr defaultRowHeight="16.5" x14ac:dyDescent="0.3"/>
  <cols>
    <col min="1" max="1" width="11.625" style="169" bestFit="1" customWidth="1"/>
    <col min="2" max="4" width="9" style="169"/>
    <col min="5" max="5" width="10.875" style="169" bestFit="1" customWidth="1"/>
    <col min="6" max="8" width="9" style="169"/>
    <col min="9" max="9" width="11.625" style="169" bestFit="1" customWidth="1"/>
    <col min="10" max="16384" width="9" style="169"/>
  </cols>
  <sheetData>
    <row r="1" spans="1:5" x14ac:dyDescent="0.3">
      <c r="A1" s="443">
        <v>1</v>
      </c>
      <c r="B1" s="40"/>
      <c r="C1" s="40"/>
      <c r="D1" s="40"/>
      <c r="E1" s="40"/>
    </row>
    <row r="2" spans="1:5" x14ac:dyDescent="0.3">
      <c r="A2" s="443">
        <v>1</v>
      </c>
    </row>
    <row r="3" spans="1:5" x14ac:dyDescent="0.3">
      <c r="A3" s="443"/>
    </row>
    <row r="4" spans="1:5" x14ac:dyDescent="0.3">
      <c r="A4" s="443"/>
    </row>
  </sheetData>
  <sheetProtection algorithmName="SHA-512" hashValue="4B3dnAa1/5l8ZLRlG32Sx74Pi8qNbRy2RtevcKSscWmgpfG2HsuDyQTdgDKnnrROrjL9cKZr8ZVVxpcXQHyxNQ==" saltValue="/bN63KABR9k9ycAniNLL0Q==" spinCount="100000" sheet="1" scenarios="1" formatCells="0" formatColumns="0" formatRows="0" insertColumns="0" insertRow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4:B76"/>
  <sheetViews>
    <sheetView showGridLines="0" zoomScaleNormal="100" workbookViewId="0">
      <selection activeCell="L5" sqref="L5"/>
    </sheetView>
  </sheetViews>
  <sheetFormatPr defaultRowHeight="16.5" x14ac:dyDescent="0.3"/>
  <cols>
    <col min="1" max="1" width="11.625" style="170" bestFit="1" customWidth="1"/>
    <col min="2" max="16384" width="9" style="170"/>
  </cols>
  <sheetData>
    <row r="4" spans="1:2" ht="37.5" x14ac:dyDescent="0.3">
      <c r="A4" s="183" t="s">
        <v>5</v>
      </c>
      <c r="B4" s="183" t="s">
        <v>6</v>
      </c>
    </row>
    <row r="5" spans="1:2" ht="17.25" x14ac:dyDescent="0.3">
      <c r="A5" s="250"/>
      <c r="B5" s="192" t="s">
        <v>1063</v>
      </c>
    </row>
    <row r="6" spans="1:2" ht="17.25" x14ac:dyDescent="0.3">
      <c r="A6" s="250"/>
      <c r="B6" s="192" t="s">
        <v>871</v>
      </c>
    </row>
    <row r="7" spans="1:2" ht="17.25" x14ac:dyDescent="0.3">
      <c r="A7" s="250"/>
      <c r="B7" s="192" t="s">
        <v>1064</v>
      </c>
    </row>
    <row r="8" spans="1:2" ht="17.25" x14ac:dyDescent="0.3">
      <c r="A8" s="250"/>
      <c r="B8" s="192" t="s">
        <v>1065</v>
      </c>
    </row>
    <row r="9" spans="1:2" ht="17.25" x14ac:dyDescent="0.3">
      <c r="A9" s="250"/>
      <c r="B9" s="193" t="s">
        <v>1066</v>
      </c>
    </row>
    <row r="10" spans="1:2" x14ac:dyDescent="0.3">
      <c r="A10" s="250"/>
      <c r="B10" s="250"/>
    </row>
    <row r="11" spans="1:2" ht="37.5" x14ac:dyDescent="0.3">
      <c r="A11" s="183" t="s">
        <v>12</v>
      </c>
      <c r="B11" s="183" t="s">
        <v>13</v>
      </c>
    </row>
    <row r="12" spans="1:2" x14ac:dyDescent="0.3">
      <c r="A12" s="184" t="s">
        <v>14</v>
      </c>
      <c r="B12" s="170" t="s">
        <v>1267</v>
      </c>
    </row>
    <row r="13" spans="1:2" x14ac:dyDescent="0.3">
      <c r="A13" s="184" t="s">
        <v>15</v>
      </c>
      <c r="B13" s="170" t="s">
        <v>1268</v>
      </c>
    </row>
    <row r="14" spans="1:2" ht="17.25" x14ac:dyDescent="0.3">
      <c r="A14" s="250"/>
      <c r="B14" s="181" t="s">
        <v>7</v>
      </c>
    </row>
    <row r="15" spans="1:2" ht="17.25" x14ac:dyDescent="0.3">
      <c r="A15" s="250"/>
      <c r="B15" s="181" t="s">
        <v>8</v>
      </c>
    </row>
    <row r="16" spans="1:2" ht="17.25" x14ac:dyDescent="0.3">
      <c r="A16" s="250"/>
      <c r="B16" s="181" t="s">
        <v>9</v>
      </c>
    </row>
    <row r="17" spans="1:2" ht="17.25" x14ac:dyDescent="0.3">
      <c r="A17" s="250"/>
      <c r="B17" s="181" t="s">
        <v>10</v>
      </c>
    </row>
    <row r="18" spans="1:2" ht="17.25" x14ac:dyDescent="0.3">
      <c r="A18" s="250"/>
      <c r="B18" s="182" t="s">
        <v>11</v>
      </c>
    </row>
    <row r="19" spans="1:2" x14ac:dyDescent="0.3">
      <c r="A19" s="250"/>
      <c r="B19" s="250"/>
    </row>
    <row r="20" spans="1:2" x14ac:dyDescent="0.3">
      <c r="A20" s="250"/>
      <c r="B20" s="250"/>
    </row>
    <row r="21" spans="1:2" x14ac:dyDescent="0.3">
      <c r="A21" s="250"/>
      <c r="B21" s="250"/>
    </row>
    <row r="22" spans="1:2" x14ac:dyDescent="0.3">
      <c r="A22" s="250"/>
      <c r="B22" s="250"/>
    </row>
    <row r="23" spans="1:2" x14ac:dyDescent="0.3">
      <c r="A23" s="250"/>
      <c r="B23" s="250"/>
    </row>
    <row r="24" spans="1:2" x14ac:dyDescent="0.3">
      <c r="A24" s="251"/>
      <c r="B24" s="250"/>
    </row>
    <row r="25" spans="1:2" x14ac:dyDescent="0.3">
      <c r="A25" s="252"/>
      <c r="B25" s="250"/>
    </row>
    <row r="26" spans="1:2" x14ac:dyDescent="0.3">
      <c r="A26" s="251"/>
      <c r="B26" s="250"/>
    </row>
    <row r="27" spans="1:2" x14ac:dyDescent="0.3">
      <c r="A27" s="252"/>
      <c r="B27" s="250"/>
    </row>
    <row r="28" spans="1:2" x14ac:dyDescent="0.3">
      <c r="A28" s="252"/>
      <c r="B28" s="250"/>
    </row>
    <row r="29" spans="1:2" x14ac:dyDescent="0.3">
      <c r="A29" s="252"/>
      <c r="B29" s="250"/>
    </row>
    <row r="30" spans="1:2" x14ac:dyDescent="0.3">
      <c r="A30" s="252"/>
      <c r="B30" s="250"/>
    </row>
    <row r="31" spans="1:2" x14ac:dyDescent="0.3">
      <c r="A31" s="251"/>
      <c r="B31" s="250"/>
    </row>
    <row r="32" spans="1:2" x14ac:dyDescent="0.3">
      <c r="A32" s="252"/>
      <c r="B32" s="250"/>
    </row>
    <row r="33" spans="1:2" x14ac:dyDescent="0.3">
      <c r="A33" s="252"/>
      <c r="B33" s="250"/>
    </row>
    <row r="34" spans="1:2" x14ac:dyDescent="0.3">
      <c r="A34" s="252"/>
      <c r="B34" s="250"/>
    </row>
    <row r="35" spans="1:2" x14ac:dyDescent="0.3">
      <c r="A35" s="252"/>
      <c r="B35" s="250"/>
    </row>
    <row r="36" spans="1:2" x14ac:dyDescent="0.3">
      <c r="A36" s="251"/>
      <c r="B36" s="250"/>
    </row>
    <row r="37" spans="1:2" x14ac:dyDescent="0.3">
      <c r="A37" s="253"/>
      <c r="B37" s="250"/>
    </row>
    <row r="38" spans="1:2" x14ac:dyDescent="0.3">
      <c r="A38" s="254"/>
      <c r="B38" s="250"/>
    </row>
    <row r="39" spans="1:2" x14ac:dyDescent="0.3">
      <c r="A39" s="253"/>
      <c r="B39" s="250"/>
    </row>
    <row r="40" spans="1:2" x14ac:dyDescent="0.3">
      <c r="A40" s="254"/>
      <c r="B40" s="250"/>
    </row>
    <row r="41" spans="1:2" x14ac:dyDescent="0.3">
      <c r="A41" s="253"/>
      <c r="B41" s="250"/>
    </row>
    <row r="42" spans="1:2" x14ac:dyDescent="0.3">
      <c r="A42" s="254"/>
      <c r="B42" s="250"/>
    </row>
    <row r="43" spans="1:2" x14ac:dyDescent="0.3">
      <c r="A43" s="253"/>
      <c r="B43" s="250"/>
    </row>
    <row r="44" spans="1:2" x14ac:dyDescent="0.3">
      <c r="A44" s="254"/>
      <c r="B44" s="250"/>
    </row>
    <row r="45" spans="1:2" x14ac:dyDescent="0.3">
      <c r="A45" s="253"/>
      <c r="B45" s="250"/>
    </row>
    <row r="46" spans="1:2" x14ac:dyDescent="0.3">
      <c r="A46" s="254"/>
      <c r="B46" s="250"/>
    </row>
    <row r="47" spans="1:2" x14ac:dyDescent="0.3">
      <c r="A47" s="252"/>
      <c r="B47" s="250"/>
    </row>
    <row r="48" spans="1:2" x14ac:dyDescent="0.3">
      <c r="A48" s="252"/>
      <c r="B48" s="250"/>
    </row>
    <row r="49" spans="1:2" x14ac:dyDescent="0.3">
      <c r="A49" s="252"/>
      <c r="B49" s="250"/>
    </row>
    <row r="50" spans="1:2" x14ac:dyDescent="0.3">
      <c r="A50" s="251"/>
      <c r="B50" s="250"/>
    </row>
    <row r="51" spans="1:2" x14ac:dyDescent="0.3">
      <c r="A51" s="252"/>
      <c r="B51" s="250"/>
    </row>
    <row r="52" spans="1:2" x14ac:dyDescent="0.3">
      <c r="A52" s="252"/>
      <c r="B52" s="250"/>
    </row>
    <row r="53" spans="1:2" x14ac:dyDescent="0.3">
      <c r="A53" s="252"/>
      <c r="B53" s="250"/>
    </row>
    <row r="54" spans="1:2" x14ac:dyDescent="0.3">
      <c r="A54" s="252"/>
      <c r="B54" s="250"/>
    </row>
    <row r="55" spans="1:2" x14ac:dyDescent="0.3">
      <c r="A55" s="251"/>
      <c r="B55" s="250"/>
    </row>
    <row r="56" spans="1:2" x14ac:dyDescent="0.3">
      <c r="A56" s="253"/>
      <c r="B56" s="250"/>
    </row>
    <row r="57" spans="1:2" x14ac:dyDescent="0.3">
      <c r="A57" s="253"/>
      <c r="B57" s="250"/>
    </row>
    <row r="58" spans="1:2" x14ac:dyDescent="0.3">
      <c r="A58" s="253"/>
      <c r="B58" s="250"/>
    </row>
    <row r="59" spans="1:2" x14ac:dyDescent="0.3">
      <c r="A59" s="253"/>
      <c r="B59" s="250"/>
    </row>
    <row r="60" spans="1:2" x14ac:dyDescent="0.3">
      <c r="A60" s="252"/>
      <c r="B60" s="250"/>
    </row>
    <row r="61" spans="1:2" x14ac:dyDescent="0.3">
      <c r="A61" s="252"/>
      <c r="B61" s="250"/>
    </row>
    <row r="62" spans="1:2" x14ac:dyDescent="0.3">
      <c r="A62" s="252"/>
      <c r="B62" s="250"/>
    </row>
    <row r="63" spans="1:2" x14ac:dyDescent="0.3">
      <c r="A63" s="251"/>
      <c r="B63" s="250"/>
    </row>
    <row r="64" spans="1:2" x14ac:dyDescent="0.3">
      <c r="A64" s="252"/>
      <c r="B64" s="250"/>
    </row>
    <row r="65" spans="1:2" x14ac:dyDescent="0.3">
      <c r="A65" s="252"/>
      <c r="B65" s="250"/>
    </row>
    <row r="66" spans="1:2" x14ac:dyDescent="0.3">
      <c r="A66" s="252"/>
      <c r="B66" s="250"/>
    </row>
    <row r="67" spans="1:2" x14ac:dyDescent="0.3">
      <c r="A67" s="252"/>
      <c r="B67" s="250"/>
    </row>
    <row r="68" spans="1:2" x14ac:dyDescent="0.3">
      <c r="A68" s="251"/>
      <c r="B68" s="250"/>
    </row>
    <row r="69" spans="1:2" x14ac:dyDescent="0.3">
      <c r="A69" s="253"/>
      <c r="B69" s="250"/>
    </row>
    <row r="70" spans="1:2" x14ac:dyDescent="0.3">
      <c r="A70" s="253"/>
      <c r="B70" s="250"/>
    </row>
    <row r="71" spans="1:2" x14ac:dyDescent="0.3">
      <c r="A71" s="253"/>
      <c r="B71" s="250"/>
    </row>
    <row r="72" spans="1:2" x14ac:dyDescent="0.3">
      <c r="A72" s="253"/>
      <c r="B72" s="250"/>
    </row>
    <row r="73" spans="1:2" x14ac:dyDescent="0.3">
      <c r="A73" s="253"/>
      <c r="B73" s="250"/>
    </row>
    <row r="74" spans="1:2" x14ac:dyDescent="0.3">
      <c r="A74" s="253"/>
      <c r="B74" s="250"/>
    </row>
    <row r="75" spans="1:2" x14ac:dyDescent="0.3">
      <c r="A75" s="252"/>
      <c r="B75" s="250"/>
    </row>
    <row r="76" spans="1:2" x14ac:dyDescent="0.3">
      <c r="A76" s="251"/>
      <c r="B76" s="250"/>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ADF5-92BA-4892-9D93-5D6539C38BEB}">
  <sheetPr codeName="Sheet1">
    <outlinePr summaryBelow="0" summaryRight="0"/>
  </sheetPr>
  <dimension ref="A1:H59"/>
  <sheetViews>
    <sheetView showGridLines="0" tabSelected="1" topLeftCell="A2" zoomScaleNormal="100" workbookViewId="0">
      <selection activeCell="R3" sqref="R3"/>
    </sheetView>
  </sheetViews>
  <sheetFormatPr defaultRowHeight="18" customHeight="1" outlineLevelRow="1" x14ac:dyDescent="0.3"/>
  <cols>
    <col min="1" max="1" width="10.625" style="40" customWidth="1"/>
    <col min="2" max="2" width="68" style="40" customWidth="1"/>
    <col min="3" max="3" width="7" style="114" customWidth="1"/>
    <col min="7" max="16384" width="9" style="40"/>
  </cols>
  <sheetData>
    <row r="1" spans="1:8" s="502" customFormat="1" ht="37.5" customHeight="1" x14ac:dyDescent="0.7">
      <c r="A1" s="113"/>
      <c r="B1" s="113" t="s">
        <v>1270</v>
      </c>
      <c r="C1" s="500"/>
      <c r="D1" s="501"/>
      <c r="E1" s="501"/>
      <c r="F1" s="501"/>
    </row>
    <row r="2" spans="1:8" ht="18" customHeight="1" x14ac:dyDescent="0.3">
      <c r="A2" s="195"/>
      <c r="C2" s="194"/>
    </row>
    <row r="3" spans="1:8" ht="37.5" customHeight="1" x14ac:dyDescent="0.3">
      <c r="A3" s="320">
        <v>1</v>
      </c>
      <c r="B3" s="113" t="s">
        <v>1089</v>
      </c>
      <c r="C3" s="113" t="s">
        <v>1090</v>
      </c>
      <c r="H3" s="113" t="s">
        <v>1091</v>
      </c>
    </row>
    <row r="4" spans="1:8" ht="18" customHeight="1" x14ac:dyDescent="0.3">
      <c r="A4" s="320" t="s">
        <v>1058</v>
      </c>
      <c r="B4" s="194"/>
      <c r="C4" s="194"/>
    </row>
    <row r="5" spans="1:8" ht="18" customHeight="1" outlineLevel="1" x14ac:dyDescent="0.3">
      <c r="A5" s="320" t="s">
        <v>1059</v>
      </c>
      <c r="B5" s="194"/>
      <c r="C5" s="194"/>
    </row>
    <row r="6" spans="1:8" ht="18" customHeight="1" outlineLevel="1" x14ac:dyDescent="0.3">
      <c r="A6" s="320" t="s">
        <v>1060</v>
      </c>
      <c r="B6" s="194"/>
      <c r="C6" s="194"/>
    </row>
    <row r="7" spans="1:8" ht="18" customHeight="1" outlineLevel="1" x14ac:dyDescent="0.3">
      <c r="A7" s="320" t="s">
        <v>1061</v>
      </c>
      <c r="B7" s="194"/>
      <c r="C7" s="194"/>
    </row>
    <row r="8" spans="1:8" ht="18" customHeight="1" outlineLevel="1" x14ac:dyDescent="0.3">
      <c r="A8" s="320" t="s">
        <v>1062</v>
      </c>
      <c r="B8" s="194"/>
      <c r="C8" s="194"/>
    </row>
    <row r="9" spans="1:8" ht="18" customHeight="1" outlineLevel="1" x14ac:dyDescent="0.3">
      <c r="B9" s="194"/>
      <c r="C9" s="194"/>
    </row>
    <row r="10" spans="1:8" ht="18" customHeight="1" outlineLevel="1" x14ac:dyDescent="0.3">
      <c r="B10" s="194"/>
      <c r="C10" s="194"/>
    </row>
    <row r="11" spans="1:8" ht="18" customHeight="1" outlineLevel="1" x14ac:dyDescent="0.3">
      <c r="B11" s="194"/>
      <c r="C11" s="194"/>
    </row>
    <row r="12" spans="1:8" ht="18" customHeight="1" x14ac:dyDescent="0.3">
      <c r="B12" s="194"/>
      <c r="C12" s="194"/>
    </row>
    <row r="13" spans="1:8" ht="18" customHeight="1" outlineLevel="1" x14ac:dyDescent="0.3">
      <c r="B13" s="194"/>
      <c r="C13" s="194"/>
    </row>
    <row r="14" spans="1:8" ht="18" customHeight="1" outlineLevel="1" x14ac:dyDescent="0.3">
      <c r="B14" s="194"/>
      <c r="C14" s="194"/>
    </row>
    <row r="15" spans="1:8" ht="18" customHeight="1" outlineLevel="1" x14ac:dyDescent="0.3">
      <c r="B15" s="194"/>
      <c r="C15" s="194"/>
    </row>
    <row r="16" spans="1:8" ht="18" customHeight="1" outlineLevel="1" x14ac:dyDescent="0.3">
      <c r="B16" s="194"/>
      <c r="C16" s="194"/>
    </row>
    <row r="17" spans="2:3" ht="18" customHeight="1" outlineLevel="1" x14ac:dyDescent="0.3">
      <c r="B17" s="194"/>
      <c r="C17" s="194"/>
    </row>
    <row r="18" spans="2:3" ht="18" customHeight="1" outlineLevel="1" x14ac:dyDescent="0.3">
      <c r="B18" s="194"/>
      <c r="C18" s="194"/>
    </row>
    <row r="19" spans="2:3" ht="18" customHeight="1" outlineLevel="1" x14ac:dyDescent="0.3">
      <c r="B19" s="194"/>
      <c r="C19" s="194"/>
    </row>
    <row r="20" spans="2:3" ht="18" customHeight="1" outlineLevel="1" x14ac:dyDescent="0.3">
      <c r="B20" s="194"/>
      <c r="C20" s="194"/>
    </row>
    <row r="21" spans="2:3" ht="18" customHeight="1" outlineLevel="1" x14ac:dyDescent="0.3">
      <c r="B21" s="194"/>
      <c r="C21" s="194"/>
    </row>
    <row r="22" spans="2:3" ht="18" customHeight="1" outlineLevel="1" x14ac:dyDescent="0.3">
      <c r="B22" s="194"/>
      <c r="C22" s="194"/>
    </row>
    <row r="23" spans="2:3" ht="18" customHeight="1" outlineLevel="1" x14ac:dyDescent="0.3">
      <c r="B23" s="194"/>
      <c r="C23" s="194"/>
    </row>
    <row r="24" spans="2:3" ht="18" customHeight="1" outlineLevel="1" x14ac:dyDescent="0.3">
      <c r="B24" s="194"/>
      <c r="C24" s="194"/>
    </row>
    <row r="25" spans="2:3" ht="18" customHeight="1" outlineLevel="1" x14ac:dyDescent="0.3">
      <c r="B25" s="194"/>
      <c r="C25" s="194"/>
    </row>
    <row r="26" spans="2:3" ht="18" customHeight="1" outlineLevel="1" x14ac:dyDescent="0.3">
      <c r="B26" s="194"/>
      <c r="C26" s="194"/>
    </row>
    <row r="27" spans="2:3" ht="18" customHeight="1" outlineLevel="1" x14ac:dyDescent="0.3">
      <c r="B27" s="194"/>
      <c r="C27" s="194"/>
    </row>
    <row r="28" spans="2:3" ht="18" customHeight="1" x14ac:dyDescent="0.3">
      <c r="B28" s="194"/>
      <c r="C28" s="194"/>
    </row>
    <row r="29" spans="2:3" ht="18" customHeight="1" outlineLevel="1" x14ac:dyDescent="0.3">
      <c r="B29" s="194"/>
      <c r="C29" s="194"/>
    </row>
    <row r="30" spans="2:3" ht="18" customHeight="1" outlineLevel="1" x14ac:dyDescent="0.3">
      <c r="B30" s="194"/>
      <c r="C30" s="194"/>
    </row>
    <row r="31" spans="2:3" ht="18" customHeight="1" outlineLevel="1" x14ac:dyDescent="0.3">
      <c r="B31" s="194"/>
      <c r="C31" s="194"/>
    </row>
    <row r="32" spans="2:3" ht="18" customHeight="1" outlineLevel="1" x14ac:dyDescent="0.3">
      <c r="B32" s="194"/>
      <c r="C32" s="194"/>
    </row>
    <row r="33" spans="2:3" ht="18" customHeight="1" outlineLevel="1" x14ac:dyDescent="0.3">
      <c r="B33" s="194"/>
      <c r="C33" s="194"/>
    </row>
    <row r="34" spans="2:3" ht="18" customHeight="1" outlineLevel="1" x14ac:dyDescent="0.3">
      <c r="B34" s="194"/>
      <c r="C34" s="194"/>
    </row>
    <row r="35" spans="2:3" ht="18" customHeight="1" outlineLevel="1" x14ac:dyDescent="0.3">
      <c r="B35" s="194"/>
      <c r="C35" s="194"/>
    </row>
    <row r="36" spans="2:3" ht="18" customHeight="1" outlineLevel="1" x14ac:dyDescent="0.3">
      <c r="B36" s="194"/>
      <c r="C36" s="194"/>
    </row>
    <row r="37" spans="2:3" ht="18" customHeight="1" x14ac:dyDescent="0.3">
      <c r="B37" s="194"/>
      <c r="C37" s="194"/>
    </row>
    <row r="38" spans="2:3" ht="18" customHeight="1" outlineLevel="1" x14ac:dyDescent="0.3">
      <c r="B38" s="194"/>
      <c r="C38" s="194"/>
    </row>
    <row r="39" spans="2:3" ht="18" customHeight="1" outlineLevel="1" x14ac:dyDescent="0.3">
      <c r="B39" s="194"/>
      <c r="C39" s="194"/>
    </row>
    <row r="40" spans="2:3" ht="18" customHeight="1" outlineLevel="1" x14ac:dyDescent="0.3">
      <c r="B40" s="194"/>
      <c r="C40" s="194"/>
    </row>
    <row r="41" spans="2:3" ht="18" customHeight="1" outlineLevel="1" x14ac:dyDescent="0.3">
      <c r="B41" s="194"/>
      <c r="C41" s="194"/>
    </row>
    <row r="42" spans="2:3" ht="18" customHeight="1" outlineLevel="1" x14ac:dyDescent="0.3">
      <c r="B42" s="194"/>
      <c r="C42" s="194"/>
    </row>
    <row r="43" spans="2:3" ht="18" customHeight="1" outlineLevel="1" x14ac:dyDescent="0.3">
      <c r="B43" s="194"/>
      <c r="C43" s="194"/>
    </row>
    <row r="44" spans="2:3" ht="18" customHeight="1" outlineLevel="1" x14ac:dyDescent="0.3">
      <c r="B44" s="194"/>
      <c r="C44" s="194"/>
    </row>
    <row r="45" spans="2:3" ht="18" customHeight="1" outlineLevel="1" x14ac:dyDescent="0.3">
      <c r="B45" s="194"/>
      <c r="C45" s="194"/>
    </row>
    <row r="46" spans="2:3" ht="18" customHeight="1" outlineLevel="1" x14ac:dyDescent="0.3">
      <c r="B46" s="194"/>
      <c r="C46" s="194"/>
    </row>
    <row r="47" spans="2:3" ht="18" customHeight="1" outlineLevel="1" x14ac:dyDescent="0.3">
      <c r="B47" s="194"/>
      <c r="C47" s="194"/>
    </row>
    <row r="48" spans="2:3" ht="18" customHeight="1" outlineLevel="1" x14ac:dyDescent="0.3">
      <c r="B48" s="194"/>
      <c r="C48" s="194"/>
    </row>
    <row r="49" spans="2:3" ht="18" customHeight="1" outlineLevel="1" x14ac:dyDescent="0.3">
      <c r="B49" s="194"/>
      <c r="C49" s="194"/>
    </row>
    <row r="50" spans="2:3" ht="18" customHeight="1" outlineLevel="1" x14ac:dyDescent="0.3">
      <c r="B50" s="194"/>
      <c r="C50" s="194"/>
    </row>
    <row r="51" spans="2:3" ht="18" customHeight="1" x14ac:dyDescent="0.3">
      <c r="B51" s="114"/>
    </row>
    <row r="52" spans="2:3" ht="18" customHeight="1" x14ac:dyDescent="0.3">
      <c r="B52" s="114"/>
    </row>
    <row r="53" spans="2:3" ht="18" customHeight="1" x14ac:dyDescent="0.3">
      <c r="B53" s="114"/>
    </row>
    <row r="54" spans="2:3" ht="18" customHeight="1" x14ac:dyDescent="0.3">
      <c r="B54" s="114"/>
    </row>
    <row r="55" spans="2:3" ht="18" customHeight="1" x14ac:dyDescent="0.3">
      <c r="B55" s="114"/>
    </row>
    <row r="56" spans="2:3" ht="18" customHeight="1" x14ac:dyDescent="0.3">
      <c r="B56" s="114"/>
    </row>
    <row r="57" spans="2:3" ht="18" customHeight="1" x14ac:dyDescent="0.3">
      <c r="B57" s="114"/>
    </row>
    <row r="58" spans="2:3" ht="18" customHeight="1" x14ac:dyDescent="0.3">
      <c r="B58" s="114"/>
    </row>
    <row r="59" spans="2:3" ht="18" customHeight="1" x14ac:dyDescent="0.3">
      <c r="B59" s="114"/>
    </row>
  </sheetData>
  <sheetProtection formatCells="0" formatColumns="0" formatRows="0" insertColumns="0" insertRows="0" insertHyperlinks="0" deleteColumns="0" deleteRows="0" sort="0" autoFilter="0" pivotTables="0"/>
  <dataValidations count="2">
    <dataValidation type="list" allowBlank="1" showInputMessage="1" showErrorMessage="1" sqref="B1" xr:uid="{94EFA292-3FDB-48EC-B1E5-BD1D68F2C0A7}">
      <formula1>"Quan tri tong the, Quan ly Ban hang, Quan ly Luu kho, Quan ly Chi phi, Quan ly Giao dich, Quan ly hoat dong tai chinh &amp; khac"</formula1>
    </dataValidation>
    <dataValidation type="list" allowBlank="1" showInputMessage="1" showErrorMessage="1" sqref="A2" xr:uid="{34511242-EEBD-46BC-9E1A-8121D62876F6}">
      <formula1>"Update"</formula1>
    </dataValidation>
  </dataValidations>
  <hyperlinks>
    <hyperlink ref="H3" r:id="rId1" xr:uid="{55E74764-AF1D-443F-90F7-A5BD52C7C1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1" r:id="rId5" name="Drop Down 5">
              <controlPr defaultSize="0" autoLine="0" autoPict="0" macro="[0]!ThemeSelector">
                <anchor moveWithCells="1">
                  <from>
                    <xdr:col>7</xdr:col>
                    <xdr:colOff>57150</xdr:colOff>
                    <xdr:row>6</xdr:row>
                    <xdr:rowOff>133350</xdr:rowOff>
                  </from>
                  <to>
                    <xdr:col>9</xdr:col>
                    <xdr:colOff>447675</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9C30-5EA3-45EA-A527-C6194A5D96A4}">
  <sheetPr codeName="Sheet45">
    <outlinePr summaryBelow="0" summaryRight="0"/>
  </sheetPr>
  <dimension ref="A2:BL227"/>
  <sheetViews>
    <sheetView showGridLines="0" workbookViewId="0">
      <selection activeCell="E18" sqref="E18"/>
    </sheetView>
  </sheetViews>
  <sheetFormatPr defaultRowHeight="16.5" outlineLevelCol="1" x14ac:dyDescent="0.3"/>
  <cols>
    <col min="1" max="1" width="9" collapsed="1"/>
    <col min="2" max="3" width="9" style="40" hidden="1" customWidth="1" outlineLevel="1"/>
    <col min="4" max="4" width="9" style="40"/>
    <col min="5" max="5" width="8" style="112" bestFit="1" customWidth="1"/>
    <col min="8" max="8" width="13" style="44" bestFit="1" customWidth="1" collapsed="1"/>
    <col min="9" max="9" width="8.875" style="44" hidden="1" customWidth="1" outlineLevel="1"/>
    <col min="10" max="10" width="12.375" style="44" hidden="1" customWidth="1" outlineLevel="1"/>
    <col min="11" max="11" width="12.875" style="44" hidden="1" customWidth="1" outlineLevel="1"/>
    <col min="12" max="12" width="19.625" style="44" hidden="1" customWidth="1" outlineLevel="1"/>
    <col min="13" max="13" width="20.25" style="44" hidden="1" customWidth="1" outlineLevel="1"/>
    <col min="14" max="14" width="17.25" style="44" hidden="1" customWidth="1" outlineLevel="1"/>
    <col min="15" max="15" width="9.875" style="44" hidden="1" customWidth="1" outlineLevel="1"/>
    <col min="16" max="16" width="8.875" style="44" hidden="1" customWidth="1" outlineLevel="1"/>
    <col min="17" max="17" width="9" collapsed="1"/>
    <col min="19" max="19" width="13" style="44" bestFit="1" customWidth="1" collapsed="1"/>
    <col min="20" max="20" width="12.375" style="44" hidden="1" customWidth="1" outlineLevel="1"/>
    <col min="21" max="21" width="19.625" style="44" hidden="1" customWidth="1" outlineLevel="1"/>
    <col min="22" max="22" width="12.875" style="44" hidden="1" customWidth="1" outlineLevel="1"/>
    <col min="23" max="23" width="9.875" style="44" hidden="1" customWidth="1" outlineLevel="1"/>
    <col min="24" max="24" width="11.75" style="44" hidden="1" customWidth="1" outlineLevel="1"/>
    <col min="25" max="25" width="6.75" style="44" hidden="1" customWidth="1" outlineLevel="1"/>
    <col min="26" max="26" width="10.375" style="44" hidden="1" customWidth="1" outlineLevel="1"/>
    <col min="27" max="27" width="8.875" style="44" hidden="1" customWidth="1" outlineLevel="1"/>
    <col min="28" max="28" width="9" collapsed="1"/>
    <col min="29" max="29" width="13" style="91" bestFit="1" customWidth="1" collapsed="1"/>
    <col min="30" max="30" width="10.875" style="91" hidden="1" customWidth="1" outlineLevel="1"/>
    <col min="31" max="31" width="12.375" style="91" hidden="1" customWidth="1" outlineLevel="1"/>
    <col min="32" max="32" width="17.25" style="91" hidden="1" customWidth="1" outlineLevel="1"/>
    <col min="33" max="33" width="9.125" style="91" hidden="1" customWidth="1" outlineLevel="1"/>
    <col min="34" max="34" width="9.875" style="91" hidden="1" customWidth="1" outlineLevel="1"/>
    <col min="35" max="35" width="27.125" style="91" hidden="1" customWidth="1" outlineLevel="1"/>
    <col min="37" max="37" width="13" bestFit="1" customWidth="1" collapsed="1"/>
    <col min="38" max="38" width="9.25" hidden="1" customWidth="1" outlineLevel="1"/>
    <col min="39" max="39" width="12.125" hidden="1" customWidth="1" outlineLevel="1"/>
    <col min="40" max="40" width="7.5" hidden="1" customWidth="1" outlineLevel="1"/>
    <col min="41" max="41" width="20.75" hidden="1" customWidth="1" outlineLevel="1"/>
    <col min="42" max="42" width="24.375" hidden="1" customWidth="1" outlineLevel="1"/>
    <col min="43" max="43" width="15.75" hidden="1" customWidth="1" outlineLevel="1"/>
    <col min="45" max="45" width="13" style="7" bestFit="1" customWidth="1" collapsed="1"/>
    <col min="46" max="46" width="9.25" style="7" hidden="1" customWidth="1" outlineLevel="1"/>
    <col min="47" max="47" width="12.25" style="7" hidden="1" customWidth="1" outlineLevel="1"/>
    <col min="48" max="48" width="12.375" style="7" hidden="1" customWidth="1" outlineLevel="1"/>
    <col min="49" max="49" width="8.5" style="7" hidden="1" customWidth="1" outlineLevel="1"/>
    <col min="50" max="50" width="11.375" style="7" hidden="1" customWidth="1" outlineLevel="1"/>
    <col min="51" max="51" width="10" style="7" hidden="1" customWidth="1" outlineLevel="1"/>
    <col min="52" max="52" width="9.75" style="7" hidden="1" customWidth="1" outlineLevel="1"/>
    <col min="53" max="53" width="17.25" style="7" hidden="1" customWidth="1" outlineLevel="1"/>
    <col min="54" max="54" width="13.5" style="7" hidden="1" customWidth="1" outlineLevel="1"/>
    <col min="55" max="55" width="10.25" style="7" hidden="1" customWidth="1" outlineLevel="1"/>
    <col min="56" max="56" width="9.875" style="7" hidden="1" customWidth="1" outlineLevel="1"/>
    <col min="57" max="57" width="9.625" style="7" hidden="1" customWidth="1" outlineLevel="1"/>
    <col min="58" max="58" width="10.875" style="7" hidden="1" customWidth="1" outlineLevel="1"/>
    <col min="61" max="64" width="9" style="7"/>
  </cols>
  <sheetData>
    <row r="2" spans="2:63" x14ac:dyDescent="0.3">
      <c r="C2" s="121">
        <f>MIN(Table_Datafeed[Kỳ])</f>
        <v>44927</v>
      </c>
      <c r="E2" s="156">
        <f>MIN(E6:E1048576)</f>
        <v>45292</v>
      </c>
      <c r="H2" s="121">
        <f>DATE(YEAR(MIN(H6:H1048576)),MONTH(MIN(H6:H1048576)),1)</f>
        <v>45292</v>
      </c>
      <c r="S2" s="121">
        <f>DATE(YEAR(MIN(S6:S1048576)),MONTH(MIN(S6:S1048576)),1)</f>
        <v>45231</v>
      </c>
      <c r="AC2" s="96">
        <f>MIN(AC6:AC1048576)</f>
        <v>45296</v>
      </c>
      <c r="AK2" t="s">
        <v>19</v>
      </c>
      <c r="AS2" s="14">
        <f>MIN(AS6:AS1048576)</f>
        <v>45296</v>
      </c>
      <c r="BI2" s="7" t="s">
        <v>0</v>
      </c>
      <c r="BK2" s="7" t="s">
        <v>3</v>
      </c>
    </row>
    <row r="3" spans="2:63" x14ac:dyDescent="0.3">
      <c r="C3" s="121">
        <f>DATE(
YEAR(MAX(Table_Datafeed[Kỳ])),
MONTH(MAX(Table_Datafeed[Kỳ]))+1,
1)-1</f>
        <v>44957</v>
      </c>
      <c r="E3" s="156">
        <f>MAX(E6:E1048576)</f>
        <v>45536</v>
      </c>
      <c r="H3" s="121">
        <f>DATE(YEAR(MAX(H6:H1048576)),MONTH(MAX(H6:H1048576))+1,1)-1</f>
        <v>45657</v>
      </c>
      <c r="I3" s="121" t="str" cm="1">
        <f t="array" ref="I3">IF(
IFERROR(ROWS(
_xlfn.UNIQUE(_xlfn._xlws.FILTER(I6:I1048576,
NOT(ISBLANK(I6:I1048576))
))),0)=1,I6,"")</f>
        <v/>
      </c>
      <c r="K3" s="121" t="str" cm="1">
        <f t="array" ref="K3">IF(
IFERROR(ROWS(
_xlfn.UNIQUE(_xlfn._xlws.FILTER(K6:K1048576,
NOT(ISBLANK(K6:K1048576))
))),0)=1,K6,"")</f>
        <v/>
      </c>
      <c r="L3" s="121" t="str" cm="1">
        <f t="array" ref="L3">IF(
IFERROR(ROWS(
_xlfn.UNIQUE(_xlfn._xlws.FILTER(L6:L1048576,
NOT(ISBLANK(L6:L1048576))
))),0)=1,L6,"")</f>
        <v/>
      </c>
      <c r="M3" s="196"/>
      <c r="S3" s="121">
        <f>DATE(YEAR(MAX(S6:S1048576)),MONTH(MAX(S6:S1048576))+1,1)-1</f>
        <v>45412</v>
      </c>
      <c r="X3" s="196"/>
      <c r="AC3" s="96">
        <f>MAX(AC6:AC1048576)</f>
        <v>45529</v>
      </c>
      <c r="AK3" t="s">
        <v>20</v>
      </c>
      <c r="AS3" s="14">
        <f>MAX(AS6:AS1048576)</f>
        <v>45651</v>
      </c>
      <c r="BI3" s="14">
        <v>44927</v>
      </c>
      <c r="BK3" s="468">
        <v>44927</v>
      </c>
    </row>
    <row r="4" spans="2:63" x14ac:dyDescent="0.3">
      <c r="BI4" s="14">
        <v>44928</v>
      </c>
    </row>
    <row r="5" spans="2:63" x14ac:dyDescent="0.3">
      <c r="B5" s="91" t="s">
        <v>21</v>
      </c>
      <c r="C5" s="91" t="s">
        <v>22</v>
      </c>
      <c r="E5" s="460" t="s">
        <v>3</v>
      </c>
      <c r="H5" s="38" t="s">
        <v>23</v>
      </c>
      <c r="I5" s="38" t="s">
        <v>24</v>
      </c>
      <c r="J5" s="38" t="s">
        <v>25</v>
      </c>
      <c r="K5" s="38" t="s">
        <v>26</v>
      </c>
      <c r="L5" s="38" t="s">
        <v>27</v>
      </c>
      <c r="M5" s="38" t="s">
        <v>28</v>
      </c>
      <c r="N5" s="38" t="s">
        <v>888</v>
      </c>
      <c r="O5" s="38" t="s">
        <v>29</v>
      </c>
      <c r="P5" s="38" t="s">
        <v>30</v>
      </c>
      <c r="S5" s="38" t="s">
        <v>23</v>
      </c>
      <c r="T5" s="38" t="s">
        <v>25</v>
      </c>
      <c r="U5" s="38" t="s">
        <v>27</v>
      </c>
      <c r="V5" s="38" t="s">
        <v>26</v>
      </c>
      <c r="W5" s="38" t="s">
        <v>29</v>
      </c>
      <c r="X5" s="38" t="s">
        <v>31</v>
      </c>
      <c r="Y5" s="38" t="s">
        <v>32</v>
      </c>
      <c r="Z5" s="38" t="s">
        <v>33</v>
      </c>
      <c r="AA5" s="38" t="s">
        <v>30</v>
      </c>
      <c r="AC5" t="s">
        <v>23</v>
      </c>
      <c r="AD5" t="s">
        <v>34</v>
      </c>
      <c r="AE5" t="s">
        <v>25</v>
      </c>
      <c r="AF5" t="s">
        <v>888</v>
      </c>
      <c r="AG5" t="s">
        <v>35</v>
      </c>
      <c r="AH5" t="s">
        <v>29</v>
      </c>
      <c r="AI5" t="s">
        <v>36</v>
      </c>
      <c r="AK5" s="97" t="s">
        <v>23</v>
      </c>
      <c r="AL5" s="97" t="s">
        <v>1</v>
      </c>
      <c r="AM5" s="97" t="s">
        <v>37</v>
      </c>
      <c r="AN5" s="97" t="s">
        <v>38</v>
      </c>
      <c r="AO5" t="s">
        <v>39</v>
      </c>
      <c r="AP5" t="s">
        <v>40</v>
      </c>
      <c r="AQ5" t="s">
        <v>41</v>
      </c>
      <c r="AS5" t="s">
        <v>23</v>
      </c>
      <c r="AT5" t="s">
        <v>38</v>
      </c>
      <c r="AU5" t="s">
        <v>37</v>
      </c>
      <c r="AV5" t="s">
        <v>25</v>
      </c>
      <c r="AW5" t="s">
        <v>42</v>
      </c>
      <c r="AX5" t="s">
        <v>43</v>
      </c>
      <c r="AY5" t="s">
        <v>44</v>
      </c>
      <c r="AZ5" t="s">
        <v>45</v>
      </c>
      <c r="BA5" t="s">
        <v>888</v>
      </c>
      <c r="BB5" t="s">
        <v>46</v>
      </c>
      <c r="BC5" t="s">
        <v>47</v>
      </c>
      <c r="BD5" t="s">
        <v>48</v>
      </c>
      <c r="BE5" t="s">
        <v>49</v>
      </c>
      <c r="BF5" t="s">
        <v>50</v>
      </c>
      <c r="BI5" s="14">
        <v>44929</v>
      </c>
    </row>
    <row r="6" spans="2:63" x14ac:dyDescent="0.3">
      <c r="B6" s="91">
        <v>-999999999999</v>
      </c>
      <c r="C6" s="91" t="s">
        <v>51</v>
      </c>
      <c r="E6" s="461">
        <v>45292</v>
      </c>
      <c r="H6" s="459">
        <v>45296</v>
      </c>
      <c r="I6" s="38" t="s">
        <v>930</v>
      </c>
      <c r="J6" s="38" t="s">
        <v>996</v>
      </c>
      <c r="K6" s="38" t="s">
        <v>987</v>
      </c>
      <c r="L6" s="38" t="s">
        <v>949</v>
      </c>
      <c r="M6" s="38">
        <v>12</v>
      </c>
      <c r="N6" s="38">
        <v>107600000</v>
      </c>
      <c r="O6" s="38" t="s">
        <v>29</v>
      </c>
      <c r="P6" s="38">
        <v>150</v>
      </c>
      <c r="S6" s="462">
        <v>45235</v>
      </c>
      <c r="T6" s="463" t="s">
        <v>996</v>
      </c>
      <c r="U6" s="463" t="s">
        <v>943</v>
      </c>
      <c r="V6" s="463" t="s">
        <v>987</v>
      </c>
      <c r="W6" s="463" t="s">
        <v>29</v>
      </c>
      <c r="X6" s="463" t="s">
        <v>52</v>
      </c>
      <c r="Y6" s="463" t="s">
        <v>53</v>
      </c>
      <c r="Z6" s="38">
        <v>27170000</v>
      </c>
      <c r="AA6" s="38">
        <v>143</v>
      </c>
      <c r="AC6" s="458">
        <v>45296</v>
      </c>
      <c r="AD6" t="s">
        <v>939</v>
      </c>
      <c r="AE6" t="s">
        <v>996</v>
      </c>
      <c r="AF6">
        <v>107600000</v>
      </c>
      <c r="AG6" t="s">
        <v>54</v>
      </c>
      <c r="AH6" t="s">
        <v>29</v>
      </c>
      <c r="AI6">
        <v>30000000</v>
      </c>
      <c r="AK6" s="98">
        <v>2024</v>
      </c>
      <c r="AL6" s="98" t="s">
        <v>55</v>
      </c>
      <c r="AM6" s="98" t="s">
        <v>55</v>
      </c>
      <c r="AN6" s="98" t="s">
        <v>56</v>
      </c>
      <c r="AO6">
        <v>1000000000</v>
      </c>
      <c r="AP6">
        <v>799600000</v>
      </c>
      <c r="AQ6">
        <v>0.79959999999999998</v>
      </c>
      <c r="AS6" s="457">
        <v>45296</v>
      </c>
      <c r="AT6" s="98" t="s">
        <v>939</v>
      </c>
      <c r="AU6" s="98" t="s">
        <v>54</v>
      </c>
      <c r="AV6" s="98" t="s">
        <v>996</v>
      </c>
      <c r="AW6" s="98" t="s">
        <v>930</v>
      </c>
      <c r="AX6" s="98">
        <v>12</v>
      </c>
      <c r="AY6" s="98" t="s">
        <v>55</v>
      </c>
      <c r="AZ6" s="98">
        <v>0</v>
      </c>
      <c r="BA6" s="98">
        <v>107600000</v>
      </c>
      <c r="BB6" s="98" t="s">
        <v>29</v>
      </c>
      <c r="BC6" s="98" t="s">
        <v>52</v>
      </c>
      <c r="BD6" s="98" t="s">
        <v>55</v>
      </c>
      <c r="BE6" s="98" t="s">
        <v>998</v>
      </c>
      <c r="BF6">
        <v>30000000</v>
      </c>
      <c r="BI6" s="14">
        <v>44930</v>
      </c>
    </row>
    <row r="7" spans="2:63" x14ac:dyDescent="0.3">
      <c r="B7" s="91">
        <v>-999999999</v>
      </c>
      <c r="C7" s="91" t="s">
        <v>57</v>
      </c>
      <c r="E7" s="461">
        <v>45323</v>
      </c>
      <c r="H7" s="459">
        <v>45296</v>
      </c>
      <c r="I7" s="38" t="s">
        <v>930</v>
      </c>
      <c r="J7" s="38"/>
      <c r="K7" s="38"/>
      <c r="L7" s="38"/>
      <c r="M7" s="38"/>
      <c r="N7" s="38"/>
      <c r="O7" s="38" t="s">
        <v>58</v>
      </c>
      <c r="P7" s="38">
        <v>112</v>
      </c>
      <c r="S7" s="462">
        <v>45235</v>
      </c>
      <c r="T7" s="38"/>
      <c r="U7" s="38"/>
      <c r="V7" s="38"/>
      <c r="W7" s="463" t="s">
        <v>58</v>
      </c>
      <c r="X7" s="463" t="s">
        <v>59</v>
      </c>
      <c r="Y7" s="463" t="s">
        <v>53</v>
      </c>
      <c r="Z7" s="38">
        <v>30780000</v>
      </c>
      <c r="AA7" s="38">
        <v>108</v>
      </c>
      <c r="AC7" s="458">
        <v>45296</v>
      </c>
      <c r="AD7" t="s">
        <v>939</v>
      </c>
      <c r="AE7" t="s">
        <v>996</v>
      </c>
      <c r="AF7"/>
      <c r="AG7" t="s">
        <v>54</v>
      </c>
      <c r="AH7" t="s">
        <v>58</v>
      </c>
      <c r="AI7">
        <v>33600000</v>
      </c>
      <c r="AK7" s="98">
        <v>2024</v>
      </c>
      <c r="AL7" s="98" t="s">
        <v>55</v>
      </c>
      <c r="AM7" s="98" t="s">
        <v>55</v>
      </c>
      <c r="AN7" s="98" t="s">
        <v>60</v>
      </c>
      <c r="AO7">
        <v>1000000000</v>
      </c>
      <c r="AP7">
        <v>696200000</v>
      </c>
      <c r="AQ7">
        <v>0.69620000000000004</v>
      </c>
      <c r="AS7" s="457">
        <v>45296</v>
      </c>
      <c r="AT7" s="98" t="s">
        <v>939</v>
      </c>
      <c r="AU7" s="98" t="s">
        <v>54</v>
      </c>
      <c r="AV7" s="98" t="s">
        <v>996</v>
      </c>
      <c r="AW7" s="98" t="s">
        <v>930</v>
      </c>
      <c r="AX7" s="98">
        <v>12</v>
      </c>
      <c r="AY7" s="98" t="s">
        <v>55</v>
      </c>
      <c r="AZ7"/>
      <c r="BA7"/>
      <c r="BB7" s="98" t="s">
        <v>58</v>
      </c>
      <c r="BC7" s="98" t="s">
        <v>59</v>
      </c>
      <c r="BD7" s="98" t="s">
        <v>55</v>
      </c>
      <c r="BE7" s="98" t="s">
        <v>998</v>
      </c>
      <c r="BF7">
        <v>33600000</v>
      </c>
      <c r="BI7" s="14">
        <v>44931</v>
      </c>
    </row>
    <row r="8" spans="2:63" x14ac:dyDescent="0.3">
      <c r="B8" s="91">
        <v>-999999</v>
      </c>
      <c r="C8" s="91" t="s">
        <v>61</v>
      </c>
      <c r="E8" s="461">
        <v>45352</v>
      </c>
      <c r="H8" s="459">
        <v>45296</v>
      </c>
      <c r="I8" s="38" t="s">
        <v>930</v>
      </c>
      <c r="J8" s="38"/>
      <c r="K8" s="38"/>
      <c r="L8" s="38"/>
      <c r="M8" s="38"/>
      <c r="N8" s="38"/>
      <c r="O8" s="38" t="s">
        <v>62</v>
      </c>
      <c r="P8" s="38">
        <v>88</v>
      </c>
      <c r="S8" s="462">
        <v>45235</v>
      </c>
      <c r="T8" s="38"/>
      <c r="U8" s="38"/>
      <c r="V8" s="38"/>
      <c r="W8" s="463" t="s">
        <v>62</v>
      </c>
      <c r="X8" s="463" t="s">
        <v>63</v>
      </c>
      <c r="Y8" s="463" t="s">
        <v>53</v>
      </c>
      <c r="Z8" s="38">
        <v>39425000</v>
      </c>
      <c r="AA8" s="38">
        <v>83</v>
      </c>
      <c r="AC8" s="458">
        <v>45296</v>
      </c>
      <c r="AD8" t="s">
        <v>939</v>
      </c>
      <c r="AE8" t="s">
        <v>996</v>
      </c>
      <c r="AF8"/>
      <c r="AG8" t="s">
        <v>54</v>
      </c>
      <c r="AH8" t="s">
        <v>62</v>
      </c>
      <c r="AI8">
        <v>44000000</v>
      </c>
      <c r="AK8" s="98">
        <v>2024</v>
      </c>
      <c r="AL8" s="98" t="s">
        <v>55</v>
      </c>
      <c r="AM8" s="98" t="s">
        <v>54</v>
      </c>
      <c r="AN8" s="98" t="s">
        <v>55</v>
      </c>
      <c r="AO8">
        <v>3600000000</v>
      </c>
      <c r="AP8">
        <v>3361400000</v>
      </c>
      <c r="AQ8">
        <v>0.93372222222222223</v>
      </c>
      <c r="AS8" s="457">
        <v>45296</v>
      </c>
      <c r="AT8" s="98" t="s">
        <v>939</v>
      </c>
      <c r="AU8" s="98" t="s">
        <v>54</v>
      </c>
      <c r="AV8" s="98" t="s">
        <v>996</v>
      </c>
      <c r="AW8" s="98" t="s">
        <v>930</v>
      </c>
      <c r="AX8" s="98">
        <v>12</v>
      </c>
      <c r="AY8" s="98" t="s">
        <v>55</v>
      </c>
      <c r="AZ8"/>
      <c r="BA8"/>
      <c r="BB8" s="98" t="s">
        <v>62</v>
      </c>
      <c r="BC8" s="98" t="s">
        <v>63</v>
      </c>
      <c r="BD8" s="98" t="s">
        <v>55</v>
      </c>
      <c r="BE8" s="98" t="s">
        <v>998</v>
      </c>
      <c r="BF8">
        <v>44000000</v>
      </c>
      <c r="BI8" s="14">
        <v>44932</v>
      </c>
    </row>
    <row r="9" spans="2:63" x14ac:dyDescent="0.3">
      <c r="B9" s="91">
        <v>-999</v>
      </c>
      <c r="C9" s="91" t="s">
        <v>64</v>
      </c>
      <c r="E9" s="461">
        <v>45383</v>
      </c>
      <c r="H9" s="459">
        <v>45306</v>
      </c>
      <c r="I9" s="38" t="s">
        <v>933</v>
      </c>
      <c r="J9" s="38" t="s">
        <v>996</v>
      </c>
      <c r="K9" s="38" t="s">
        <v>990</v>
      </c>
      <c r="L9" s="38" t="s">
        <v>950</v>
      </c>
      <c r="M9" s="38">
        <v>4</v>
      </c>
      <c r="N9" s="38">
        <v>109500000</v>
      </c>
      <c r="O9" s="38" t="s">
        <v>29</v>
      </c>
      <c r="P9" s="38">
        <v>152</v>
      </c>
      <c r="S9" s="462">
        <v>45245</v>
      </c>
      <c r="T9" s="463" t="s">
        <v>995</v>
      </c>
      <c r="U9" s="463" t="s">
        <v>944</v>
      </c>
      <c r="V9" s="463" t="s">
        <v>989</v>
      </c>
      <c r="W9" s="463" t="s">
        <v>29</v>
      </c>
      <c r="X9" s="463" t="s">
        <v>52</v>
      </c>
      <c r="Y9" s="463" t="s">
        <v>53</v>
      </c>
      <c r="Z9" s="38">
        <v>26980000</v>
      </c>
      <c r="AA9" s="38">
        <v>142</v>
      </c>
      <c r="AC9" s="458">
        <v>45306</v>
      </c>
      <c r="AD9" t="s">
        <v>56</v>
      </c>
      <c r="AE9" t="s">
        <v>996</v>
      </c>
      <c r="AF9">
        <v>109500000</v>
      </c>
      <c r="AG9" t="s">
        <v>54</v>
      </c>
      <c r="AH9" t="s">
        <v>29</v>
      </c>
      <c r="AI9">
        <v>30400000</v>
      </c>
      <c r="AK9" s="98">
        <v>2024</v>
      </c>
      <c r="AL9" s="98" t="s">
        <v>55</v>
      </c>
      <c r="AM9" s="98" t="s">
        <v>65</v>
      </c>
      <c r="AN9" s="98" t="s">
        <v>55</v>
      </c>
      <c r="AO9">
        <v>1800000000</v>
      </c>
      <c r="AP9">
        <v>1501100000</v>
      </c>
      <c r="AQ9">
        <v>0.83394444444444449</v>
      </c>
      <c r="AS9" s="457">
        <v>45306</v>
      </c>
      <c r="AT9" s="98" t="s">
        <v>56</v>
      </c>
      <c r="AU9" s="98" t="s">
        <v>54</v>
      </c>
      <c r="AV9" s="98" t="s">
        <v>996</v>
      </c>
      <c r="AW9" s="98" t="s">
        <v>933</v>
      </c>
      <c r="AX9" s="98">
        <v>4</v>
      </c>
      <c r="AY9" s="98" t="s">
        <v>55</v>
      </c>
      <c r="AZ9" s="98">
        <v>0</v>
      </c>
      <c r="BA9" s="98">
        <v>109500000</v>
      </c>
      <c r="BB9" s="98" t="s">
        <v>29</v>
      </c>
      <c r="BC9" s="98" t="s">
        <v>52</v>
      </c>
      <c r="BD9" s="98" t="s">
        <v>55</v>
      </c>
      <c r="BE9" s="98" t="s">
        <v>998</v>
      </c>
      <c r="BF9">
        <v>30400000</v>
      </c>
      <c r="BI9" s="14">
        <v>44933</v>
      </c>
    </row>
    <row r="10" spans="2:63" x14ac:dyDescent="0.3">
      <c r="B10" s="91">
        <v>1000</v>
      </c>
      <c r="C10" s="91" t="s">
        <v>61</v>
      </c>
      <c r="E10" s="461">
        <v>45413</v>
      </c>
      <c r="H10" s="459">
        <v>45306</v>
      </c>
      <c r="I10" s="38" t="s">
        <v>933</v>
      </c>
      <c r="J10" s="38"/>
      <c r="K10" s="38"/>
      <c r="L10" s="38"/>
      <c r="M10" s="38"/>
      <c r="N10" s="38"/>
      <c r="O10" s="38" t="s">
        <v>58</v>
      </c>
      <c r="P10" s="38">
        <v>112</v>
      </c>
      <c r="S10" s="462">
        <v>45245</v>
      </c>
      <c r="T10" s="38"/>
      <c r="U10" s="38"/>
      <c r="V10" s="38"/>
      <c r="W10" s="463" t="s">
        <v>58</v>
      </c>
      <c r="X10" s="463" t="s">
        <v>59</v>
      </c>
      <c r="Y10" s="463" t="s">
        <v>53</v>
      </c>
      <c r="Z10" s="38">
        <v>31065000</v>
      </c>
      <c r="AA10" s="38">
        <v>109</v>
      </c>
      <c r="AC10" s="458">
        <v>45306</v>
      </c>
      <c r="AD10" t="s">
        <v>56</v>
      </c>
      <c r="AE10" t="s">
        <v>996</v>
      </c>
      <c r="AF10"/>
      <c r="AG10" t="s">
        <v>54</v>
      </c>
      <c r="AH10" t="s">
        <v>58</v>
      </c>
      <c r="AI10">
        <v>33600000</v>
      </c>
      <c r="AK10" s="98">
        <v>2024</v>
      </c>
      <c r="AL10" s="98">
        <v>1</v>
      </c>
      <c r="AM10" s="98" t="s">
        <v>55</v>
      </c>
      <c r="AN10" s="98" t="s">
        <v>56</v>
      </c>
      <c r="AO10">
        <v>150000000</v>
      </c>
      <c r="AP10">
        <v>109500000</v>
      </c>
      <c r="AQ10">
        <v>0.73</v>
      </c>
      <c r="AS10" s="457">
        <v>45306</v>
      </c>
      <c r="AT10" s="98" t="s">
        <v>56</v>
      </c>
      <c r="AU10" s="98" t="s">
        <v>54</v>
      </c>
      <c r="AV10" s="98" t="s">
        <v>996</v>
      </c>
      <c r="AW10" s="98" t="s">
        <v>933</v>
      </c>
      <c r="AX10" s="98">
        <v>4</v>
      </c>
      <c r="AY10" s="98" t="s">
        <v>55</v>
      </c>
      <c r="AZ10"/>
      <c r="BA10"/>
      <c r="BB10" s="98" t="s">
        <v>58</v>
      </c>
      <c r="BC10" s="98" t="s">
        <v>59</v>
      </c>
      <c r="BD10" s="98" t="s">
        <v>55</v>
      </c>
      <c r="BE10" s="98" t="s">
        <v>998</v>
      </c>
      <c r="BF10">
        <v>33600000</v>
      </c>
      <c r="BI10" s="14">
        <v>44934</v>
      </c>
    </row>
    <row r="11" spans="2:63" x14ac:dyDescent="0.3">
      <c r="B11" s="91">
        <v>1000000</v>
      </c>
      <c r="C11" s="91" t="s">
        <v>57</v>
      </c>
      <c r="E11" s="461">
        <v>45444</v>
      </c>
      <c r="H11" s="459">
        <v>45306</v>
      </c>
      <c r="I11" s="38" t="s">
        <v>933</v>
      </c>
      <c r="J11" s="38"/>
      <c r="K11" s="38"/>
      <c r="L11" s="38"/>
      <c r="M11" s="38"/>
      <c r="N11" s="38"/>
      <c r="O11" s="38" t="s">
        <v>62</v>
      </c>
      <c r="P11" s="38">
        <v>91</v>
      </c>
      <c r="S11" s="462">
        <v>45245</v>
      </c>
      <c r="T11" s="38"/>
      <c r="U11" s="38"/>
      <c r="V11" s="38"/>
      <c r="W11" s="463" t="s">
        <v>62</v>
      </c>
      <c r="X11" s="463" t="s">
        <v>63</v>
      </c>
      <c r="Y11" s="463" t="s">
        <v>53</v>
      </c>
      <c r="Z11" s="38">
        <v>40375000</v>
      </c>
      <c r="AA11" s="38">
        <v>85</v>
      </c>
      <c r="AC11" s="458">
        <v>45306</v>
      </c>
      <c r="AD11" t="s">
        <v>56</v>
      </c>
      <c r="AE11" t="s">
        <v>996</v>
      </c>
      <c r="AF11"/>
      <c r="AG11" t="s">
        <v>54</v>
      </c>
      <c r="AH11" t="s">
        <v>62</v>
      </c>
      <c r="AI11">
        <v>45500000</v>
      </c>
      <c r="AK11" s="98">
        <v>2024</v>
      </c>
      <c r="AL11" s="98">
        <v>1</v>
      </c>
      <c r="AM11" s="98" t="s">
        <v>55</v>
      </c>
      <c r="AN11" s="98" t="s">
        <v>60</v>
      </c>
      <c r="AO11">
        <v>150000000</v>
      </c>
      <c r="AP11">
        <v>0</v>
      </c>
      <c r="AQ11">
        <v>0</v>
      </c>
      <c r="AS11" s="457">
        <v>45306</v>
      </c>
      <c r="AT11" s="98" t="s">
        <v>56</v>
      </c>
      <c r="AU11" s="98" t="s">
        <v>54</v>
      </c>
      <c r="AV11" s="98" t="s">
        <v>996</v>
      </c>
      <c r="AW11" s="98" t="s">
        <v>933</v>
      </c>
      <c r="AX11" s="98">
        <v>4</v>
      </c>
      <c r="AY11" s="98" t="s">
        <v>55</v>
      </c>
      <c r="AZ11"/>
      <c r="BA11"/>
      <c r="BB11" s="98" t="s">
        <v>62</v>
      </c>
      <c r="BC11" s="98" t="s">
        <v>63</v>
      </c>
      <c r="BD11" s="98" t="s">
        <v>55</v>
      </c>
      <c r="BE11" s="98" t="s">
        <v>998</v>
      </c>
      <c r="BF11">
        <v>45500000</v>
      </c>
      <c r="BI11" s="14">
        <v>44935</v>
      </c>
    </row>
    <row r="12" spans="2:63" x14ac:dyDescent="0.3">
      <c r="B12" s="91">
        <v>1000000000</v>
      </c>
      <c r="C12" s="91" t="s">
        <v>51</v>
      </c>
      <c r="E12" s="461">
        <v>45474</v>
      </c>
      <c r="H12" s="459">
        <v>45316</v>
      </c>
      <c r="I12" s="38" t="s">
        <v>932</v>
      </c>
      <c r="J12" s="38" t="s">
        <v>995</v>
      </c>
      <c r="K12" s="38" t="s">
        <v>989</v>
      </c>
      <c r="L12" s="38" t="s">
        <v>951</v>
      </c>
      <c r="M12" s="38">
        <v>5</v>
      </c>
      <c r="N12" s="38">
        <v>113600000</v>
      </c>
      <c r="O12" s="38" t="s">
        <v>29</v>
      </c>
      <c r="P12" s="38">
        <v>157</v>
      </c>
      <c r="S12" s="462">
        <v>45255</v>
      </c>
      <c r="T12" s="463" t="s">
        <v>996</v>
      </c>
      <c r="U12" s="463" t="s">
        <v>945</v>
      </c>
      <c r="V12" s="463" t="s">
        <v>987</v>
      </c>
      <c r="W12" s="463" t="s">
        <v>29</v>
      </c>
      <c r="X12" s="463" t="s">
        <v>52</v>
      </c>
      <c r="Y12" s="463" t="s">
        <v>53</v>
      </c>
      <c r="Z12" s="38">
        <v>26790000</v>
      </c>
      <c r="AA12" s="38">
        <v>141</v>
      </c>
      <c r="AC12" s="458">
        <v>45316</v>
      </c>
      <c r="AD12" t="s">
        <v>940</v>
      </c>
      <c r="AE12" t="s">
        <v>995</v>
      </c>
      <c r="AF12">
        <v>113600000</v>
      </c>
      <c r="AG12" t="s">
        <v>65</v>
      </c>
      <c r="AH12" t="s">
        <v>29</v>
      </c>
      <c r="AI12">
        <v>31400000</v>
      </c>
      <c r="AK12" s="98">
        <v>2024</v>
      </c>
      <c r="AL12" s="98">
        <v>1</v>
      </c>
      <c r="AM12" s="98" t="s">
        <v>54</v>
      </c>
      <c r="AN12" s="98" t="s">
        <v>55</v>
      </c>
      <c r="AO12">
        <v>300000000</v>
      </c>
      <c r="AP12">
        <v>217100000</v>
      </c>
      <c r="AQ12">
        <v>0.72366666666666668</v>
      </c>
      <c r="AS12" s="457">
        <v>45316</v>
      </c>
      <c r="AT12" s="98" t="s">
        <v>940</v>
      </c>
      <c r="AU12" s="98" t="s">
        <v>65</v>
      </c>
      <c r="AV12" s="98" t="s">
        <v>995</v>
      </c>
      <c r="AW12" s="98" t="s">
        <v>932</v>
      </c>
      <c r="AX12" s="98">
        <v>5</v>
      </c>
      <c r="AY12" s="98" t="s">
        <v>55</v>
      </c>
      <c r="AZ12" s="98">
        <v>0</v>
      </c>
      <c r="BA12" s="98">
        <v>113600000</v>
      </c>
      <c r="BB12" s="98" t="s">
        <v>29</v>
      </c>
      <c r="BC12" s="98" t="s">
        <v>52</v>
      </c>
      <c r="BD12" s="98" t="s">
        <v>55</v>
      </c>
      <c r="BE12" s="98" t="s">
        <v>998</v>
      </c>
      <c r="BF12">
        <v>31400000</v>
      </c>
      <c r="BI12" s="14">
        <v>44936</v>
      </c>
    </row>
    <row r="13" spans="2:63" x14ac:dyDescent="0.3">
      <c r="E13" s="461">
        <v>45505</v>
      </c>
      <c r="H13" s="459">
        <v>45316</v>
      </c>
      <c r="I13" s="38" t="s">
        <v>932</v>
      </c>
      <c r="J13" s="38"/>
      <c r="K13" s="38"/>
      <c r="L13" s="38"/>
      <c r="M13" s="38"/>
      <c r="N13" s="38"/>
      <c r="O13" s="38" t="s">
        <v>58</v>
      </c>
      <c r="P13" s="38">
        <v>114</v>
      </c>
      <c r="S13" s="462">
        <v>45255</v>
      </c>
      <c r="T13" s="38"/>
      <c r="U13" s="38"/>
      <c r="V13" s="38"/>
      <c r="W13" s="463" t="s">
        <v>58</v>
      </c>
      <c r="X13" s="463" t="s">
        <v>59</v>
      </c>
      <c r="Y13" s="463" t="s">
        <v>53</v>
      </c>
      <c r="Z13" s="38">
        <v>30495000</v>
      </c>
      <c r="AA13" s="38">
        <v>107</v>
      </c>
      <c r="AC13" s="458">
        <v>45316</v>
      </c>
      <c r="AD13" t="s">
        <v>940</v>
      </c>
      <c r="AE13" t="s">
        <v>995</v>
      </c>
      <c r="AF13"/>
      <c r="AG13" t="s">
        <v>65</v>
      </c>
      <c r="AH13" t="s">
        <v>58</v>
      </c>
      <c r="AI13">
        <v>34200000</v>
      </c>
      <c r="AK13" s="98">
        <v>2024</v>
      </c>
      <c r="AL13" s="98">
        <v>1</v>
      </c>
      <c r="AM13" s="98" t="s">
        <v>65</v>
      </c>
      <c r="AN13" s="98" t="s">
        <v>55</v>
      </c>
      <c r="AO13">
        <v>150000000</v>
      </c>
      <c r="AP13">
        <v>113600000</v>
      </c>
      <c r="AQ13">
        <v>0.7573333333333333</v>
      </c>
      <c r="AS13" s="457">
        <v>45316</v>
      </c>
      <c r="AT13" s="98" t="s">
        <v>940</v>
      </c>
      <c r="AU13" s="98" t="s">
        <v>65</v>
      </c>
      <c r="AV13" s="98" t="s">
        <v>995</v>
      </c>
      <c r="AW13" s="98" t="s">
        <v>932</v>
      </c>
      <c r="AX13" s="98">
        <v>5</v>
      </c>
      <c r="AY13" s="98" t="s">
        <v>55</v>
      </c>
      <c r="AZ13"/>
      <c r="BA13"/>
      <c r="BB13" s="98" t="s">
        <v>58</v>
      </c>
      <c r="BC13" s="98" t="s">
        <v>59</v>
      </c>
      <c r="BD13" s="98" t="s">
        <v>55</v>
      </c>
      <c r="BE13" s="98" t="s">
        <v>998</v>
      </c>
      <c r="BF13">
        <v>34200000</v>
      </c>
      <c r="BI13" s="14">
        <v>44937</v>
      </c>
    </row>
    <row r="14" spans="2:63" x14ac:dyDescent="0.3">
      <c r="E14" s="461">
        <v>45536</v>
      </c>
      <c r="H14" s="459">
        <v>45316</v>
      </c>
      <c r="I14" s="38" t="s">
        <v>932</v>
      </c>
      <c r="J14" s="38"/>
      <c r="K14" s="38"/>
      <c r="L14" s="38"/>
      <c r="M14" s="38"/>
      <c r="N14" s="38"/>
      <c r="O14" s="38" t="s">
        <v>62</v>
      </c>
      <c r="P14" s="38">
        <v>96</v>
      </c>
      <c r="S14" s="462">
        <v>45255</v>
      </c>
      <c r="T14" s="38"/>
      <c r="U14" s="38"/>
      <c r="V14" s="38"/>
      <c r="W14" s="463" t="s">
        <v>62</v>
      </c>
      <c r="X14" s="463" t="s">
        <v>63</v>
      </c>
      <c r="Y14" s="463" t="s">
        <v>53</v>
      </c>
      <c r="Z14" s="38">
        <v>41325000</v>
      </c>
      <c r="AA14" s="38">
        <v>87</v>
      </c>
      <c r="AC14" s="458">
        <v>45316</v>
      </c>
      <c r="AD14" t="s">
        <v>940</v>
      </c>
      <c r="AE14" t="s">
        <v>995</v>
      </c>
      <c r="AF14"/>
      <c r="AG14" t="s">
        <v>65</v>
      </c>
      <c r="AH14" t="s">
        <v>62</v>
      </c>
      <c r="AI14">
        <v>48000000</v>
      </c>
      <c r="AK14" s="98">
        <v>2024</v>
      </c>
      <c r="AL14" s="98">
        <v>2</v>
      </c>
      <c r="AM14" s="98" t="s">
        <v>55</v>
      </c>
      <c r="AN14" s="98" t="s">
        <v>56</v>
      </c>
      <c r="AO14">
        <v>150000000</v>
      </c>
      <c r="AP14">
        <v>0</v>
      </c>
      <c r="AQ14">
        <v>0</v>
      </c>
      <c r="AS14" s="457">
        <v>45316</v>
      </c>
      <c r="AT14" s="98" t="s">
        <v>940</v>
      </c>
      <c r="AU14" s="98" t="s">
        <v>65</v>
      </c>
      <c r="AV14" s="98" t="s">
        <v>995</v>
      </c>
      <c r="AW14" s="98" t="s">
        <v>932</v>
      </c>
      <c r="AX14" s="98">
        <v>5</v>
      </c>
      <c r="AY14" s="98" t="s">
        <v>55</v>
      </c>
      <c r="AZ14"/>
      <c r="BA14"/>
      <c r="BB14" s="98" t="s">
        <v>62</v>
      </c>
      <c r="BC14" s="98" t="s">
        <v>63</v>
      </c>
      <c r="BD14" s="98" t="s">
        <v>55</v>
      </c>
      <c r="BE14" s="98" t="s">
        <v>998</v>
      </c>
      <c r="BF14">
        <v>48000000</v>
      </c>
      <c r="BI14" s="14">
        <v>44938</v>
      </c>
    </row>
    <row r="15" spans="2:63" x14ac:dyDescent="0.3">
      <c r="E15"/>
      <c r="H15" s="459">
        <v>45327</v>
      </c>
      <c r="I15" s="38" t="s">
        <v>934</v>
      </c>
      <c r="J15" s="38" t="s">
        <v>995</v>
      </c>
      <c r="K15" s="38" t="s">
        <v>991</v>
      </c>
      <c r="L15" s="38" t="s">
        <v>952</v>
      </c>
      <c r="M15" s="38">
        <v>1</v>
      </c>
      <c r="N15" s="38">
        <v>114200000</v>
      </c>
      <c r="O15" s="38" t="s">
        <v>29</v>
      </c>
      <c r="P15" s="38">
        <v>159</v>
      </c>
      <c r="S15" s="462">
        <v>45265</v>
      </c>
      <c r="T15" s="463" t="s">
        <v>996</v>
      </c>
      <c r="U15" s="463" t="s">
        <v>946</v>
      </c>
      <c r="V15" s="463" t="s">
        <v>990</v>
      </c>
      <c r="W15" s="463" t="s">
        <v>29</v>
      </c>
      <c r="X15" s="463" t="s">
        <v>52</v>
      </c>
      <c r="Y15" s="463" t="s">
        <v>53</v>
      </c>
      <c r="Z15" s="38">
        <v>27930000</v>
      </c>
      <c r="AA15" s="38">
        <v>147</v>
      </c>
      <c r="AC15" s="458">
        <v>45327</v>
      </c>
      <c r="AD15" t="s">
        <v>939</v>
      </c>
      <c r="AE15" t="s">
        <v>995</v>
      </c>
      <c r="AF15">
        <v>114200000</v>
      </c>
      <c r="AG15" t="s">
        <v>54</v>
      </c>
      <c r="AH15" t="s">
        <v>29</v>
      </c>
      <c r="AI15">
        <v>31800000</v>
      </c>
      <c r="AK15" s="98">
        <v>2024</v>
      </c>
      <c r="AL15" s="98">
        <v>2</v>
      </c>
      <c r="AM15" s="98" t="s">
        <v>55</v>
      </c>
      <c r="AN15" s="98" t="s">
        <v>60</v>
      </c>
      <c r="AO15">
        <v>150000000</v>
      </c>
      <c r="AP15">
        <v>0</v>
      </c>
      <c r="AQ15">
        <v>0</v>
      </c>
      <c r="AS15" s="457">
        <v>45327</v>
      </c>
      <c r="AT15" s="98" t="s">
        <v>939</v>
      </c>
      <c r="AU15" s="98" t="s">
        <v>54</v>
      </c>
      <c r="AV15" s="98" t="s">
        <v>995</v>
      </c>
      <c r="AW15" s="98" t="s">
        <v>934</v>
      </c>
      <c r="AX15" s="98">
        <v>1</v>
      </c>
      <c r="AY15" s="98" t="s">
        <v>55</v>
      </c>
      <c r="AZ15" s="98">
        <v>0</v>
      </c>
      <c r="BA15" s="98">
        <v>114200000</v>
      </c>
      <c r="BB15" s="98" t="s">
        <v>29</v>
      </c>
      <c r="BC15" s="98" t="s">
        <v>52</v>
      </c>
      <c r="BD15" s="98" t="s">
        <v>55</v>
      </c>
      <c r="BE15" s="98" t="s">
        <v>998</v>
      </c>
      <c r="BF15">
        <v>31800000</v>
      </c>
      <c r="BI15" s="14">
        <v>44939</v>
      </c>
    </row>
    <row r="16" spans="2:63" x14ac:dyDescent="0.3">
      <c r="E16"/>
      <c r="H16" s="459">
        <v>45327</v>
      </c>
      <c r="I16" s="38" t="s">
        <v>934</v>
      </c>
      <c r="J16" s="38"/>
      <c r="K16" s="38"/>
      <c r="L16" s="38"/>
      <c r="M16" s="38"/>
      <c r="N16" s="38"/>
      <c r="O16" s="38" t="s">
        <v>58</v>
      </c>
      <c r="P16" s="38">
        <v>113</v>
      </c>
      <c r="S16" s="462">
        <v>45265</v>
      </c>
      <c r="T16" s="38"/>
      <c r="U16" s="38"/>
      <c r="V16" s="38"/>
      <c r="W16" s="463" t="s">
        <v>58</v>
      </c>
      <c r="X16" s="463" t="s">
        <v>59</v>
      </c>
      <c r="Y16" s="463" t="s">
        <v>53</v>
      </c>
      <c r="Z16" s="38">
        <v>31065000</v>
      </c>
      <c r="AA16" s="38">
        <v>109</v>
      </c>
      <c r="AC16" s="458">
        <v>45327</v>
      </c>
      <c r="AD16" t="s">
        <v>939</v>
      </c>
      <c r="AE16" t="s">
        <v>995</v>
      </c>
      <c r="AF16"/>
      <c r="AG16" t="s">
        <v>54</v>
      </c>
      <c r="AH16" t="s">
        <v>58</v>
      </c>
      <c r="AI16">
        <v>33900000</v>
      </c>
      <c r="AK16" s="98">
        <v>2024</v>
      </c>
      <c r="AL16" s="98">
        <v>2</v>
      </c>
      <c r="AM16" s="98" t="s">
        <v>54</v>
      </c>
      <c r="AN16" s="98" t="s">
        <v>55</v>
      </c>
      <c r="AO16">
        <v>300000000</v>
      </c>
      <c r="AP16">
        <v>228100000</v>
      </c>
      <c r="AQ16">
        <v>0.76033333333333331</v>
      </c>
      <c r="AS16" s="457">
        <v>45327</v>
      </c>
      <c r="AT16" s="98" t="s">
        <v>939</v>
      </c>
      <c r="AU16" s="98" t="s">
        <v>54</v>
      </c>
      <c r="AV16" s="98" t="s">
        <v>995</v>
      </c>
      <c r="AW16" s="98" t="s">
        <v>934</v>
      </c>
      <c r="AX16" s="98">
        <v>1</v>
      </c>
      <c r="AY16" s="98" t="s">
        <v>55</v>
      </c>
      <c r="AZ16"/>
      <c r="BA16"/>
      <c r="BB16" s="98" t="s">
        <v>58</v>
      </c>
      <c r="BC16" s="98" t="s">
        <v>59</v>
      </c>
      <c r="BD16" s="98" t="s">
        <v>55</v>
      </c>
      <c r="BE16" s="98" t="s">
        <v>998</v>
      </c>
      <c r="BF16">
        <v>33900000</v>
      </c>
      <c r="BI16" s="14">
        <v>44940</v>
      </c>
    </row>
    <row r="17" spans="5:61" x14ac:dyDescent="0.3">
      <c r="E17"/>
      <c r="H17" s="459">
        <v>45327</v>
      </c>
      <c r="I17" s="38" t="s">
        <v>934</v>
      </c>
      <c r="J17" s="38"/>
      <c r="K17" s="38"/>
      <c r="L17" s="38"/>
      <c r="M17" s="38"/>
      <c r="N17" s="38"/>
      <c r="O17" s="38" t="s">
        <v>62</v>
      </c>
      <c r="P17" s="38">
        <v>97</v>
      </c>
      <c r="S17" s="462">
        <v>45265</v>
      </c>
      <c r="T17" s="38"/>
      <c r="U17" s="38"/>
      <c r="V17" s="38"/>
      <c r="W17" s="463" t="s">
        <v>62</v>
      </c>
      <c r="X17" s="463" t="s">
        <v>63</v>
      </c>
      <c r="Y17" s="463" t="s">
        <v>53</v>
      </c>
      <c r="Z17" s="38">
        <v>40850000</v>
      </c>
      <c r="AA17" s="38">
        <v>86</v>
      </c>
      <c r="AC17" s="458">
        <v>45327</v>
      </c>
      <c r="AD17" t="s">
        <v>939</v>
      </c>
      <c r="AE17" t="s">
        <v>995</v>
      </c>
      <c r="AF17"/>
      <c r="AG17" t="s">
        <v>54</v>
      </c>
      <c r="AH17" t="s">
        <v>62</v>
      </c>
      <c r="AI17">
        <v>48500000</v>
      </c>
      <c r="AK17" s="98">
        <v>2024</v>
      </c>
      <c r="AL17" s="98">
        <v>2</v>
      </c>
      <c r="AM17" s="98" t="s">
        <v>65</v>
      </c>
      <c r="AN17" s="98" t="s">
        <v>55</v>
      </c>
      <c r="AO17">
        <v>150000000</v>
      </c>
      <c r="AP17">
        <v>115800000</v>
      </c>
      <c r="AQ17">
        <v>0.77200000000000002</v>
      </c>
      <c r="AS17" s="457">
        <v>45327</v>
      </c>
      <c r="AT17" s="98" t="s">
        <v>939</v>
      </c>
      <c r="AU17" s="98" t="s">
        <v>54</v>
      </c>
      <c r="AV17" s="98" t="s">
        <v>995</v>
      </c>
      <c r="AW17" s="98" t="s">
        <v>934</v>
      </c>
      <c r="AX17" s="98">
        <v>1</v>
      </c>
      <c r="AY17" s="98" t="s">
        <v>55</v>
      </c>
      <c r="AZ17"/>
      <c r="BA17"/>
      <c r="BB17" s="98" t="s">
        <v>62</v>
      </c>
      <c r="BC17" s="98" t="s">
        <v>63</v>
      </c>
      <c r="BD17" s="98" t="s">
        <v>55</v>
      </c>
      <c r="BE17" s="98" t="s">
        <v>998</v>
      </c>
      <c r="BF17">
        <v>48500000</v>
      </c>
      <c r="BI17" s="14">
        <v>44941</v>
      </c>
    </row>
    <row r="18" spans="5:61" x14ac:dyDescent="0.3">
      <c r="E18"/>
      <c r="H18" s="459">
        <v>45337</v>
      </c>
      <c r="I18" s="38" t="s">
        <v>934</v>
      </c>
      <c r="J18" s="38" t="s">
        <v>995</v>
      </c>
      <c r="K18" s="38" t="s">
        <v>991</v>
      </c>
      <c r="L18" s="38" t="s">
        <v>953</v>
      </c>
      <c r="M18" s="38">
        <v>2</v>
      </c>
      <c r="N18" s="38">
        <v>115800000</v>
      </c>
      <c r="O18" s="38" t="s">
        <v>29</v>
      </c>
      <c r="P18" s="38">
        <v>165</v>
      </c>
      <c r="S18" s="462">
        <v>45275</v>
      </c>
      <c r="T18" s="463" t="s">
        <v>996</v>
      </c>
      <c r="U18" s="463" t="s">
        <v>947</v>
      </c>
      <c r="V18" s="463" t="s">
        <v>988</v>
      </c>
      <c r="W18" s="463" t="s">
        <v>29</v>
      </c>
      <c r="X18" s="463" t="s">
        <v>52</v>
      </c>
      <c r="Y18" s="463" t="s">
        <v>53</v>
      </c>
      <c r="Z18" s="38">
        <v>28120000</v>
      </c>
      <c r="AA18" s="38">
        <v>148</v>
      </c>
      <c r="AC18" s="458">
        <v>45337</v>
      </c>
      <c r="AD18" t="s">
        <v>939</v>
      </c>
      <c r="AE18" t="s">
        <v>995</v>
      </c>
      <c r="AF18">
        <v>115800000</v>
      </c>
      <c r="AG18" t="s">
        <v>65</v>
      </c>
      <c r="AH18" t="s">
        <v>29</v>
      </c>
      <c r="AI18">
        <v>33000000</v>
      </c>
      <c r="AK18" s="98">
        <v>2024</v>
      </c>
      <c r="AL18" s="98">
        <v>3</v>
      </c>
      <c r="AM18" s="98" t="s">
        <v>55</v>
      </c>
      <c r="AN18" s="98" t="s">
        <v>56</v>
      </c>
      <c r="AO18">
        <v>150000000</v>
      </c>
      <c r="AP18">
        <v>113500000</v>
      </c>
      <c r="AQ18">
        <v>0.75666666666666671</v>
      </c>
      <c r="AS18" s="457">
        <v>45337</v>
      </c>
      <c r="AT18" s="98" t="s">
        <v>939</v>
      </c>
      <c r="AU18" s="98" t="s">
        <v>65</v>
      </c>
      <c r="AV18" s="98" t="s">
        <v>995</v>
      </c>
      <c r="AW18" s="98" t="s">
        <v>934</v>
      </c>
      <c r="AX18" s="98">
        <v>2</v>
      </c>
      <c r="AY18" s="98" t="s">
        <v>55</v>
      </c>
      <c r="AZ18" s="98">
        <v>0</v>
      </c>
      <c r="BA18" s="98">
        <v>115800000</v>
      </c>
      <c r="BB18" s="98" t="s">
        <v>29</v>
      </c>
      <c r="BC18" s="98" t="s">
        <v>52</v>
      </c>
      <c r="BD18" s="98" t="s">
        <v>55</v>
      </c>
      <c r="BE18" s="98" t="s">
        <v>998</v>
      </c>
      <c r="BF18">
        <v>33000000</v>
      </c>
      <c r="BI18" s="14">
        <v>44942</v>
      </c>
    </row>
    <row r="19" spans="5:61" x14ac:dyDescent="0.3">
      <c r="E19"/>
      <c r="H19" s="459">
        <v>45337</v>
      </c>
      <c r="I19" s="38" t="s">
        <v>934</v>
      </c>
      <c r="J19" s="38"/>
      <c r="K19" s="38"/>
      <c r="L19" s="38"/>
      <c r="M19" s="38"/>
      <c r="N19" s="38"/>
      <c r="O19" s="38" t="s">
        <v>58</v>
      </c>
      <c r="P19" s="38">
        <v>116</v>
      </c>
      <c r="S19" s="462">
        <v>45275</v>
      </c>
      <c r="T19" s="38"/>
      <c r="U19" s="38"/>
      <c r="V19" s="38"/>
      <c r="W19" s="463" t="s">
        <v>58</v>
      </c>
      <c r="X19" s="463" t="s">
        <v>59</v>
      </c>
      <c r="Y19" s="463" t="s">
        <v>53</v>
      </c>
      <c r="Z19" s="38">
        <v>30780000</v>
      </c>
      <c r="AA19" s="38">
        <v>108</v>
      </c>
      <c r="AC19" s="458">
        <v>45337</v>
      </c>
      <c r="AD19" t="s">
        <v>939</v>
      </c>
      <c r="AE19" t="s">
        <v>995</v>
      </c>
      <c r="AF19"/>
      <c r="AG19" t="s">
        <v>65</v>
      </c>
      <c r="AH19" t="s">
        <v>58</v>
      </c>
      <c r="AI19">
        <v>34800000</v>
      </c>
      <c r="AK19" s="98">
        <v>2024</v>
      </c>
      <c r="AL19" s="98">
        <v>3</v>
      </c>
      <c r="AM19" s="98" t="s">
        <v>55</v>
      </c>
      <c r="AN19" s="98" t="s">
        <v>60</v>
      </c>
      <c r="AO19">
        <v>150000000</v>
      </c>
      <c r="AP19">
        <v>0</v>
      </c>
      <c r="AQ19">
        <v>0</v>
      </c>
      <c r="AS19" s="457">
        <v>45337</v>
      </c>
      <c r="AT19" s="98" t="s">
        <v>939</v>
      </c>
      <c r="AU19" s="98" t="s">
        <v>65</v>
      </c>
      <c r="AV19" s="98" t="s">
        <v>995</v>
      </c>
      <c r="AW19" s="98" t="s">
        <v>934</v>
      </c>
      <c r="AX19" s="98">
        <v>2</v>
      </c>
      <c r="AY19" s="98" t="s">
        <v>55</v>
      </c>
      <c r="AZ19"/>
      <c r="BA19"/>
      <c r="BB19" s="98" t="s">
        <v>58</v>
      </c>
      <c r="BC19" s="98" t="s">
        <v>59</v>
      </c>
      <c r="BD19" s="98" t="s">
        <v>55</v>
      </c>
      <c r="BE19" s="98" t="s">
        <v>998</v>
      </c>
      <c r="BF19">
        <v>34800000</v>
      </c>
      <c r="BI19" s="14">
        <v>44943</v>
      </c>
    </row>
    <row r="20" spans="5:61" x14ac:dyDescent="0.3">
      <c r="E20"/>
      <c r="H20" s="459">
        <v>45337</v>
      </c>
      <c r="I20" s="38" t="s">
        <v>934</v>
      </c>
      <c r="J20" s="38"/>
      <c r="K20" s="38"/>
      <c r="L20" s="38"/>
      <c r="M20" s="38"/>
      <c r="N20" s="38"/>
      <c r="O20" s="38" t="s">
        <v>62</v>
      </c>
      <c r="P20" s="38">
        <v>96</v>
      </c>
      <c r="S20" s="462">
        <v>45275</v>
      </c>
      <c r="T20" s="38"/>
      <c r="U20" s="38"/>
      <c r="V20" s="38"/>
      <c r="W20" s="463" t="s">
        <v>62</v>
      </c>
      <c r="X20" s="463" t="s">
        <v>63</v>
      </c>
      <c r="Y20" s="463" t="s">
        <v>53</v>
      </c>
      <c r="Z20" s="38">
        <v>39900000</v>
      </c>
      <c r="AA20" s="38">
        <v>84</v>
      </c>
      <c r="AC20" s="458">
        <v>45337</v>
      </c>
      <c r="AD20" t="s">
        <v>939</v>
      </c>
      <c r="AE20" t="s">
        <v>995</v>
      </c>
      <c r="AF20"/>
      <c r="AG20" t="s">
        <v>65</v>
      </c>
      <c r="AH20" t="s">
        <v>62</v>
      </c>
      <c r="AI20">
        <v>48000000</v>
      </c>
      <c r="AK20" s="98">
        <v>2024</v>
      </c>
      <c r="AL20" s="98">
        <v>3</v>
      </c>
      <c r="AM20" s="98" t="s">
        <v>54</v>
      </c>
      <c r="AN20" s="98" t="s">
        <v>55</v>
      </c>
      <c r="AO20">
        <v>300000000</v>
      </c>
      <c r="AP20">
        <v>226700000</v>
      </c>
      <c r="AQ20">
        <v>0.75566666666666671</v>
      </c>
      <c r="AS20" s="457">
        <v>45337</v>
      </c>
      <c r="AT20" s="98" t="s">
        <v>939</v>
      </c>
      <c r="AU20" s="98" t="s">
        <v>65</v>
      </c>
      <c r="AV20" s="98" t="s">
        <v>995</v>
      </c>
      <c r="AW20" s="98" t="s">
        <v>934</v>
      </c>
      <c r="AX20" s="98">
        <v>2</v>
      </c>
      <c r="AY20" s="98" t="s">
        <v>55</v>
      </c>
      <c r="AZ20"/>
      <c r="BA20"/>
      <c r="BB20" s="98" t="s">
        <v>62</v>
      </c>
      <c r="BC20" s="98" t="s">
        <v>63</v>
      </c>
      <c r="BD20" s="98" t="s">
        <v>55</v>
      </c>
      <c r="BE20" s="98" t="s">
        <v>998</v>
      </c>
      <c r="BF20">
        <v>48000000</v>
      </c>
      <c r="BI20" s="14">
        <v>44944</v>
      </c>
    </row>
    <row r="21" spans="5:61" x14ac:dyDescent="0.3">
      <c r="E21"/>
      <c r="H21" s="459">
        <v>45347</v>
      </c>
      <c r="I21" s="38" t="s">
        <v>935</v>
      </c>
      <c r="J21" s="38" t="s">
        <v>996</v>
      </c>
      <c r="K21" s="38" t="s">
        <v>992</v>
      </c>
      <c r="L21" s="38" t="s">
        <v>954</v>
      </c>
      <c r="M21" s="38">
        <v>1</v>
      </c>
      <c r="N21" s="38">
        <v>113900000</v>
      </c>
      <c r="O21" s="38" t="s">
        <v>29</v>
      </c>
      <c r="P21" s="38">
        <v>162</v>
      </c>
      <c r="S21" s="462">
        <v>45285</v>
      </c>
      <c r="T21" s="463" t="s">
        <v>995</v>
      </c>
      <c r="U21" s="463" t="s">
        <v>948</v>
      </c>
      <c r="V21" s="463" t="s">
        <v>986</v>
      </c>
      <c r="W21" s="463" t="s">
        <v>29</v>
      </c>
      <c r="X21" s="463" t="s">
        <v>52</v>
      </c>
      <c r="Y21" s="463" t="s">
        <v>53</v>
      </c>
      <c r="Z21" s="38">
        <v>28310000</v>
      </c>
      <c r="AA21" s="38">
        <v>149</v>
      </c>
      <c r="AC21" s="458">
        <v>45347</v>
      </c>
      <c r="AD21" t="s">
        <v>942</v>
      </c>
      <c r="AE21" t="s">
        <v>996</v>
      </c>
      <c r="AF21">
        <v>113900000</v>
      </c>
      <c r="AG21" t="s">
        <v>54</v>
      </c>
      <c r="AH21" t="s">
        <v>29</v>
      </c>
      <c r="AI21">
        <v>32400000</v>
      </c>
      <c r="AK21" s="98">
        <v>2024</v>
      </c>
      <c r="AL21" s="98">
        <v>3</v>
      </c>
      <c r="AM21" s="98" t="s">
        <v>65</v>
      </c>
      <c r="AN21" s="98" t="s">
        <v>55</v>
      </c>
      <c r="AO21">
        <v>150000000</v>
      </c>
      <c r="AP21">
        <v>112200000</v>
      </c>
      <c r="AQ21">
        <v>0.748</v>
      </c>
      <c r="AS21" s="457">
        <v>45347</v>
      </c>
      <c r="AT21" s="98" t="s">
        <v>942</v>
      </c>
      <c r="AU21" s="98" t="s">
        <v>54</v>
      </c>
      <c r="AV21" s="98" t="s">
        <v>996</v>
      </c>
      <c r="AW21" s="98" t="s">
        <v>935</v>
      </c>
      <c r="AX21" s="98">
        <v>1</v>
      </c>
      <c r="AY21" s="98" t="s">
        <v>55</v>
      </c>
      <c r="AZ21" s="98">
        <v>0</v>
      </c>
      <c r="BA21" s="98">
        <v>113900000</v>
      </c>
      <c r="BB21" s="98" t="s">
        <v>29</v>
      </c>
      <c r="BC21" s="98" t="s">
        <v>52</v>
      </c>
      <c r="BD21" s="98" t="s">
        <v>55</v>
      </c>
      <c r="BE21" s="98" t="s">
        <v>998</v>
      </c>
      <c r="BF21">
        <v>32400000</v>
      </c>
      <c r="BI21" s="14">
        <v>44945</v>
      </c>
    </row>
    <row r="22" spans="5:61" x14ac:dyDescent="0.3">
      <c r="E22"/>
      <c r="H22" s="459">
        <v>45347</v>
      </c>
      <c r="I22" s="38" t="s">
        <v>935</v>
      </c>
      <c r="J22" s="38"/>
      <c r="K22" s="38"/>
      <c r="L22" s="38"/>
      <c r="M22" s="38"/>
      <c r="N22" s="38"/>
      <c r="O22" s="38" t="s">
        <v>58</v>
      </c>
      <c r="P22" s="38">
        <v>115</v>
      </c>
      <c r="S22" s="462">
        <v>45285</v>
      </c>
      <c r="T22" s="38"/>
      <c r="U22" s="38"/>
      <c r="V22" s="38"/>
      <c r="W22" s="463" t="s">
        <v>58</v>
      </c>
      <c r="X22" s="463" t="s">
        <v>59</v>
      </c>
      <c r="Y22" s="463" t="s">
        <v>53</v>
      </c>
      <c r="Z22" s="38">
        <v>30780000</v>
      </c>
      <c r="AA22" s="38">
        <v>108</v>
      </c>
      <c r="AC22" s="458">
        <v>45347</v>
      </c>
      <c r="AD22" t="s">
        <v>942</v>
      </c>
      <c r="AE22" t="s">
        <v>996</v>
      </c>
      <c r="AF22"/>
      <c r="AG22" t="s">
        <v>54</v>
      </c>
      <c r="AH22" t="s">
        <v>58</v>
      </c>
      <c r="AI22">
        <v>34500000</v>
      </c>
      <c r="AK22" s="98">
        <v>2024</v>
      </c>
      <c r="AL22" s="98">
        <v>4</v>
      </c>
      <c r="AM22" s="98" t="s">
        <v>55</v>
      </c>
      <c r="AN22" s="98" t="s">
        <v>56</v>
      </c>
      <c r="AO22">
        <v>150000000</v>
      </c>
      <c r="AP22">
        <v>0</v>
      </c>
      <c r="AQ22">
        <v>0</v>
      </c>
      <c r="AS22" s="457">
        <v>45347</v>
      </c>
      <c r="AT22" s="98" t="s">
        <v>942</v>
      </c>
      <c r="AU22" s="98" t="s">
        <v>54</v>
      </c>
      <c r="AV22" s="98" t="s">
        <v>996</v>
      </c>
      <c r="AW22" s="98" t="s">
        <v>935</v>
      </c>
      <c r="AX22" s="98">
        <v>1</v>
      </c>
      <c r="AY22" s="98" t="s">
        <v>55</v>
      </c>
      <c r="AZ22"/>
      <c r="BA22"/>
      <c r="BB22" s="98" t="s">
        <v>58</v>
      </c>
      <c r="BC22" s="98" t="s">
        <v>59</v>
      </c>
      <c r="BD22" s="98" t="s">
        <v>55</v>
      </c>
      <c r="BE22" s="98" t="s">
        <v>998</v>
      </c>
      <c r="BF22">
        <v>34500000</v>
      </c>
      <c r="BI22" s="14">
        <v>44946</v>
      </c>
    </row>
    <row r="23" spans="5:61" x14ac:dyDescent="0.3">
      <c r="E23"/>
      <c r="H23" s="459">
        <v>45347</v>
      </c>
      <c r="I23" s="38" t="s">
        <v>935</v>
      </c>
      <c r="J23" s="38"/>
      <c r="K23" s="38"/>
      <c r="L23" s="38"/>
      <c r="M23" s="38"/>
      <c r="N23" s="38"/>
      <c r="O23" s="38" t="s">
        <v>62</v>
      </c>
      <c r="P23" s="38">
        <v>94</v>
      </c>
      <c r="S23" s="462">
        <v>45285</v>
      </c>
      <c r="T23" s="38"/>
      <c r="U23" s="38"/>
      <c r="V23" s="38"/>
      <c r="W23" s="463" t="s">
        <v>62</v>
      </c>
      <c r="X23" s="463" t="s">
        <v>63</v>
      </c>
      <c r="Y23" s="463" t="s">
        <v>53</v>
      </c>
      <c r="Z23" s="38">
        <v>41325000</v>
      </c>
      <c r="AA23" s="38">
        <v>87</v>
      </c>
      <c r="AC23" s="458">
        <v>45347</v>
      </c>
      <c r="AD23" t="s">
        <v>942</v>
      </c>
      <c r="AE23" t="s">
        <v>996</v>
      </c>
      <c r="AF23"/>
      <c r="AG23" t="s">
        <v>54</v>
      </c>
      <c r="AH23" t="s">
        <v>62</v>
      </c>
      <c r="AI23">
        <v>47000000</v>
      </c>
      <c r="AK23" s="98">
        <v>2024</v>
      </c>
      <c r="AL23" s="98">
        <v>4</v>
      </c>
      <c r="AM23" s="98" t="s">
        <v>55</v>
      </c>
      <c r="AN23" s="98" t="s">
        <v>60</v>
      </c>
      <c r="AO23">
        <v>150000000</v>
      </c>
      <c r="AP23">
        <v>121300000</v>
      </c>
      <c r="AQ23">
        <v>0.80866666666666664</v>
      </c>
      <c r="AS23" s="457">
        <v>45347</v>
      </c>
      <c r="AT23" s="98" t="s">
        <v>942</v>
      </c>
      <c r="AU23" s="98" t="s">
        <v>54</v>
      </c>
      <c r="AV23" s="98" t="s">
        <v>996</v>
      </c>
      <c r="AW23" s="98" t="s">
        <v>935</v>
      </c>
      <c r="AX23" s="98">
        <v>1</v>
      </c>
      <c r="AY23" s="98" t="s">
        <v>55</v>
      </c>
      <c r="AZ23"/>
      <c r="BA23"/>
      <c r="BB23" s="98" t="s">
        <v>62</v>
      </c>
      <c r="BC23" s="98" t="s">
        <v>63</v>
      </c>
      <c r="BD23" s="98" t="s">
        <v>55</v>
      </c>
      <c r="BE23" s="98" t="s">
        <v>998</v>
      </c>
      <c r="BF23">
        <v>47000000</v>
      </c>
      <c r="BI23" s="14">
        <v>44947</v>
      </c>
    </row>
    <row r="24" spans="5:61" x14ac:dyDescent="0.3">
      <c r="E24"/>
      <c r="H24" s="459">
        <v>45356</v>
      </c>
      <c r="I24" s="38" t="s">
        <v>930</v>
      </c>
      <c r="J24" s="38" t="s">
        <v>996</v>
      </c>
      <c r="K24" s="38" t="s">
        <v>987</v>
      </c>
      <c r="L24" s="38" t="s">
        <v>955</v>
      </c>
      <c r="M24" s="38">
        <v>13</v>
      </c>
      <c r="N24" s="38">
        <v>113500000</v>
      </c>
      <c r="O24" s="38" t="s">
        <v>29</v>
      </c>
      <c r="P24" s="38">
        <v>164</v>
      </c>
      <c r="S24" s="462">
        <v>45296</v>
      </c>
      <c r="T24" s="463" t="s">
        <v>996</v>
      </c>
      <c r="U24" s="463" t="s">
        <v>949</v>
      </c>
      <c r="V24" s="463" t="s">
        <v>987</v>
      </c>
      <c r="W24" s="463" t="s">
        <v>29</v>
      </c>
      <c r="X24" s="463" t="s">
        <v>52</v>
      </c>
      <c r="Y24" s="463" t="s">
        <v>53</v>
      </c>
      <c r="Z24" s="38">
        <v>30000000</v>
      </c>
      <c r="AA24" s="38">
        <v>150</v>
      </c>
      <c r="AC24" s="458">
        <v>45356</v>
      </c>
      <c r="AD24" t="s">
        <v>56</v>
      </c>
      <c r="AE24" t="s">
        <v>996</v>
      </c>
      <c r="AF24">
        <v>113500000</v>
      </c>
      <c r="AG24" t="s">
        <v>54</v>
      </c>
      <c r="AH24" t="s">
        <v>29</v>
      </c>
      <c r="AI24">
        <v>32800000</v>
      </c>
      <c r="AK24" s="98">
        <v>2024</v>
      </c>
      <c r="AL24" s="98">
        <v>4</v>
      </c>
      <c r="AM24" s="98" t="s">
        <v>54</v>
      </c>
      <c r="AN24" s="98" t="s">
        <v>55</v>
      </c>
      <c r="AO24">
        <v>300000000</v>
      </c>
      <c r="AP24">
        <v>355100000</v>
      </c>
      <c r="AQ24">
        <v>1.1836666666666666</v>
      </c>
      <c r="AS24" s="457">
        <v>45356</v>
      </c>
      <c r="AT24" s="98" t="s">
        <v>56</v>
      </c>
      <c r="AU24" s="98" t="s">
        <v>54</v>
      </c>
      <c r="AV24" s="98" t="s">
        <v>996</v>
      </c>
      <c r="AW24" s="98" t="s">
        <v>930</v>
      </c>
      <c r="AX24" s="98">
        <v>13</v>
      </c>
      <c r="AY24" s="98" t="s">
        <v>55</v>
      </c>
      <c r="AZ24" s="98">
        <v>0</v>
      </c>
      <c r="BA24" s="98">
        <v>113500000</v>
      </c>
      <c r="BB24" s="98" t="s">
        <v>29</v>
      </c>
      <c r="BC24" s="98" t="s">
        <v>52</v>
      </c>
      <c r="BD24" s="98" t="s">
        <v>55</v>
      </c>
      <c r="BE24" s="98" t="s">
        <v>998</v>
      </c>
      <c r="BF24">
        <v>32800000</v>
      </c>
      <c r="BI24" s="14">
        <v>44948</v>
      </c>
    </row>
    <row r="25" spans="5:61" x14ac:dyDescent="0.3">
      <c r="E25"/>
      <c r="H25" s="459">
        <v>45356</v>
      </c>
      <c r="I25" s="38" t="s">
        <v>930</v>
      </c>
      <c r="J25" s="38"/>
      <c r="K25" s="38"/>
      <c r="L25" s="38"/>
      <c r="M25" s="38"/>
      <c r="N25" s="38"/>
      <c r="O25" s="38" t="s">
        <v>58</v>
      </c>
      <c r="P25" s="38">
        <v>114</v>
      </c>
      <c r="S25" s="462">
        <v>45296</v>
      </c>
      <c r="T25" s="38"/>
      <c r="U25" s="38"/>
      <c r="V25" s="38"/>
      <c r="W25" s="463" t="s">
        <v>58</v>
      </c>
      <c r="X25" s="463" t="s">
        <v>59</v>
      </c>
      <c r="Y25" s="463" t="s">
        <v>53</v>
      </c>
      <c r="Z25" s="38">
        <v>33600000</v>
      </c>
      <c r="AA25" s="38">
        <v>112</v>
      </c>
      <c r="AC25" s="458">
        <v>45356</v>
      </c>
      <c r="AD25" t="s">
        <v>56</v>
      </c>
      <c r="AE25" t="s">
        <v>996</v>
      </c>
      <c r="AF25"/>
      <c r="AG25" t="s">
        <v>54</v>
      </c>
      <c r="AH25" t="s">
        <v>58</v>
      </c>
      <c r="AI25">
        <v>34200000</v>
      </c>
      <c r="AK25" s="98">
        <v>2024</v>
      </c>
      <c r="AL25" s="98">
        <v>4</v>
      </c>
      <c r="AM25" s="98" t="s">
        <v>65</v>
      </c>
      <c r="AN25" s="98" t="s">
        <v>55</v>
      </c>
      <c r="AO25">
        <v>150000000</v>
      </c>
      <c r="AP25">
        <v>0</v>
      </c>
      <c r="AQ25">
        <v>0</v>
      </c>
      <c r="AS25" s="457">
        <v>45356</v>
      </c>
      <c r="AT25" s="98" t="s">
        <v>56</v>
      </c>
      <c r="AU25" s="98" t="s">
        <v>54</v>
      </c>
      <c r="AV25" s="98" t="s">
        <v>996</v>
      </c>
      <c r="AW25" s="98" t="s">
        <v>930</v>
      </c>
      <c r="AX25" s="98">
        <v>13</v>
      </c>
      <c r="AY25" s="98" t="s">
        <v>55</v>
      </c>
      <c r="AZ25"/>
      <c r="BA25"/>
      <c r="BB25" s="98" t="s">
        <v>58</v>
      </c>
      <c r="BC25" s="98" t="s">
        <v>59</v>
      </c>
      <c r="BD25" s="98" t="s">
        <v>55</v>
      </c>
      <c r="BE25" s="98" t="s">
        <v>998</v>
      </c>
      <c r="BF25">
        <v>34200000</v>
      </c>
      <c r="BI25" s="14">
        <v>44949</v>
      </c>
    </row>
    <row r="26" spans="5:61" x14ac:dyDescent="0.3">
      <c r="E26"/>
      <c r="H26" s="459">
        <v>45356</v>
      </c>
      <c r="I26" s="38" t="s">
        <v>930</v>
      </c>
      <c r="J26" s="38"/>
      <c r="K26" s="38"/>
      <c r="L26" s="38"/>
      <c r="M26" s="38"/>
      <c r="N26" s="38"/>
      <c r="O26" s="38" t="s">
        <v>62</v>
      </c>
      <c r="P26" s="38">
        <v>93</v>
      </c>
      <c r="S26" s="462">
        <v>45296</v>
      </c>
      <c r="T26" s="38"/>
      <c r="U26" s="38"/>
      <c r="V26" s="38"/>
      <c r="W26" s="463" t="s">
        <v>62</v>
      </c>
      <c r="X26" s="463" t="s">
        <v>63</v>
      </c>
      <c r="Y26" s="463" t="s">
        <v>53</v>
      </c>
      <c r="Z26" s="38">
        <v>44000000</v>
      </c>
      <c r="AA26" s="38">
        <v>88</v>
      </c>
      <c r="AC26" s="458">
        <v>45356</v>
      </c>
      <c r="AD26" t="s">
        <v>56</v>
      </c>
      <c r="AE26" t="s">
        <v>996</v>
      </c>
      <c r="AF26"/>
      <c r="AG26" t="s">
        <v>54</v>
      </c>
      <c r="AH26" t="s">
        <v>62</v>
      </c>
      <c r="AI26">
        <v>46500000</v>
      </c>
      <c r="AK26" s="98">
        <v>2024</v>
      </c>
      <c r="AL26" s="98">
        <v>5</v>
      </c>
      <c r="AM26" s="98" t="s">
        <v>55</v>
      </c>
      <c r="AN26" s="98" t="s">
        <v>56</v>
      </c>
      <c r="AO26">
        <v>150000000</v>
      </c>
      <c r="AP26">
        <v>126900000</v>
      </c>
      <c r="AQ26">
        <v>0.84599999999999997</v>
      </c>
      <c r="AS26" s="457">
        <v>45356</v>
      </c>
      <c r="AT26" s="98" t="s">
        <v>56</v>
      </c>
      <c r="AU26" s="98" t="s">
        <v>54</v>
      </c>
      <c r="AV26" s="98" t="s">
        <v>996</v>
      </c>
      <c r="AW26" s="98" t="s">
        <v>930</v>
      </c>
      <c r="AX26" s="98">
        <v>13</v>
      </c>
      <c r="AY26" s="98" t="s">
        <v>55</v>
      </c>
      <c r="AZ26"/>
      <c r="BA26"/>
      <c r="BB26" s="98" t="s">
        <v>62</v>
      </c>
      <c r="BC26" s="98" t="s">
        <v>63</v>
      </c>
      <c r="BD26" s="98" t="s">
        <v>55</v>
      </c>
      <c r="BE26" s="98" t="s">
        <v>998</v>
      </c>
      <c r="BF26">
        <v>46500000</v>
      </c>
      <c r="BI26" s="14">
        <v>44950</v>
      </c>
    </row>
    <row r="27" spans="5:61" x14ac:dyDescent="0.3">
      <c r="E27"/>
      <c r="H27" s="459">
        <v>45366</v>
      </c>
      <c r="I27" s="38" t="s">
        <v>929</v>
      </c>
      <c r="J27" s="38" t="s">
        <v>995</v>
      </c>
      <c r="K27" s="38" t="s">
        <v>986</v>
      </c>
      <c r="L27" s="38" t="s">
        <v>956</v>
      </c>
      <c r="M27" s="38">
        <v>11</v>
      </c>
      <c r="N27" s="38">
        <v>113200000</v>
      </c>
      <c r="O27" s="38" t="s">
        <v>29</v>
      </c>
      <c r="P27" s="38">
        <v>161</v>
      </c>
      <c r="S27" s="462">
        <v>45306</v>
      </c>
      <c r="T27" s="463" t="s">
        <v>996</v>
      </c>
      <c r="U27" s="463" t="s">
        <v>950</v>
      </c>
      <c r="V27" s="463" t="s">
        <v>990</v>
      </c>
      <c r="W27" s="463" t="s">
        <v>29</v>
      </c>
      <c r="X27" s="463" t="s">
        <v>52</v>
      </c>
      <c r="Y27" s="463" t="s">
        <v>53</v>
      </c>
      <c r="Z27" s="38">
        <v>30400000</v>
      </c>
      <c r="AA27" s="38">
        <v>152</v>
      </c>
      <c r="AC27" s="458">
        <v>45366</v>
      </c>
      <c r="AD27" t="s">
        <v>940</v>
      </c>
      <c r="AE27" t="s">
        <v>995</v>
      </c>
      <c r="AF27">
        <v>113200000</v>
      </c>
      <c r="AG27" t="s">
        <v>54</v>
      </c>
      <c r="AH27" t="s">
        <v>29</v>
      </c>
      <c r="AI27">
        <v>32200000</v>
      </c>
      <c r="AK27" s="98">
        <v>2024</v>
      </c>
      <c r="AL27" s="98">
        <v>5</v>
      </c>
      <c r="AM27" s="98" t="s">
        <v>55</v>
      </c>
      <c r="AN27" s="98" t="s">
        <v>60</v>
      </c>
      <c r="AO27">
        <v>150000000</v>
      </c>
      <c r="AP27">
        <v>122900000</v>
      </c>
      <c r="AQ27">
        <v>0.81933333333333336</v>
      </c>
      <c r="AS27" s="457">
        <v>45366</v>
      </c>
      <c r="AT27" s="98" t="s">
        <v>940</v>
      </c>
      <c r="AU27" s="98" t="s">
        <v>54</v>
      </c>
      <c r="AV27" s="98" t="s">
        <v>995</v>
      </c>
      <c r="AW27" s="98" t="s">
        <v>929</v>
      </c>
      <c r="AX27" s="98">
        <v>11</v>
      </c>
      <c r="AY27" s="98" t="s">
        <v>55</v>
      </c>
      <c r="AZ27" s="98">
        <v>0</v>
      </c>
      <c r="BA27" s="98">
        <v>113200000</v>
      </c>
      <c r="BB27" s="98" t="s">
        <v>29</v>
      </c>
      <c r="BC27" s="98" t="s">
        <v>52</v>
      </c>
      <c r="BD27" s="98" t="s">
        <v>55</v>
      </c>
      <c r="BE27" s="98" t="s">
        <v>998</v>
      </c>
      <c r="BF27">
        <v>32200000</v>
      </c>
      <c r="BI27" s="14">
        <v>44951</v>
      </c>
    </row>
    <row r="28" spans="5:61" x14ac:dyDescent="0.3">
      <c r="E28"/>
      <c r="H28" s="459">
        <v>45366</v>
      </c>
      <c r="I28" s="38" t="s">
        <v>929</v>
      </c>
      <c r="J28" s="38"/>
      <c r="K28" s="38"/>
      <c r="L28" s="38"/>
      <c r="M28" s="38"/>
      <c r="N28" s="38"/>
      <c r="O28" s="38" t="s">
        <v>58</v>
      </c>
      <c r="P28" s="38">
        <v>115</v>
      </c>
      <c r="S28" s="462">
        <v>45306</v>
      </c>
      <c r="T28" s="38"/>
      <c r="U28" s="38"/>
      <c r="V28" s="38"/>
      <c r="W28" s="463" t="s">
        <v>58</v>
      </c>
      <c r="X28" s="463" t="s">
        <v>59</v>
      </c>
      <c r="Y28" s="463" t="s">
        <v>53</v>
      </c>
      <c r="Z28" s="38">
        <v>33600000</v>
      </c>
      <c r="AA28" s="38">
        <v>112</v>
      </c>
      <c r="AC28" s="458">
        <v>45366</v>
      </c>
      <c r="AD28" t="s">
        <v>940</v>
      </c>
      <c r="AE28" t="s">
        <v>995</v>
      </c>
      <c r="AF28"/>
      <c r="AG28" t="s">
        <v>54</v>
      </c>
      <c r="AH28" t="s">
        <v>58</v>
      </c>
      <c r="AI28">
        <v>34500000</v>
      </c>
      <c r="AK28" s="98">
        <v>2024</v>
      </c>
      <c r="AL28" s="98">
        <v>5</v>
      </c>
      <c r="AM28" s="98" t="s">
        <v>54</v>
      </c>
      <c r="AN28" s="98" t="s">
        <v>55</v>
      </c>
      <c r="AO28">
        <v>300000000</v>
      </c>
      <c r="AP28">
        <v>126600000</v>
      </c>
      <c r="AQ28">
        <v>0.42199999999999999</v>
      </c>
      <c r="AS28" s="457">
        <v>45366</v>
      </c>
      <c r="AT28" s="98" t="s">
        <v>940</v>
      </c>
      <c r="AU28" s="98" t="s">
        <v>54</v>
      </c>
      <c r="AV28" s="98" t="s">
        <v>995</v>
      </c>
      <c r="AW28" s="98" t="s">
        <v>929</v>
      </c>
      <c r="AX28" s="98">
        <v>11</v>
      </c>
      <c r="AY28" s="98" t="s">
        <v>55</v>
      </c>
      <c r="AZ28"/>
      <c r="BA28"/>
      <c r="BB28" s="98" t="s">
        <v>58</v>
      </c>
      <c r="BC28" s="98" t="s">
        <v>59</v>
      </c>
      <c r="BD28" s="98" t="s">
        <v>55</v>
      </c>
      <c r="BE28" s="98" t="s">
        <v>998</v>
      </c>
      <c r="BF28">
        <v>34500000</v>
      </c>
      <c r="BI28" s="14">
        <v>44952</v>
      </c>
    </row>
    <row r="29" spans="5:61" x14ac:dyDescent="0.3">
      <c r="E29"/>
      <c r="H29" s="459">
        <v>45366</v>
      </c>
      <c r="I29" s="38" t="s">
        <v>929</v>
      </c>
      <c r="J29" s="38"/>
      <c r="K29" s="38"/>
      <c r="L29" s="38"/>
      <c r="M29" s="38"/>
      <c r="N29" s="38"/>
      <c r="O29" s="38" t="s">
        <v>62</v>
      </c>
      <c r="P29" s="38">
        <v>93</v>
      </c>
      <c r="S29" s="462">
        <v>45306</v>
      </c>
      <c r="T29" s="38"/>
      <c r="U29" s="38"/>
      <c r="V29" s="38"/>
      <c r="W29" s="463" t="s">
        <v>62</v>
      </c>
      <c r="X29" s="463" t="s">
        <v>63</v>
      </c>
      <c r="Y29" s="463" t="s">
        <v>53</v>
      </c>
      <c r="Z29" s="38">
        <v>45500000</v>
      </c>
      <c r="AA29" s="38">
        <v>91</v>
      </c>
      <c r="AC29" s="458">
        <v>45366</v>
      </c>
      <c r="AD29" t="s">
        <v>940</v>
      </c>
      <c r="AE29" t="s">
        <v>995</v>
      </c>
      <c r="AF29"/>
      <c r="AG29" t="s">
        <v>54</v>
      </c>
      <c r="AH29" t="s">
        <v>62</v>
      </c>
      <c r="AI29">
        <v>46500000</v>
      </c>
      <c r="AK29" s="98">
        <v>2024</v>
      </c>
      <c r="AL29" s="98">
        <v>5</v>
      </c>
      <c r="AM29" s="98" t="s">
        <v>65</v>
      </c>
      <c r="AN29" s="98" t="s">
        <v>55</v>
      </c>
      <c r="AO29">
        <v>150000000</v>
      </c>
      <c r="AP29">
        <v>249800000</v>
      </c>
      <c r="AQ29">
        <v>1.6653333333333333</v>
      </c>
      <c r="AS29" s="457">
        <v>45366</v>
      </c>
      <c r="AT29" s="98" t="s">
        <v>940</v>
      </c>
      <c r="AU29" s="98" t="s">
        <v>54</v>
      </c>
      <c r="AV29" s="98" t="s">
        <v>995</v>
      </c>
      <c r="AW29" s="98" t="s">
        <v>929</v>
      </c>
      <c r="AX29" s="98">
        <v>11</v>
      </c>
      <c r="AY29" s="98" t="s">
        <v>55</v>
      </c>
      <c r="AZ29"/>
      <c r="BA29"/>
      <c r="BB29" s="98" t="s">
        <v>62</v>
      </c>
      <c r="BC29" s="98" t="s">
        <v>63</v>
      </c>
      <c r="BD29" s="98" t="s">
        <v>55</v>
      </c>
      <c r="BE29" s="98" t="s">
        <v>998</v>
      </c>
      <c r="BF29">
        <v>46500000</v>
      </c>
      <c r="BI29" s="14">
        <v>44953</v>
      </c>
    </row>
    <row r="30" spans="5:61" x14ac:dyDescent="0.3">
      <c r="H30" s="459">
        <v>45376</v>
      </c>
      <c r="I30" s="38" t="s">
        <v>933</v>
      </c>
      <c r="J30" s="38" t="s">
        <v>996</v>
      </c>
      <c r="K30" s="38" t="s">
        <v>990</v>
      </c>
      <c r="L30" s="38" t="s">
        <v>957</v>
      </c>
      <c r="M30" s="38">
        <v>5</v>
      </c>
      <c r="N30" s="38">
        <v>112200000</v>
      </c>
      <c r="O30" s="38" t="s">
        <v>29</v>
      </c>
      <c r="P30" s="38">
        <v>164</v>
      </c>
      <c r="S30" s="462">
        <v>45316</v>
      </c>
      <c r="T30" s="463" t="s">
        <v>995</v>
      </c>
      <c r="U30" s="463" t="s">
        <v>951</v>
      </c>
      <c r="V30" s="463" t="s">
        <v>989</v>
      </c>
      <c r="W30" s="463" t="s">
        <v>29</v>
      </c>
      <c r="X30" s="463" t="s">
        <v>52</v>
      </c>
      <c r="Y30" s="463" t="s">
        <v>53</v>
      </c>
      <c r="Z30" s="38">
        <v>31400000</v>
      </c>
      <c r="AA30" s="38">
        <v>157</v>
      </c>
      <c r="AC30" s="458">
        <v>45376</v>
      </c>
      <c r="AD30" t="s">
        <v>939</v>
      </c>
      <c r="AE30" t="s">
        <v>996</v>
      </c>
      <c r="AF30">
        <v>112200000</v>
      </c>
      <c r="AG30" t="s">
        <v>65</v>
      </c>
      <c r="AH30" t="s">
        <v>29</v>
      </c>
      <c r="AI30">
        <v>32800000</v>
      </c>
      <c r="AK30" s="98">
        <v>2024</v>
      </c>
      <c r="AL30" s="98">
        <v>6</v>
      </c>
      <c r="AM30" s="98" t="s">
        <v>55</v>
      </c>
      <c r="AN30" s="98" t="s">
        <v>56</v>
      </c>
      <c r="AO30">
        <v>150000000</v>
      </c>
      <c r="AP30">
        <v>0</v>
      </c>
      <c r="AQ30">
        <v>0</v>
      </c>
      <c r="AS30" s="457">
        <v>45376</v>
      </c>
      <c r="AT30" s="98" t="s">
        <v>939</v>
      </c>
      <c r="AU30" s="98" t="s">
        <v>65</v>
      </c>
      <c r="AV30" s="98" t="s">
        <v>996</v>
      </c>
      <c r="AW30" s="98" t="s">
        <v>933</v>
      </c>
      <c r="AX30" s="98">
        <v>5</v>
      </c>
      <c r="AY30" s="98" t="s">
        <v>55</v>
      </c>
      <c r="AZ30" s="98">
        <v>0</v>
      </c>
      <c r="BA30" s="98">
        <v>112200000</v>
      </c>
      <c r="BB30" s="98" t="s">
        <v>29</v>
      </c>
      <c r="BC30" s="98" t="s">
        <v>52</v>
      </c>
      <c r="BD30" s="98" t="s">
        <v>55</v>
      </c>
      <c r="BE30" s="98" t="s">
        <v>998</v>
      </c>
      <c r="BF30">
        <v>32800000</v>
      </c>
      <c r="BI30" s="14">
        <v>44954</v>
      </c>
    </row>
    <row r="31" spans="5:61" x14ac:dyDescent="0.3">
      <c r="H31" s="459">
        <v>45376</v>
      </c>
      <c r="I31" s="38" t="s">
        <v>933</v>
      </c>
      <c r="J31" s="38"/>
      <c r="K31" s="38"/>
      <c r="L31" s="38"/>
      <c r="M31" s="38"/>
      <c r="N31" s="38"/>
      <c r="O31" s="38" t="s">
        <v>58</v>
      </c>
      <c r="P31" s="38">
        <v>113</v>
      </c>
      <c r="S31" s="462">
        <v>45316</v>
      </c>
      <c r="T31" s="38"/>
      <c r="U31" s="38"/>
      <c r="V31" s="38"/>
      <c r="W31" s="463" t="s">
        <v>58</v>
      </c>
      <c r="X31" s="463" t="s">
        <v>59</v>
      </c>
      <c r="Y31" s="463" t="s">
        <v>53</v>
      </c>
      <c r="Z31" s="38">
        <v>34200000</v>
      </c>
      <c r="AA31" s="38">
        <v>114</v>
      </c>
      <c r="AC31" s="458">
        <v>45376</v>
      </c>
      <c r="AD31" t="s">
        <v>939</v>
      </c>
      <c r="AE31" t="s">
        <v>996</v>
      </c>
      <c r="AF31"/>
      <c r="AG31" t="s">
        <v>65</v>
      </c>
      <c r="AH31" t="s">
        <v>58</v>
      </c>
      <c r="AI31">
        <v>33900000</v>
      </c>
      <c r="AK31" s="98">
        <v>2024</v>
      </c>
      <c r="AL31" s="98">
        <v>6</v>
      </c>
      <c r="AM31" s="98" t="s">
        <v>55</v>
      </c>
      <c r="AN31" s="98" t="s">
        <v>60</v>
      </c>
      <c r="AO31">
        <v>150000000</v>
      </c>
      <c r="AP31">
        <v>0</v>
      </c>
      <c r="AQ31">
        <v>0</v>
      </c>
      <c r="AS31" s="457">
        <v>45376</v>
      </c>
      <c r="AT31" s="98" t="s">
        <v>939</v>
      </c>
      <c r="AU31" s="98" t="s">
        <v>65</v>
      </c>
      <c r="AV31" s="98" t="s">
        <v>996</v>
      </c>
      <c r="AW31" s="98" t="s">
        <v>933</v>
      </c>
      <c r="AX31" s="98">
        <v>5</v>
      </c>
      <c r="AY31" s="98" t="s">
        <v>55</v>
      </c>
      <c r="AZ31"/>
      <c r="BA31"/>
      <c r="BB31" s="98" t="s">
        <v>58</v>
      </c>
      <c r="BC31" s="98" t="s">
        <v>59</v>
      </c>
      <c r="BD31" s="98" t="s">
        <v>55</v>
      </c>
      <c r="BE31" s="98" t="s">
        <v>998</v>
      </c>
      <c r="BF31">
        <v>33900000</v>
      </c>
      <c r="BI31" s="14">
        <v>44955</v>
      </c>
    </row>
    <row r="32" spans="5:61" x14ac:dyDescent="0.3">
      <c r="H32" s="459">
        <v>45376</v>
      </c>
      <c r="I32" s="38" t="s">
        <v>933</v>
      </c>
      <c r="J32" s="38"/>
      <c r="K32" s="38"/>
      <c r="L32" s="38"/>
      <c r="M32" s="38"/>
      <c r="N32" s="38"/>
      <c r="O32" s="38" t="s">
        <v>62</v>
      </c>
      <c r="P32" s="38">
        <v>91</v>
      </c>
      <c r="S32" s="462">
        <v>45316</v>
      </c>
      <c r="T32" s="38"/>
      <c r="U32" s="38"/>
      <c r="V32" s="38"/>
      <c r="W32" s="463" t="s">
        <v>62</v>
      </c>
      <c r="X32" s="463" t="s">
        <v>63</v>
      </c>
      <c r="Y32" s="463" t="s">
        <v>53</v>
      </c>
      <c r="Z32" s="38">
        <v>48000000</v>
      </c>
      <c r="AA32" s="38">
        <v>96</v>
      </c>
      <c r="AC32" s="458">
        <v>45376</v>
      </c>
      <c r="AD32" t="s">
        <v>939</v>
      </c>
      <c r="AE32" t="s">
        <v>996</v>
      </c>
      <c r="AF32"/>
      <c r="AG32" t="s">
        <v>65</v>
      </c>
      <c r="AH32" t="s">
        <v>62</v>
      </c>
      <c r="AI32">
        <v>45500000</v>
      </c>
      <c r="AK32" s="98">
        <v>2024</v>
      </c>
      <c r="AL32" s="98">
        <v>6</v>
      </c>
      <c r="AM32" s="98" t="s">
        <v>54</v>
      </c>
      <c r="AN32" s="98" t="s">
        <v>55</v>
      </c>
      <c r="AO32">
        <v>300000000</v>
      </c>
      <c r="AP32">
        <v>384600000</v>
      </c>
      <c r="AQ32">
        <v>1.282</v>
      </c>
      <c r="AS32" s="457">
        <v>45376</v>
      </c>
      <c r="AT32" s="98" t="s">
        <v>939</v>
      </c>
      <c r="AU32" s="98" t="s">
        <v>65</v>
      </c>
      <c r="AV32" s="98" t="s">
        <v>996</v>
      </c>
      <c r="AW32" s="98" t="s">
        <v>933</v>
      </c>
      <c r="AX32" s="98">
        <v>5</v>
      </c>
      <c r="AY32" s="98" t="s">
        <v>55</v>
      </c>
      <c r="AZ32"/>
      <c r="BA32"/>
      <c r="BB32" s="98" t="s">
        <v>62</v>
      </c>
      <c r="BC32" s="98" t="s">
        <v>63</v>
      </c>
      <c r="BD32" s="98" t="s">
        <v>55</v>
      </c>
      <c r="BE32" s="98" t="s">
        <v>998</v>
      </c>
      <c r="BF32">
        <v>45500000</v>
      </c>
      <c r="BI32" s="14">
        <v>44956</v>
      </c>
    </row>
    <row r="33" spans="8:61" x14ac:dyDescent="0.3">
      <c r="H33" s="459">
        <v>45387</v>
      </c>
      <c r="I33" s="38" t="s">
        <v>931</v>
      </c>
      <c r="J33" s="38" t="s">
        <v>996</v>
      </c>
      <c r="K33" s="38" t="s">
        <v>988</v>
      </c>
      <c r="L33" s="38" t="s">
        <v>958</v>
      </c>
      <c r="M33" s="38">
        <v>9</v>
      </c>
      <c r="N33" s="38">
        <v>115200000</v>
      </c>
      <c r="O33" s="38" t="s">
        <v>29</v>
      </c>
      <c r="P33" s="38">
        <v>172</v>
      </c>
      <c r="S33" s="462">
        <v>45327</v>
      </c>
      <c r="T33" s="463" t="s">
        <v>995</v>
      </c>
      <c r="U33" s="463" t="s">
        <v>952</v>
      </c>
      <c r="V33" s="463" t="s">
        <v>991</v>
      </c>
      <c r="W33" s="463" t="s">
        <v>29</v>
      </c>
      <c r="X33" s="463" t="s">
        <v>52</v>
      </c>
      <c r="Y33" s="463" t="s">
        <v>53</v>
      </c>
      <c r="Z33" s="38">
        <v>31800000</v>
      </c>
      <c r="AA33" s="38">
        <v>159</v>
      </c>
      <c r="AC33" s="458">
        <v>45387</v>
      </c>
      <c r="AD33" t="s">
        <v>941</v>
      </c>
      <c r="AE33" t="s">
        <v>996</v>
      </c>
      <c r="AF33">
        <v>115200000</v>
      </c>
      <c r="AG33" t="s">
        <v>54</v>
      </c>
      <c r="AH33" t="s">
        <v>29</v>
      </c>
      <c r="AI33">
        <v>34400000</v>
      </c>
      <c r="AK33" s="98">
        <v>2024</v>
      </c>
      <c r="AL33" s="98">
        <v>6</v>
      </c>
      <c r="AM33" s="98" t="s">
        <v>65</v>
      </c>
      <c r="AN33" s="98" t="s">
        <v>55</v>
      </c>
      <c r="AO33">
        <v>150000000</v>
      </c>
      <c r="AP33">
        <v>0</v>
      </c>
      <c r="AQ33">
        <v>0</v>
      </c>
      <c r="AS33" s="457">
        <v>45387</v>
      </c>
      <c r="AT33" s="98" t="s">
        <v>941</v>
      </c>
      <c r="AU33" s="98" t="s">
        <v>54</v>
      </c>
      <c r="AV33" s="98" t="s">
        <v>996</v>
      </c>
      <c r="AW33" s="98" t="s">
        <v>931</v>
      </c>
      <c r="AX33" s="98">
        <v>9</v>
      </c>
      <c r="AY33" s="98" t="s">
        <v>55</v>
      </c>
      <c r="AZ33" s="98">
        <v>0</v>
      </c>
      <c r="BA33" s="98">
        <v>115200000</v>
      </c>
      <c r="BB33" s="98" t="s">
        <v>29</v>
      </c>
      <c r="BC33" s="98" t="s">
        <v>52</v>
      </c>
      <c r="BD33" s="98" t="s">
        <v>55</v>
      </c>
      <c r="BE33" s="98" t="s">
        <v>998</v>
      </c>
      <c r="BF33">
        <v>34400000</v>
      </c>
      <c r="BI33" s="14">
        <v>44957</v>
      </c>
    </row>
    <row r="34" spans="8:61" x14ac:dyDescent="0.3">
      <c r="H34" s="459">
        <v>45387</v>
      </c>
      <c r="I34" s="38" t="s">
        <v>931</v>
      </c>
      <c r="J34" s="38"/>
      <c r="K34" s="38"/>
      <c r="L34" s="38"/>
      <c r="M34" s="38"/>
      <c r="N34" s="38"/>
      <c r="O34" s="38" t="s">
        <v>58</v>
      </c>
      <c r="P34" s="38">
        <v>116</v>
      </c>
      <c r="S34" s="462">
        <v>45327</v>
      </c>
      <c r="T34" s="38"/>
      <c r="U34" s="38"/>
      <c r="V34" s="38"/>
      <c r="W34" s="463" t="s">
        <v>58</v>
      </c>
      <c r="X34" s="463" t="s">
        <v>59</v>
      </c>
      <c r="Y34" s="463" t="s">
        <v>53</v>
      </c>
      <c r="Z34" s="38">
        <v>33900000</v>
      </c>
      <c r="AA34" s="38">
        <v>113</v>
      </c>
      <c r="AC34" s="458">
        <v>45387</v>
      </c>
      <c r="AD34" t="s">
        <v>941</v>
      </c>
      <c r="AE34" t="s">
        <v>996</v>
      </c>
      <c r="AF34"/>
      <c r="AG34" t="s">
        <v>54</v>
      </c>
      <c r="AH34" t="s">
        <v>58</v>
      </c>
      <c r="AI34">
        <v>34800000</v>
      </c>
      <c r="AK34" s="98">
        <v>2024</v>
      </c>
      <c r="AL34" s="98">
        <v>7</v>
      </c>
      <c r="AM34" s="98" t="s">
        <v>55</v>
      </c>
      <c r="AN34" s="98" t="s">
        <v>56</v>
      </c>
      <c r="AO34">
        <v>150000000</v>
      </c>
      <c r="AP34">
        <v>131700000</v>
      </c>
      <c r="AQ34">
        <v>0.878</v>
      </c>
      <c r="AS34" s="457">
        <v>45387</v>
      </c>
      <c r="AT34" s="98" t="s">
        <v>941</v>
      </c>
      <c r="AU34" s="98" t="s">
        <v>54</v>
      </c>
      <c r="AV34" s="98" t="s">
        <v>996</v>
      </c>
      <c r="AW34" s="98" t="s">
        <v>931</v>
      </c>
      <c r="AX34" s="98">
        <v>9</v>
      </c>
      <c r="AY34" s="98" t="s">
        <v>55</v>
      </c>
      <c r="AZ34"/>
      <c r="BA34"/>
      <c r="BB34" s="98" t="s">
        <v>58</v>
      </c>
      <c r="BC34" s="98" t="s">
        <v>59</v>
      </c>
      <c r="BD34" s="98" t="s">
        <v>55</v>
      </c>
      <c r="BE34" s="98" t="s">
        <v>998</v>
      </c>
      <c r="BF34">
        <v>34800000</v>
      </c>
    </row>
    <row r="35" spans="8:61" x14ac:dyDescent="0.3">
      <c r="H35" s="459">
        <v>45387</v>
      </c>
      <c r="I35" s="38" t="s">
        <v>931</v>
      </c>
      <c r="J35" s="38"/>
      <c r="K35" s="38"/>
      <c r="L35" s="38"/>
      <c r="M35" s="38"/>
      <c r="N35" s="38"/>
      <c r="O35" s="38" t="s">
        <v>62</v>
      </c>
      <c r="P35" s="38">
        <v>92</v>
      </c>
      <c r="S35" s="462">
        <v>45327</v>
      </c>
      <c r="T35" s="38"/>
      <c r="U35" s="38"/>
      <c r="V35" s="38"/>
      <c r="W35" s="463" t="s">
        <v>62</v>
      </c>
      <c r="X35" s="463" t="s">
        <v>63</v>
      </c>
      <c r="Y35" s="463" t="s">
        <v>53</v>
      </c>
      <c r="Z35" s="38">
        <v>48500000</v>
      </c>
      <c r="AA35" s="38">
        <v>97</v>
      </c>
      <c r="AC35" s="458">
        <v>45387</v>
      </c>
      <c r="AD35" t="s">
        <v>941</v>
      </c>
      <c r="AE35" t="s">
        <v>996</v>
      </c>
      <c r="AF35"/>
      <c r="AG35" t="s">
        <v>54</v>
      </c>
      <c r="AH35" t="s">
        <v>62</v>
      </c>
      <c r="AI35">
        <v>46000000</v>
      </c>
      <c r="AK35" s="98">
        <v>2024</v>
      </c>
      <c r="AL35" s="98">
        <v>7</v>
      </c>
      <c r="AM35" s="98" t="s">
        <v>55</v>
      </c>
      <c r="AN35" s="98" t="s">
        <v>60</v>
      </c>
      <c r="AO35">
        <v>150000000</v>
      </c>
      <c r="AP35">
        <v>0</v>
      </c>
      <c r="AQ35">
        <v>0</v>
      </c>
      <c r="AS35" s="457">
        <v>45387</v>
      </c>
      <c r="AT35" s="98" t="s">
        <v>941</v>
      </c>
      <c r="AU35" s="98" t="s">
        <v>54</v>
      </c>
      <c r="AV35" s="98" t="s">
        <v>996</v>
      </c>
      <c r="AW35" s="98" t="s">
        <v>931</v>
      </c>
      <c r="AX35" s="98">
        <v>9</v>
      </c>
      <c r="AY35" s="98" t="s">
        <v>55</v>
      </c>
      <c r="AZ35"/>
      <c r="BA35"/>
      <c r="BB35" s="98" t="s">
        <v>62</v>
      </c>
      <c r="BC35" s="98" t="s">
        <v>63</v>
      </c>
      <c r="BD35" s="98" t="s">
        <v>55</v>
      </c>
      <c r="BE35" s="98" t="s">
        <v>998</v>
      </c>
      <c r="BF35">
        <v>46000000</v>
      </c>
    </row>
    <row r="36" spans="8:61" x14ac:dyDescent="0.3">
      <c r="H36" s="459">
        <v>45397</v>
      </c>
      <c r="I36" s="38" t="s">
        <v>931</v>
      </c>
      <c r="J36" s="38" t="s">
        <v>996</v>
      </c>
      <c r="K36" s="38" t="s">
        <v>988</v>
      </c>
      <c r="L36" s="38" t="s">
        <v>959</v>
      </c>
      <c r="M36" s="38">
        <v>10</v>
      </c>
      <c r="N36" s="38">
        <v>118600000</v>
      </c>
      <c r="O36" s="38" t="s">
        <v>29</v>
      </c>
      <c r="P36" s="38">
        <v>169</v>
      </c>
      <c r="S36" s="462">
        <v>45337</v>
      </c>
      <c r="T36" s="463" t="s">
        <v>995</v>
      </c>
      <c r="U36" s="463" t="s">
        <v>953</v>
      </c>
      <c r="V36" s="463" t="s">
        <v>991</v>
      </c>
      <c r="W36" s="463" t="s">
        <v>29</v>
      </c>
      <c r="X36" s="463" t="s">
        <v>52</v>
      </c>
      <c r="Y36" s="463" t="s">
        <v>53</v>
      </c>
      <c r="Z36" s="38">
        <v>33000000</v>
      </c>
      <c r="AA36" s="38">
        <v>165</v>
      </c>
      <c r="AC36" s="458">
        <v>45397</v>
      </c>
      <c r="AD36" t="s">
        <v>939</v>
      </c>
      <c r="AE36" t="s">
        <v>996</v>
      </c>
      <c r="AF36">
        <v>118600000</v>
      </c>
      <c r="AG36" t="s">
        <v>54</v>
      </c>
      <c r="AH36" t="s">
        <v>29</v>
      </c>
      <c r="AI36">
        <v>33800000</v>
      </c>
      <c r="AK36" s="98">
        <v>2024</v>
      </c>
      <c r="AL36" s="98">
        <v>7</v>
      </c>
      <c r="AM36" s="98" t="s">
        <v>54</v>
      </c>
      <c r="AN36" s="98" t="s">
        <v>55</v>
      </c>
      <c r="AO36">
        <v>300000000</v>
      </c>
      <c r="AP36">
        <v>266000000</v>
      </c>
      <c r="AQ36">
        <v>0.88666666666666671</v>
      </c>
      <c r="AS36" s="457">
        <v>45397</v>
      </c>
      <c r="AT36" s="98" t="s">
        <v>939</v>
      </c>
      <c r="AU36" s="98" t="s">
        <v>54</v>
      </c>
      <c r="AV36" s="98" t="s">
        <v>996</v>
      </c>
      <c r="AW36" s="98" t="s">
        <v>931</v>
      </c>
      <c r="AX36" s="98">
        <v>10</v>
      </c>
      <c r="AY36" s="98" t="s">
        <v>55</v>
      </c>
      <c r="AZ36" s="98">
        <v>0</v>
      </c>
      <c r="BA36" s="98">
        <v>118600000</v>
      </c>
      <c r="BB36" s="98" t="s">
        <v>29</v>
      </c>
      <c r="BC36" s="98" t="s">
        <v>52</v>
      </c>
      <c r="BD36" s="98" t="s">
        <v>55</v>
      </c>
      <c r="BE36" s="98" t="s">
        <v>998</v>
      </c>
      <c r="BF36">
        <v>33800000</v>
      </c>
    </row>
    <row r="37" spans="8:61" x14ac:dyDescent="0.3">
      <c r="H37" s="459">
        <v>45397</v>
      </c>
      <c r="I37" s="38" t="s">
        <v>931</v>
      </c>
      <c r="J37" s="38"/>
      <c r="K37" s="38"/>
      <c r="L37" s="38"/>
      <c r="M37" s="38"/>
      <c r="N37" s="38"/>
      <c r="O37" s="38" t="s">
        <v>58</v>
      </c>
      <c r="P37" s="38">
        <v>121</v>
      </c>
      <c r="S37" s="462">
        <v>45337</v>
      </c>
      <c r="T37" s="38"/>
      <c r="U37" s="38"/>
      <c r="V37" s="38"/>
      <c r="W37" s="463" t="s">
        <v>58</v>
      </c>
      <c r="X37" s="463" t="s">
        <v>59</v>
      </c>
      <c r="Y37" s="463" t="s">
        <v>53</v>
      </c>
      <c r="Z37" s="38">
        <v>34800000</v>
      </c>
      <c r="AA37" s="38">
        <v>116</v>
      </c>
      <c r="AC37" s="458">
        <v>45397</v>
      </c>
      <c r="AD37" t="s">
        <v>939</v>
      </c>
      <c r="AE37" t="s">
        <v>996</v>
      </c>
      <c r="AF37"/>
      <c r="AG37" t="s">
        <v>54</v>
      </c>
      <c r="AH37" t="s">
        <v>58</v>
      </c>
      <c r="AI37">
        <v>36300000</v>
      </c>
      <c r="AK37" s="98">
        <v>2024</v>
      </c>
      <c r="AL37" s="98">
        <v>7</v>
      </c>
      <c r="AM37" s="98" t="s">
        <v>65</v>
      </c>
      <c r="AN37" s="98" t="s">
        <v>55</v>
      </c>
      <c r="AO37">
        <v>150000000</v>
      </c>
      <c r="AP37">
        <v>130900000</v>
      </c>
      <c r="AQ37">
        <v>0.8726666666666667</v>
      </c>
      <c r="AS37" s="457">
        <v>45397</v>
      </c>
      <c r="AT37" s="98" t="s">
        <v>939</v>
      </c>
      <c r="AU37" s="98" t="s">
        <v>54</v>
      </c>
      <c r="AV37" s="98" t="s">
        <v>996</v>
      </c>
      <c r="AW37" s="98" t="s">
        <v>931</v>
      </c>
      <c r="AX37" s="98">
        <v>10</v>
      </c>
      <c r="AY37" s="98" t="s">
        <v>55</v>
      </c>
      <c r="AZ37"/>
      <c r="BA37"/>
      <c r="BB37" s="98" t="s">
        <v>58</v>
      </c>
      <c r="BC37" s="98" t="s">
        <v>59</v>
      </c>
      <c r="BD37" s="98" t="s">
        <v>55</v>
      </c>
      <c r="BE37" s="98" t="s">
        <v>998</v>
      </c>
      <c r="BF37">
        <v>36300000</v>
      </c>
    </row>
    <row r="38" spans="8:61" x14ac:dyDescent="0.3">
      <c r="H38" s="459">
        <v>45397</v>
      </c>
      <c r="I38" s="38" t="s">
        <v>931</v>
      </c>
      <c r="J38" s="38"/>
      <c r="K38" s="38"/>
      <c r="L38" s="38"/>
      <c r="M38" s="38"/>
      <c r="N38" s="38"/>
      <c r="O38" s="38" t="s">
        <v>62</v>
      </c>
      <c r="P38" s="38">
        <v>97</v>
      </c>
      <c r="S38" s="462">
        <v>45337</v>
      </c>
      <c r="T38" s="38"/>
      <c r="U38" s="38"/>
      <c r="V38" s="38"/>
      <c r="W38" s="463" t="s">
        <v>62</v>
      </c>
      <c r="X38" s="463" t="s">
        <v>63</v>
      </c>
      <c r="Y38" s="463" t="s">
        <v>53</v>
      </c>
      <c r="Z38" s="38">
        <v>48000000</v>
      </c>
      <c r="AA38" s="38">
        <v>96</v>
      </c>
      <c r="AC38" s="458">
        <v>45397</v>
      </c>
      <c r="AD38" t="s">
        <v>939</v>
      </c>
      <c r="AE38" t="s">
        <v>996</v>
      </c>
      <c r="AF38"/>
      <c r="AG38" t="s">
        <v>54</v>
      </c>
      <c r="AH38" t="s">
        <v>62</v>
      </c>
      <c r="AI38">
        <v>48500000</v>
      </c>
      <c r="AK38" s="98">
        <v>2024</v>
      </c>
      <c r="AL38" s="98">
        <v>8</v>
      </c>
      <c r="AM38" s="98" t="s">
        <v>55</v>
      </c>
      <c r="AN38" s="98" t="s">
        <v>56</v>
      </c>
      <c r="AO38">
        <v>150000000</v>
      </c>
      <c r="AP38">
        <v>0</v>
      </c>
      <c r="AQ38">
        <v>0</v>
      </c>
      <c r="AS38" s="457">
        <v>45397</v>
      </c>
      <c r="AT38" s="98" t="s">
        <v>939</v>
      </c>
      <c r="AU38" s="98" t="s">
        <v>54</v>
      </c>
      <c r="AV38" s="98" t="s">
        <v>996</v>
      </c>
      <c r="AW38" s="98" t="s">
        <v>931</v>
      </c>
      <c r="AX38" s="98">
        <v>10</v>
      </c>
      <c r="AY38" s="98" t="s">
        <v>55</v>
      </c>
      <c r="AZ38"/>
      <c r="BA38"/>
      <c r="BB38" s="98" t="s">
        <v>62</v>
      </c>
      <c r="BC38" s="98" t="s">
        <v>63</v>
      </c>
      <c r="BD38" s="98" t="s">
        <v>55</v>
      </c>
      <c r="BE38" s="98" t="s">
        <v>998</v>
      </c>
      <c r="BF38">
        <v>48500000</v>
      </c>
    </row>
    <row r="39" spans="8:61" x14ac:dyDescent="0.3">
      <c r="H39" s="459">
        <v>45407</v>
      </c>
      <c r="I39" s="38" t="s">
        <v>932</v>
      </c>
      <c r="J39" s="38" t="s">
        <v>995</v>
      </c>
      <c r="K39" s="38" t="s">
        <v>989</v>
      </c>
      <c r="L39" s="38" t="s">
        <v>960</v>
      </c>
      <c r="M39" s="38">
        <v>6</v>
      </c>
      <c r="N39" s="38">
        <v>121300000</v>
      </c>
      <c r="O39" s="38" t="s">
        <v>29</v>
      </c>
      <c r="P39" s="38">
        <v>171</v>
      </c>
      <c r="S39" s="462">
        <v>45347</v>
      </c>
      <c r="T39" s="463" t="s">
        <v>996</v>
      </c>
      <c r="U39" s="463" t="s">
        <v>954</v>
      </c>
      <c r="V39" s="463" t="s">
        <v>992</v>
      </c>
      <c r="W39" s="463" t="s">
        <v>29</v>
      </c>
      <c r="X39" s="463" t="s">
        <v>52</v>
      </c>
      <c r="Y39" s="463" t="s">
        <v>53</v>
      </c>
      <c r="Z39" s="38">
        <v>32400000</v>
      </c>
      <c r="AA39" s="38">
        <v>162</v>
      </c>
      <c r="AC39" s="458">
        <v>45407</v>
      </c>
      <c r="AD39" t="s">
        <v>60</v>
      </c>
      <c r="AE39" t="s">
        <v>995</v>
      </c>
      <c r="AF39">
        <v>121300000</v>
      </c>
      <c r="AG39" t="s">
        <v>54</v>
      </c>
      <c r="AH39" t="s">
        <v>29</v>
      </c>
      <c r="AI39">
        <v>34200000</v>
      </c>
      <c r="AK39" s="98">
        <v>2024</v>
      </c>
      <c r="AL39" s="98">
        <v>8</v>
      </c>
      <c r="AM39" s="98" t="s">
        <v>55</v>
      </c>
      <c r="AN39" s="98" t="s">
        <v>60</v>
      </c>
      <c r="AO39">
        <v>150000000</v>
      </c>
      <c r="AP39">
        <v>0</v>
      </c>
      <c r="AQ39">
        <v>0</v>
      </c>
      <c r="AS39" s="457">
        <v>45407</v>
      </c>
      <c r="AT39" s="98" t="s">
        <v>60</v>
      </c>
      <c r="AU39" s="98" t="s">
        <v>54</v>
      </c>
      <c r="AV39" s="98" t="s">
        <v>995</v>
      </c>
      <c r="AW39" s="98" t="s">
        <v>932</v>
      </c>
      <c r="AX39" s="98">
        <v>6</v>
      </c>
      <c r="AY39" s="98" t="s">
        <v>55</v>
      </c>
      <c r="AZ39" s="98">
        <v>0</v>
      </c>
      <c r="BA39" s="98">
        <v>121300000</v>
      </c>
      <c r="BB39" s="98" t="s">
        <v>29</v>
      </c>
      <c r="BC39" s="98" t="s">
        <v>52</v>
      </c>
      <c r="BD39" s="98" t="s">
        <v>55</v>
      </c>
      <c r="BE39" s="98" t="s">
        <v>998</v>
      </c>
      <c r="BF39">
        <v>34200000</v>
      </c>
    </row>
    <row r="40" spans="8:61" x14ac:dyDescent="0.3">
      <c r="H40" s="459">
        <v>45407</v>
      </c>
      <c r="I40" s="38" t="s">
        <v>932</v>
      </c>
      <c r="J40" s="38"/>
      <c r="K40" s="38"/>
      <c r="L40" s="38"/>
      <c r="M40" s="38"/>
      <c r="N40" s="38"/>
      <c r="O40" s="38" t="s">
        <v>58</v>
      </c>
      <c r="P40" s="38">
        <v>127</v>
      </c>
      <c r="S40" s="462">
        <v>45347</v>
      </c>
      <c r="T40" s="38"/>
      <c r="U40" s="38"/>
      <c r="V40" s="38"/>
      <c r="W40" s="463" t="s">
        <v>58</v>
      </c>
      <c r="X40" s="463" t="s">
        <v>59</v>
      </c>
      <c r="Y40" s="463" t="s">
        <v>53</v>
      </c>
      <c r="Z40" s="38">
        <v>34500000</v>
      </c>
      <c r="AA40" s="38">
        <v>115</v>
      </c>
      <c r="AC40" s="458">
        <v>45407</v>
      </c>
      <c r="AD40" t="s">
        <v>60</v>
      </c>
      <c r="AE40" t="s">
        <v>995</v>
      </c>
      <c r="AF40"/>
      <c r="AG40" t="s">
        <v>54</v>
      </c>
      <c r="AH40" t="s">
        <v>58</v>
      </c>
      <c r="AI40">
        <v>38100000</v>
      </c>
      <c r="AK40" s="98">
        <v>2024</v>
      </c>
      <c r="AL40" s="98">
        <v>8</v>
      </c>
      <c r="AM40" s="98" t="s">
        <v>54</v>
      </c>
      <c r="AN40" s="98" t="s">
        <v>55</v>
      </c>
      <c r="AO40">
        <v>300000000</v>
      </c>
      <c r="AP40">
        <v>280800000</v>
      </c>
      <c r="AQ40">
        <v>0.93600000000000005</v>
      </c>
      <c r="AS40" s="457">
        <v>45407</v>
      </c>
      <c r="AT40" s="98" t="s">
        <v>60</v>
      </c>
      <c r="AU40" s="98" t="s">
        <v>54</v>
      </c>
      <c r="AV40" s="98" t="s">
        <v>995</v>
      </c>
      <c r="AW40" s="98" t="s">
        <v>932</v>
      </c>
      <c r="AX40" s="98">
        <v>6</v>
      </c>
      <c r="AY40" s="98" t="s">
        <v>55</v>
      </c>
      <c r="AZ40"/>
      <c r="BA40"/>
      <c r="BB40" s="98" t="s">
        <v>58</v>
      </c>
      <c r="BC40" s="98" t="s">
        <v>59</v>
      </c>
      <c r="BD40" s="98" t="s">
        <v>55</v>
      </c>
      <c r="BE40" s="98" t="s">
        <v>998</v>
      </c>
      <c r="BF40">
        <v>38100000</v>
      </c>
    </row>
    <row r="41" spans="8:61" x14ac:dyDescent="0.3">
      <c r="H41" s="459">
        <v>45407</v>
      </c>
      <c r="I41" s="38" t="s">
        <v>932</v>
      </c>
      <c r="J41" s="38"/>
      <c r="K41" s="38"/>
      <c r="L41" s="38"/>
      <c r="M41" s="38"/>
      <c r="N41" s="38"/>
      <c r="O41" s="38" t="s">
        <v>62</v>
      </c>
      <c r="P41" s="38">
        <v>98</v>
      </c>
      <c r="S41" s="462">
        <v>45347</v>
      </c>
      <c r="T41" s="38"/>
      <c r="U41" s="38"/>
      <c r="V41" s="38"/>
      <c r="W41" s="463" t="s">
        <v>62</v>
      </c>
      <c r="X41" s="463" t="s">
        <v>63</v>
      </c>
      <c r="Y41" s="463" t="s">
        <v>53</v>
      </c>
      <c r="Z41" s="38">
        <v>47000000</v>
      </c>
      <c r="AA41" s="38">
        <v>94</v>
      </c>
      <c r="AC41" s="458">
        <v>45407</v>
      </c>
      <c r="AD41" t="s">
        <v>60</v>
      </c>
      <c r="AE41" t="s">
        <v>995</v>
      </c>
      <c r="AF41"/>
      <c r="AG41" t="s">
        <v>54</v>
      </c>
      <c r="AH41" t="s">
        <v>62</v>
      </c>
      <c r="AI41">
        <v>49000000</v>
      </c>
      <c r="AK41" s="98">
        <v>2024</v>
      </c>
      <c r="AL41" s="98">
        <v>8</v>
      </c>
      <c r="AM41" s="98" t="s">
        <v>65</v>
      </c>
      <c r="AN41" s="98" t="s">
        <v>55</v>
      </c>
      <c r="AO41">
        <v>150000000</v>
      </c>
      <c r="AP41">
        <v>140200000</v>
      </c>
      <c r="AQ41">
        <v>0.93466666666666665</v>
      </c>
      <c r="AS41" s="457">
        <v>45407</v>
      </c>
      <c r="AT41" s="98" t="s">
        <v>60</v>
      </c>
      <c r="AU41" s="98" t="s">
        <v>54</v>
      </c>
      <c r="AV41" s="98" t="s">
        <v>995</v>
      </c>
      <c r="AW41" s="98" t="s">
        <v>932</v>
      </c>
      <c r="AX41" s="98">
        <v>6</v>
      </c>
      <c r="AY41" s="98" t="s">
        <v>55</v>
      </c>
      <c r="AZ41"/>
      <c r="BA41"/>
      <c r="BB41" s="98" t="s">
        <v>62</v>
      </c>
      <c r="BC41" s="98" t="s">
        <v>63</v>
      </c>
      <c r="BD41" s="98" t="s">
        <v>55</v>
      </c>
      <c r="BE41" s="98" t="s">
        <v>998</v>
      </c>
      <c r="BF41">
        <v>49000000</v>
      </c>
    </row>
    <row r="42" spans="8:61" x14ac:dyDescent="0.3">
      <c r="H42" s="459">
        <v>45417</v>
      </c>
      <c r="I42" s="38" t="s">
        <v>930</v>
      </c>
      <c r="J42" s="38" t="s">
        <v>996</v>
      </c>
      <c r="K42" s="38" t="s">
        <v>987</v>
      </c>
      <c r="L42" s="38" t="s">
        <v>961</v>
      </c>
      <c r="M42" s="38">
        <v>14</v>
      </c>
      <c r="N42" s="38">
        <v>122900000</v>
      </c>
      <c r="O42" s="38" t="s">
        <v>29</v>
      </c>
      <c r="P42" s="38">
        <v>174</v>
      </c>
      <c r="S42" s="462">
        <v>45356</v>
      </c>
      <c r="T42" s="463" t="s">
        <v>996</v>
      </c>
      <c r="U42" s="463" t="s">
        <v>955</v>
      </c>
      <c r="V42" s="463" t="s">
        <v>987</v>
      </c>
      <c r="W42" s="463" t="s">
        <v>29</v>
      </c>
      <c r="X42" s="463" t="s">
        <v>52</v>
      </c>
      <c r="Y42" s="463" t="s">
        <v>53</v>
      </c>
      <c r="Z42" s="38">
        <v>32800000</v>
      </c>
      <c r="AA42" s="38">
        <v>164</v>
      </c>
      <c r="AC42" s="458">
        <v>45417</v>
      </c>
      <c r="AD42" t="s">
        <v>60</v>
      </c>
      <c r="AE42" t="s">
        <v>996</v>
      </c>
      <c r="AF42">
        <v>122900000</v>
      </c>
      <c r="AG42" t="s">
        <v>65</v>
      </c>
      <c r="AH42" t="s">
        <v>29</v>
      </c>
      <c r="AI42">
        <v>34800000</v>
      </c>
      <c r="AK42" s="98">
        <v>2024</v>
      </c>
      <c r="AL42" s="98">
        <v>9</v>
      </c>
      <c r="AM42" s="98" t="s">
        <v>55</v>
      </c>
      <c r="AN42" s="98" t="s">
        <v>56</v>
      </c>
      <c r="AO42">
        <v>150000000</v>
      </c>
      <c r="AP42">
        <v>0</v>
      </c>
      <c r="AQ42">
        <v>0</v>
      </c>
      <c r="AS42" s="457">
        <v>45417</v>
      </c>
      <c r="AT42" s="98" t="s">
        <v>60</v>
      </c>
      <c r="AU42" s="98" t="s">
        <v>65</v>
      </c>
      <c r="AV42" s="98" t="s">
        <v>996</v>
      </c>
      <c r="AW42" s="98" t="s">
        <v>930</v>
      </c>
      <c r="AX42" s="98">
        <v>14</v>
      </c>
      <c r="AY42" s="98" t="s">
        <v>55</v>
      </c>
      <c r="AZ42" s="98">
        <v>0</v>
      </c>
      <c r="BA42" s="98">
        <v>122900000</v>
      </c>
      <c r="BB42" s="98" t="s">
        <v>29</v>
      </c>
      <c r="BC42" s="98" t="s">
        <v>52</v>
      </c>
      <c r="BD42" s="98" t="s">
        <v>55</v>
      </c>
      <c r="BE42" s="98" t="s">
        <v>998</v>
      </c>
      <c r="BF42">
        <v>34800000</v>
      </c>
    </row>
    <row r="43" spans="8:61" x14ac:dyDescent="0.3">
      <c r="H43" s="459">
        <v>45417</v>
      </c>
      <c r="I43" s="38" t="s">
        <v>930</v>
      </c>
      <c r="J43" s="38"/>
      <c r="K43" s="38"/>
      <c r="L43" s="38"/>
      <c r="M43" s="38"/>
      <c r="N43" s="38"/>
      <c r="O43" s="38" t="s">
        <v>58</v>
      </c>
      <c r="P43" s="38">
        <v>132</v>
      </c>
      <c r="S43" s="462">
        <v>45356</v>
      </c>
      <c r="T43" s="38"/>
      <c r="U43" s="38"/>
      <c r="V43" s="38"/>
      <c r="W43" s="463" t="s">
        <v>58</v>
      </c>
      <c r="X43" s="463" t="s">
        <v>59</v>
      </c>
      <c r="Y43" s="463" t="s">
        <v>53</v>
      </c>
      <c r="Z43" s="38">
        <v>34200000</v>
      </c>
      <c r="AA43" s="38">
        <v>114</v>
      </c>
      <c r="AC43" s="458">
        <v>45417</v>
      </c>
      <c r="AD43" t="s">
        <v>60</v>
      </c>
      <c r="AE43" t="s">
        <v>996</v>
      </c>
      <c r="AF43"/>
      <c r="AG43" t="s">
        <v>65</v>
      </c>
      <c r="AH43" t="s">
        <v>58</v>
      </c>
      <c r="AI43">
        <v>39600000</v>
      </c>
      <c r="AK43" s="98">
        <v>2024</v>
      </c>
      <c r="AL43" s="98">
        <v>9</v>
      </c>
      <c r="AM43" s="98" t="s">
        <v>55</v>
      </c>
      <c r="AN43" s="98" t="s">
        <v>60</v>
      </c>
      <c r="AO43">
        <v>150000000</v>
      </c>
      <c r="AP43">
        <v>292800000</v>
      </c>
      <c r="AQ43">
        <v>1.952</v>
      </c>
      <c r="AS43" s="457">
        <v>45417</v>
      </c>
      <c r="AT43" s="98" t="s">
        <v>60</v>
      </c>
      <c r="AU43" s="98" t="s">
        <v>65</v>
      </c>
      <c r="AV43" s="98" t="s">
        <v>996</v>
      </c>
      <c r="AW43" s="98" t="s">
        <v>930</v>
      </c>
      <c r="AX43" s="98">
        <v>14</v>
      </c>
      <c r="AY43" s="98" t="s">
        <v>55</v>
      </c>
      <c r="AZ43"/>
      <c r="BA43"/>
      <c r="BB43" s="98" t="s">
        <v>58</v>
      </c>
      <c r="BC43" s="98" t="s">
        <v>59</v>
      </c>
      <c r="BD43" s="98" t="s">
        <v>55</v>
      </c>
      <c r="BE43" s="98" t="s">
        <v>998</v>
      </c>
      <c r="BF43">
        <v>39600000</v>
      </c>
    </row>
    <row r="44" spans="8:61" x14ac:dyDescent="0.3">
      <c r="H44" s="459">
        <v>45417</v>
      </c>
      <c r="I44" s="38" t="s">
        <v>930</v>
      </c>
      <c r="J44" s="38"/>
      <c r="K44" s="38"/>
      <c r="L44" s="38"/>
      <c r="M44" s="38"/>
      <c r="N44" s="38"/>
      <c r="O44" s="38" t="s">
        <v>62</v>
      </c>
      <c r="P44" s="38">
        <v>97</v>
      </c>
      <c r="S44" s="462">
        <v>45356</v>
      </c>
      <c r="T44" s="38"/>
      <c r="U44" s="38"/>
      <c r="V44" s="38"/>
      <c r="W44" s="463" t="s">
        <v>62</v>
      </c>
      <c r="X44" s="463" t="s">
        <v>63</v>
      </c>
      <c r="Y44" s="463" t="s">
        <v>53</v>
      </c>
      <c r="Z44" s="38">
        <v>46500000</v>
      </c>
      <c r="AA44" s="38">
        <v>93</v>
      </c>
      <c r="AC44" s="458">
        <v>45417</v>
      </c>
      <c r="AD44" t="s">
        <v>60</v>
      </c>
      <c r="AE44" t="s">
        <v>996</v>
      </c>
      <c r="AF44"/>
      <c r="AG44" t="s">
        <v>65</v>
      </c>
      <c r="AH44" t="s">
        <v>62</v>
      </c>
      <c r="AI44">
        <v>48500000</v>
      </c>
      <c r="AK44" s="98">
        <v>2024</v>
      </c>
      <c r="AL44" s="98">
        <v>9</v>
      </c>
      <c r="AM44" s="98" t="s">
        <v>54</v>
      </c>
      <c r="AN44" s="98" t="s">
        <v>55</v>
      </c>
      <c r="AO44">
        <v>300000000</v>
      </c>
      <c r="AP44">
        <v>296600000</v>
      </c>
      <c r="AQ44">
        <v>0.98866666666666669</v>
      </c>
      <c r="AS44" s="457">
        <v>45417</v>
      </c>
      <c r="AT44" s="98" t="s">
        <v>60</v>
      </c>
      <c r="AU44" s="98" t="s">
        <v>65</v>
      </c>
      <c r="AV44" s="98" t="s">
        <v>996</v>
      </c>
      <c r="AW44" s="98" t="s">
        <v>930</v>
      </c>
      <c r="AX44" s="98">
        <v>14</v>
      </c>
      <c r="AY44" s="98" t="s">
        <v>55</v>
      </c>
      <c r="AZ44"/>
      <c r="BA44"/>
      <c r="BB44" s="98" t="s">
        <v>62</v>
      </c>
      <c r="BC44" s="98" t="s">
        <v>63</v>
      </c>
      <c r="BD44" s="98" t="s">
        <v>55</v>
      </c>
      <c r="BE44" s="98" t="s">
        <v>998</v>
      </c>
      <c r="BF44">
        <v>48500000</v>
      </c>
    </row>
    <row r="45" spans="8:61" x14ac:dyDescent="0.3">
      <c r="H45" s="459">
        <v>45427</v>
      </c>
      <c r="I45" s="38" t="s">
        <v>929</v>
      </c>
      <c r="J45" s="38" t="s">
        <v>995</v>
      </c>
      <c r="K45" s="38" t="s">
        <v>986</v>
      </c>
      <c r="L45" s="38" t="s">
        <v>962</v>
      </c>
      <c r="M45" s="38">
        <v>12</v>
      </c>
      <c r="N45" s="38">
        <v>126600000</v>
      </c>
      <c r="O45" s="38" t="s">
        <v>29</v>
      </c>
      <c r="P45" s="38">
        <v>183</v>
      </c>
      <c r="S45" s="462">
        <v>45366</v>
      </c>
      <c r="T45" s="463" t="s">
        <v>995</v>
      </c>
      <c r="U45" s="463" t="s">
        <v>956</v>
      </c>
      <c r="V45" s="463" t="s">
        <v>986</v>
      </c>
      <c r="W45" s="463" t="s">
        <v>29</v>
      </c>
      <c r="X45" s="463" t="s">
        <v>52</v>
      </c>
      <c r="Y45" s="463" t="s">
        <v>53</v>
      </c>
      <c r="Z45" s="38">
        <v>32200000</v>
      </c>
      <c r="AA45" s="38">
        <v>161</v>
      </c>
      <c r="AC45" s="458">
        <v>45427</v>
      </c>
      <c r="AD45" t="s">
        <v>939</v>
      </c>
      <c r="AE45" t="s">
        <v>995</v>
      </c>
      <c r="AF45">
        <v>126600000</v>
      </c>
      <c r="AG45" t="s">
        <v>54</v>
      </c>
      <c r="AH45" t="s">
        <v>29</v>
      </c>
      <c r="AI45">
        <v>36600000</v>
      </c>
      <c r="AK45" s="98">
        <v>2024</v>
      </c>
      <c r="AL45" s="98">
        <v>9</v>
      </c>
      <c r="AM45" s="98" t="s">
        <v>65</v>
      </c>
      <c r="AN45" s="98" t="s">
        <v>55</v>
      </c>
      <c r="AO45">
        <v>150000000</v>
      </c>
      <c r="AP45">
        <v>146100000</v>
      </c>
      <c r="AQ45">
        <v>0.97399999999999998</v>
      </c>
      <c r="AS45" s="457">
        <v>45427</v>
      </c>
      <c r="AT45" s="98" t="s">
        <v>939</v>
      </c>
      <c r="AU45" s="98" t="s">
        <v>54</v>
      </c>
      <c r="AV45" s="98" t="s">
        <v>995</v>
      </c>
      <c r="AW45" s="98" t="s">
        <v>929</v>
      </c>
      <c r="AX45" s="98">
        <v>12</v>
      </c>
      <c r="AY45" s="98" t="s">
        <v>55</v>
      </c>
      <c r="AZ45" s="98">
        <v>0</v>
      </c>
      <c r="BA45" s="98">
        <v>126600000</v>
      </c>
      <c r="BB45" s="98" t="s">
        <v>29</v>
      </c>
      <c r="BC45" s="98" t="s">
        <v>52</v>
      </c>
      <c r="BD45" s="98" t="s">
        <v>55</v>
      </c>
      <c r="BE45" s="98" t="s">
        <v>998</v>
      </c>
      <c r="BF45">
        <v>36600000</v>
      </c>
    </row>
    <row r="46" spans="8:61" x14ac:dyDescent="0.3">
      <c r="H46" s="459">
        <v>45427</v>
      </c>
      <c r="I46" s="38" t="s">
        <v>929</v>
      </c>
      <c r="J46" s="38"/>
      <c r="K46" s="38"/>
      <c r="L46" s="38"/>
      <c r="M46" s="38"/>
      <c r="N46" s="38"/>
      <c r="O46" s="38" t="s">
        <v>58</v>
      </c>
      <c r="P46" s="38">
        <v>135</v>
      </c>
      <c r="S46" s="462">
        <v>45366</v>
      </c>
      <c r="T46" s="38"/>
      <c r="U46" s="38"/>
      <c r="V46" s="38"/>
      <c r="W46" s="463" t="s">
        <v>58</v>
      </c>
      <c r="X46" s="463" t="s">
        <v>59</v>
      </c>
      <c r="Y46" s="463" t="s">
        <v>53</v>
      </c>
      <c r="Z46" s="38">
        <v>34500000</v>
      </c>
      <c r="AA46" s="38">
        <v>115</v>
      </c>
      <c r="AC46" s="458">
        <v>45427</v>
      </c>
      <c r="AD46" t="s">
        <v>939</v>
      </c>
      <c r="AE46" t="s">
        <v>995</v>
      </c>
      <c r="AF46"/>
      <c r="AG46" t="s">
        <v>54</v>
      </c>
      <c r="AH46" t="s">
        <v>58</v>
      </c>
      <c r="AI46">
        <v>40500000</v>
      </c>
      <c r="AK46" s="98">
        <v>2024</v>
      </c>
      <c r="AL46" s="98">
        <v>10</v>
      </c>
      <c r="AM46" s="98" t="s">
        <v>55</v>
      </c>
      <c r="AN46" s="98" t="s">
        <v>56</v>
      </c>
      <c r="AO46">
        <v>150000000</v>
      </c>
      <c r="AP46">
        <v>155100000</v>
      </c>
      <c r="AQ46">
        <v>1.034</v>
      </c>
      <c r="AS46" s="457">
        <v>45427</v>
      </c>
      <c r="AT46" s="98" t="s">
        <v>939</v>
      </c>
      <c r="AU46" s="98" t="s">
        <v>54</v>
      </c>
      <c r="AV46" s="98" t="s">
        <v>995</v>
      </c>
      <c r="AW46" s="98" t="s">
        <v>929</v>
      </c>
      <c r="AX46" s="98">
        <v>12</v>
      </c>
      <c r="AY46" s="98" t="s">
        <v>55</v>
      </c>
      <c r="AZ46"/>
      <c r="BA46"/>
      <c r="BB46" s="98" t="s">
        <v>58</v>
      </c>
      <c r="BC46" s="98" t="s">
        <v>59</v>
      </c>
      <c r="BD46" s="98" t="s">
        <v>55</v>
      </c>
      <c r="BE46" s="98" t="s">
        <v>998</v>
      </c>
      <c r="BF46">
        <v>40500000</v>
      </c>
    </row>
    <row r="47" spans="8:61" x14ac:dyDescent="0.3">
      <c r="H47" s="459">
        <v>45427</v>
      </c>
      <c r="I47" s="38" t="s">
        <v>929</v>
      </c>
      <c r="J47" s="38"/>
      <c r="K47" s="38"/>
      <c r="L47" s="38"/>
      <c r="M47" s="38"/>
      <c r="N47" s="38"/>
      <c r="O47" s="38" t="s">
        <v>62</v>
      </c>
      <c r="P47" s="38">
        <v>99</v>
      </c>
      <c r="S47" s="462">
        <v>45366</v>
      </c>
      <c r="T47" s="38"/>
      <c r="U47" s="38"/>
      <c r="V47" s="38"/>
      <c r="W47" s="463" t="s">
        <v>62</v>
      </c>
      <c r="X47" s="463" t="s">
        <v>63</v>
      </c>
      <c r="Y47" s="463" t="s">
        <v>53</v>
      </c>
      <c r="Z47" s="38">
        <v>46500000</v>
      </c>
      <c r="AA47" s="38">
        <v>93</v>
      </c>
      <c r="AC47" s="458">
        <v>45427</v>
      </c>
      <c r="AD47" t="s">
        <v>939</v>
      </c>
      <c r="AE47" t="s">
        <v>995</v>
      </c>
      <c r="AF47"/>
      <c r="AG47" t="s">
        <v>54</v>
      </c>
      <c r="AH47" t="s">
        <v>62</v>
      </c>
      <c r="AI47">
        <v>49500000</v>
      </c>
      <c r="AK47" s="98">
        <v>2024</v>
      </c>
      <c r="AL47" s="98">
        <v>10</v>
      </c>
      <c r="AM47" s="98" t="s">
        <v>55</v>
      </c>
      <c r="AN47" s="98" t="s">
        <v>60</v>
      </c>
      <c r="AO47">
        <v>150000000</v>
      </c>
      <c r="AP47">
        <v>159200000</v>
      </c>
      <c r="AQ47">
        <v>1.0613333333333332</v>
      </c>
      <c r="AS47" s="457">
        <v>45427</v>
      </c>
      <c r="AT47" s="98" t="s">
        <v>939</v>
      </c>
      <c r="AU47" s="98" t="s">
        <v>54</v>
      </c>
      <c r="AV47" s="98" t="s">
        <v>995</v>
      </c>
      <c r="AW47" s="98" t="s">
        <v>929</v>
      </c>
      <c r="AX47" s="98">
        <v>12</v>
      </c>
      <c r="AY47" s="98" t="s">
        <v>55</v>
      </c>
      <c r="AZ47"/>
      <c r="BA47"/>
      <c r="BB47" s="98" t="s">
        <v>62</v>
      </c>
      <c r="BC47" s="98" t="s">
        <v>63</v>
      </c>
      <c r="BD47" s="98" t="s">
        <v>55</v>
      </c>
      <c r="BE47" s="98" t="s">
        <v>998</v>
      </c>
      <c r="BF47">
        <v>49500000</v>
      </c>
    </row>
    <row r="48" spans="8:61" x14ac:dyDescent="0.3">
      <c r="H48" s="459">
        <v>45437</v>
      </c>
      <c r="I48" s="38" t="s">
        <v>934</v>
      </c>
      <c r="J48" s="38" t="s">
        <v>995</v>
      </c>
      <c r="K48" s="38" t="s">
        <v>991</v>
      </c>
      <c r="L48" s="38" t="s">
        <v>963</v>
      </c>
      <c r="M48" s="38">
        <v>3</v>
      </c>
      <c r="N48" s="38">
        <v>126900000</v>
      </c>
      <c r="O48" s="38" t="s">
        <v>29</v>
      </c>
      <c r="P48" s="38">
        <v>185</v>
      </c>
      <c r="S48" s="462">
        <v>45376</v>
      </c>
      <c r="T48" s="463" t="s">
        <v>996</v>
      </c>
      <c r="U48" s="463" t="s">
        <v>957</v>
      </c>
      <c r="V48" s="463" t="s">
        <v>990</v>
      </c>
      <c r="W48" s="463" t="s">
        <v>29</v>
      </c>
      <c r="X48" s="463" t="s">
        <v>52</v>
      </c>
      <c r="Y48" s="463" t="s">
        <v>53</v>
      </c>
      <c r="Z48" s="38">
        <v>32800000</v>
      </c>
      <c r="AA48" s="38">
        <v>164</v>
      </c>
      <c r="AC48" s="458">
        <v>45437</v>
      </c>
      <c r="AD48" t="s">
        <v>56</v>
      </c>
      <c r="AE48" t="s">
        <v>995</v>
      </c>
      <c r="AF48">
        <v>126900000</v>
      </c>
      <c r="AG48" t="s">
        <v>65</v>
      </c>
      <c r="AH48" t="s">
        <v>29</v>
      </c>
      <c r="AI48">
        <v>37000000</v>
      </c>
      <c r="AK48" s="98">
        <v>2024</v>
      </c>
      <c r="AL48" s="98">
        <v>10</v>
      </c>
      <c r="AM48" s="98" t="s">
        <v>54</v>
      </c>
      <c r="AN48" s="98" t="s">
        <v>55</v>
      </c>
      <c r="AO48">
        <v>300000000</v>
      </c>
      <c r="AP48">
        <v>314300000</v>
      </c>
      <c r="AQ48">
        <v>1.0476666666666667</v>
      </c>
      <c r="AS48" s="457">
        <v>45437</v>
      </c>
      <c r="AT48" s="98" t="s">
        <v>56</v>
      </c>
      <c r="AU48" s="98" t="s">
        <v>65</v>
      </c>
      <c r="AV48" s="98" t="s">
        <v>995</v>
      </c>
      <c r="AW48" s="98" t="s">
        <v>934</v>
      </c>
      <c r="AX48" s="98">
        <v>3</v>
      </c>
      <c r="AY48" s="98" t="s">
        <v>55</v>
      </c>
      <c r="AZ48" s="98">
        <v>0</v>
      </c>
      <c r="BA48" s="98">
        <v>126900000</v>
      </c>
      <c r="BB48" s="98" t="s">
        <v>29</v>
      </c>
      <c r="BC48" s="98" t="s">
        <v>52</v>
      </c>
      <c r="BD48" s="98" t="s">
        <v>55</v>
      </c>
      <c r="BE48" s="98" t="s">
        <v>998</v>
      </c>
      <c r="BF48">
        <v>37000000</v>
      </c>
    </row>
    <row r="49" spans="8:58" x14ac:dyDescent="0.3">
      <c r="H49" s="459">
        <v>45437</v>
      </c>
      <c r="I49" s="38" t="s">
        <v>934</v>
      </c>
      <c r="J49" s="38"/>
      <c r="K49" s="38"/>
      <c r="L49" s="38"/>
      <c r="M49" s="38"/>
      <c r="N49" s="38"/>
      <c r="O49" s="38" t="s">
        <v>58</v>
      </c>
      <c r="P49" s="38">
        <v>138</v>
      </c>
      <c r="S49" s="462">
        <v>45376</v>
      </c>
      <c r="T49" s="38"/>
      <c r="U49" s="38"/>
      <c r="V49" s="38"/>
      <c r="W49" s="463" t="s">
        <v>58</v>
      </c>
      <c r="X49" s="463" t="s">
        <v>59</v>
      </c>
      <c r="Y49" s="463" t="s">
        <v>53</v>
      </c>
      <c r="Z49" s="38">
        <v>33900000</v>
      </c>
      <c r="AA49" s="38">
        <v>113</v>
      </c>
      <c r="AC49" s="458">
        <v>45437</v>
      </c>
      <c r="AD49" t="s">
        <v>56</v>
      </c>
      <c r="AE49" t="s">
        <v>995</v>
      </c>
      <c r="AF49"/>
      <c r="AG49" t="s">
        <v>65</v>
      </c>
      <c r="AH49" t="s">
        <v>58</v>
      </c>
      <c r="AI49">
        <v>41400000</v>
      </c>
      <c r="AK49" s="98">
        <v>2024</v>
      </c>
      <c r="AL49" s="98">
        <v>10</v>
      </c>
      <c r="AM49" s="98" t="s">
        <v>65</v>
      </c>
      <c r="AN49" s="98" t="s">
        <v>55</v>
      </c>
      <c r="AO49">
        <v>150000000</v>
      </c>
      <c r="AP49">
        <v>155000000</v>
      </c>
      <c r="AQ49">
        <v>1.0333333333333334</v>
      </c>
      <c r="AS49" s="457">
        <v>45437</v>
      </c>
      <c r="AT49" s="98" t="s">
        <v>56</v>
      </c>
      <c r="AU49" s="98" t="s">
        <v>65</v>
      </c>
      <c r="AV49" s="98" t="s">
        <v>995</v>
      </c>
      <c r="AW49" s="98" t="s">
        <v>934</v>
      </c>
      <c r="AX49" s="98">
        <v>3</v>
      </c>
      <c r="AY49" s="98" t="s">
        <v>55</v>
      </c>
      <c r="AZ49"/>
      <c r="BA49"/>
      <c r="BB49" s="98" t="s">
        <v>58</v>
      </c>
      <c r="BC49" s="98" t="s">
        <v>59</v>
      </c>
      <c r="BD49" s="98" t="s">
        <v>55</v>
      </c>
      <c r="BE49" s="98" t="s">
        <v>998</v>
      </c>
      <c r="BF49">
        <v>41400000</v>
      </c>
    </row>
    <row r="50" spans="8:58" x14ac:dyDescent="0.3">
      <c r="H50" s="459">
        <v>45437</v>
      </c>
      <c r="I50" s="38" t="s">
        <v>934</v>
      </c>
      <c r="J50" s="38"/>
      <c r="K50" s="38"/>
      <c r="L50" s="38"/>
      <c r="M50" s="38"/>
      <c r="N50" s="38"/>
      <c r="O50" s="38" t="s">
        <v>62</v>
      </c>
      <c r="P50" s="38">
        <v>97</v>
      </c>
      <c r="S50" s="462">
        <v>45376</v>
      </c>
      <c r="T50" s="38"/>
      <c r="U50" s="38"/>
      <c r="V50" s="38"/>
      <c r="W50" s="463" t="s">
        <v>62</v>
      </c>
      <c r="X50" s="463" t="s">
        <v>63</v>
      </c>
      <c r="Y50" s="463" t="s">
        <v>53</v>
      </c>
      <c r="Z50" s="38">
        <v>45500000</v>
      </c>
      <c r="AA50" s="38">
        <v>91</v>
      </c>
      <c r="AC50" s="458">
        <v>45437</v>
      </c>
      <c r="AD50" t="s">
        <v>56</v>
      </c>
      <c r="AE50" t="s">
        <v>995</v>
      </c>
      <c r="AF50"/>
      <c r="AG50" t="s">
        <v>65</v>
      </c>
      <c r="AH50" t="s">
        <v>62</v>
      </c>
      <c r="AI50">
        <v>48500000</v>
      </c>
      <c r="AK50" s="98">
        <v>2024</v>
      </c>
      <c r="AL50" s="98">
        <v>11</v>
      </c>
      <c r="AM50" s="98" t="s">
        <v>55</v>
      </c>
      <c r="AN50" s="98" t="s">
        <v>56</v>
      </c>
      <c r="AO50">
        <v>150000000</v>
      </c>
      <c r="AP50">
        <v>0</v>
      </c>
      <c r="AQ50">
        <v>0</v>
      </c>
      <c r="AS50" s="457">
        <v>45437</v>
      </c>
      <c r="AT50" s="98" t="s">
        <v>56</v>
      </c>
      <c r="AU50" s="98" t="s">
        <v>65</v>
      </c>
      <c r="AV50" s="98" t="s">
        <v>995</v>
      </c>
      <c r="AW50" s="98" t="s">
        <v>934</v>
      </c>
      <c r="AX50" s="98">
        <v>3</v>
      </c>
      <c r="AY50" s="98" t="s">
        <v>55</v>
      </c>
      <c r="AZ50"/>
      <c r="BA50"/>
      <c r="BB50" s="98" t="s">
        <v>62</v>
      </c>
      <c r="BC50" s="98" t="s">
        <v>63</v>
      </c>
      <c r="BD50" s="98" t="s">
        <v>55</v>
      </c>
      <c r="BE50" s="98" t="s">
        <v>998</v>
      </c>
      <c r="BF50">
        <v>48500000</v>
      </c>
    </row>
    <row r="51" spans="8:58" x14ac:dyDescent="0.3">
      <c r="H51" s="459">
        <v>45448</v>
      </c>
      <c r="I51" s="38" t="s">
        <v>930</v>
      </c>
      <c r="J51" s="38" t="s">
        <v>996</v>
      </c>
      <c r="K51" s="38" t="s">
        <v>987</v>
      </c>
      <c r="L51" s="38" t="s">
        <v>964</v>
      </c>
      <c r="M51" s="38">
        <v>15</v>
      </c>
      <c r="N51" s="38">
        <v>127700000</v>
      </c>
      <c r="O51" s="38" t="s">
        <v>29</v>
      </c>
      <c r="P51" s="38">
        <v>189</v>
      </c>
      <c r="S51" s="462">
        <v>45387</v>
      </c>
      <c r="T51" s="463" t="s">
        <v>996</v>
      </c>
      <c r="U51" s="463" t="s">
        <v>958</v>
      </c>
      <c r="V51" s="463" t="s">
        <v>988</v>
      </c>
      <c r="W51" s="463" t="s">
        <v>29</v>
      </c>
      <c r="X51" s="463" t="s">
        <v>52</v>
      </c>
      <c r="Y51" s="463" t="s">
        <v>53</v>
      </c>
      <c r="Z51" s="38">
        <v>34400000</v>
      </c>
      <c r="AA51" s="38">
        <v>172</v>
      </c>
      <c r="AC51" s="458">
        <v>45448</v>
      </c>
      <c r="AD51" t="s">
        <v>940</v>
      </c>
      <c r="AE51" t="s">
        <v>996</v>
      </c>
      <c r="AF51">
        <v>127700000</v>
      </c>
      <c r="AG51" t="s">
        <v>54</v>
      </c>
      <c r="AH51" t="s">
        <v>29</v>
      </c>
      <c r="AI51">
        <v>37800000</v>
      </c>
      <c r="AK51" s="98">
        <v>2024</v>
      </c>
      <c r="AL51" s="98">
        <v>11</v>
      </c>
      <c r="AM51" s="98" t="s">
        <v>55</v>
      </c>
      <c r="AN51" s="98" t="s">
        <v>60</v>
      </c>
      <c r="AO51">
        <v>150000000</v>
      </c>
      <c r="AP51">
        <v>0</v>
      </c>
      <c r="AQ51">
        <v>0</v>
      </c>
      <c r="AS51" s="457">
        <v>45448</v>
      </c>
      <c r="AT51" s="98" t="s">
        <v>940</v>
      </c>
      <c r="AU51" s="98" t="s">
        <v>54</v>
      </c>
      <c r="AV51" s="98" t="s">
        <v>996</v>
      </c>
      <c r="AW51" s="98" t="s">
        <v>930</v>
      </c>
      <c r="AX51" s="98">
        <v>15</v>
      </c>
      <c r="AY51" s="98" t="s">
        <v>55</v>
      </c>
      <c r="AZ51" s="98">
        <v>0</v>
      </c>
      <c r="BA51" s="98">
        <v>127700000</v>
      </c>
      <c r="BB51" s="98" t="s">
        <v>29</v>
      </c>
      <c r="BC51" s="98" t="s">
        <v>52</v>
      </c>
      <c r="BD51" s="98" t="s">
        <v>55</v>
      </c>
      <c r="BE51" s="98" t="s">
        <v>998</v>
      </c>
      <c r="BF51">
        <v>37800000</v>
      </c>
    </row>
    <row r="52" spans="8:58" x14ac:dyDescent="0.3">
      <c r="H52" s="459">
        <v>45448</v>
      </c>
      <c r="I52" s="38" t="s">
        <v>930</v>
      </c>
      <c r="J52" s="38"/>
      <c r="K52" s="38"/>
      <c r="L52" s="38"/>
      <c r="M52" s="38"/>
      <c r="N52" s="38"/>
      <c r="O52" s="38" t="s">
        <v>58</v>
      </c>
      <c r="P52" s="38">
        <v>138</v>
      </c>
      <c r="S52" s="462">
        <v>45387</v>
      </c>
      <c r="T52" s="38"/>
      <c r="U52" s="38"/>
      <c r="V52" s="38"/>
      <c r="W52" s="463" t="s">
        <v>58</v>
      </c>
      <c r="X52" s="463" t="s">
        <v>59</v>
      </c>
      <c r="Y52" s="463" t="s">
        <v>53</v>
      </c>
      <c r="Z52" s="38">
        <v>34800000</v>
      </c>
      <c r="AA52" s="38">
        <v>116</v>
      </c>
      <c r="AC52" s="458">
        <v>45448</v>
      </c>
      <c r="AD52" t="s">
        <v>940</v>
      </c>
      <c r="AE52" t="s">
        <v>996</v>
      </c>
      <c r="AF52"/>
      <c r="AG52" t="s">
        <v>54</v>
      </c>
      <c r="AH52" t="s">
        <v>58</v>
      </c>
      <c r="AI52">
        <v>41400000</v>
      </c>
      <c r="AK52" s="98">
        <v>2024</v>
      </c>
      <c r="AL52" s="98">
        <v>11</v>
      </c>
      <c r="AM52" s="98" t="s">
        <v>54</v>
      </c>
      <c r="AN52" s="98" t="s">
        <v>55</v>
      </c>
      <c r="AO52">
        <v>300000000</v>
      </c>
      <c r="AP52">
        <v>324600000</v>
      </c>
      <c r="AQ52">
        <v>1.0820000000000001</v>
      </c>
      <c r="AS52" s="457">
        <v>45448</v>
      </c>
      <c r="AT52" s="98" t="s">
        <v>940</v>
      </c>
      <c r="AU52" s="98" t="s">
        <v>54</v>
      </c>
      <c r="AV52" s="98" t="s">
        <v>996</v>
      </c>
      <c r="AW52" s="98" t="s">
        <v>930</v>
      </c>
      <c r="AX52" s="98">
        <v>15</v>
      </c>
      <c r="AY52" s="98" t="s">
        <v>55</v>
      </c>
      <c r="AZ52"/>
      <c r="BA52"/>
      <c r="BB52" s="98" t="s">
        <v>58</v>
      </c>
      <c r="BC52" s="98" t="s">
        <v>59</v>
      </c>
      <c r="BD52" s="98" t="s">
        <v>55</v>
      </c>
      <c r="BE52" s="98" t="s">
        <v>998</v>
      </c>
      <c r="BF52">
        <v>41400000</v>
      </c>
    </row>
    <row r="53" spans="8:58" x14ac:dyDescent="0.3">
      <c r="H53" s="459">
        <v>45448</v>
      </c>
      <c r="I53" s="38" t="s">
        <v>930</v>
      </c>
      <c r="J53" s="38"/>
      <c r="K53" s="38"/>
      <c r="L53" s="38"/>
      <c r="M53" s="38"/>
      <c r="N53" s="38"/>
      <c r="O53" s="38" t="s">
        <v>62</v>
      </c>
      <c r="P53" s="38">
        <v>97</v>
      </c>
      <c r="S53" s="462">
        <v>45387</v>
      </c>
      <c r="T53" s="38"/>
      <c r="U53" s="38"/>
      <c r="V53" s="38"/>
      <c r="W53" s="463" t="s">
        <v>62</v>
      </c>
      <c r="X53" s="463" t="s">
        <v>63</v>
      </c>
      <c r="Y53" s="463" t="s">
        <v>53</v>
      </c>
      <c r="Z53" s="38">
        <v>46000000</v>
      </c>
      <c r="AA53" s="38">
        <v>92</v>
      </c>
      <c r="AC53" s="458">
        <v>45448</v>
      </c>
      <c r="AD53" t="s">
        <v>940</v>
      </c>
      <c r="AE53" t="s">
        <v>996</v>
      </c>
      <c r="AF53"/>
      <c r="AG53" t="s">
        <v>54</v>
      </c>
      <c r="AH53" t="s">
        <v>62</v>
      </c>
      <c r="AI53">
        <v>48500000</v>
      </c>
      <c r="AK53" s="98">
        <v>2024</v>
      </c>
      <c r="AL53" s="98">
        <v>11</v>
      </c>
      <c r="AM53" s="98" t="s">
        <v>65</v>
      </c>
      <c r="AN53" s="98" t="s">
        <v>55</v>
      </c>
      <c r="AO53">
        <v>150000000</v>
      </c>
      <c r="AP53">
        <v>167600000</v>
      </c>
      <c r="AQ53">
        <v>1.1173333333333333</v>
      </c>
      <c r="AS53" s="457">
        <v>45448</v>
      </c>
      <c r="AT53" s="98" t="s">
        <v>940</v>
      </c>
      <c r="AU53" s="98" t="s">
        <v>54</v>
      </c>
      <c r="AV53" s="98" t="s">
        <v>996</v>
      </c>
      <c r="AW53" s="98" t="s">
        <v>930</v>
      </c>
      <c r="AX53" s="98">
        <v>15</v>
      </c>
      <c r="AY53" s="98" t="s">
        <v>55</v>
      </c>
      <c r="AZ53"/>
      <c r="BA53"/>
      <c r="BB53" s="98" t="s">
        <v>62</v>
      </c>
      <c r="BC53" s="98" t="s">
        <v>63</v>
      </c>
      <c r="BD53" s="98" t="s">
        <v>55</v>
      </c>
      <c r="BE53" s="98" t="s">
        <v>998</v>
      </c>
      <c r="BF53">
        <v>48500000</v>
      </c>
    </row>
    <row r="54" spans="8:58" x14ac:dyDescent="0.3">
      <c r="H54" s="459">
        <v>45458</v>
      </c>
      <c r="I54" s="38" t="s">
        <v>932</v>
      </c>
      <c r="J54" s="38" t="s">
        <v>995</v>
      </c>
      <c r="K54" s="38" t="s">
        <v>989</v>
      </c>
      <c r="L54" s="38" t="s">
        <v>965</v>
      </c>
      <c r="M54" s="38">
        <v>7</v>
      </c>
      <c r="N54" s="38">
        <v>127500000</v>
      </c>
      <c r="O54" s="38" t="s">
        <v>29</v>
      </c>
      <c r="P54" s="38">
        <v>187</v>
      </c>
      <c r="S54" s="462">
        <v>45397</v>
      </c>
      <c r="T54" s="463" t="s">
        <v>996</v>
      </c>
      <c r="U54" s="463" t="s">
        <v>959</v>
      </c>
      <c r="V54" s="463" t="s">
        <v>988</v>
      </c>
      <c r="W54" s="463" t="s">
        <v>29</v>
      </c>
      <c r="X54" s="463" t="s">
        <v>52</v>
      </c>
      <c r="Y54" s="463" t="s">
        <v>53</v>
      </c>
      <c r="Z54" s="38">
        <v>33800000</v>
      </c>
      <c r="AA54" s="38">
        <v>169</v>
      </c>
      <c r="AC54" s="458">
        <v>45458</v>
      </c>
      <c r="AD54" t="s">
        <v>939</v>
      </c>
      <c r="AE54" t="s">
        <v>995</v>
      </c>
      <c r="AF54">
        <v>127500000</v>
      </c>
      <c r="AG54" t="s">
        <v>54</v>
      </c>
      <c r="AH54" t="s">
        <v>29</v>
      </c>
      <c r="AI54">
        <v>37400000</v>
      </c>
      <c r="AK54" s="98">
        <v>2024</v>
      </c>
      <c r="AL54" s="98">
        <v>12</v>
      </c>
      <c r="AM54" s="98" t="s">
        <v>55</v>
      </c>
      <c r="AN54" s="98" t="s">
        <v>56</v>
      </c>
      <c r="AO54">
        <v>150000000</v>
      </c>
      <c r="AP54">
        <v>162900000</v>
      </c>
      <c r="AQ54">
        <v>1.0860000000000001</v>
      </c>
      <c r="AS54" s="457">
        <v>45458</v>
      </c>
      <c r="AT54" s="98" t="s">
        <v>939</v>
      </c>
      <c r="AU54" s="98" t="s">
        <v>54</v>
      </c>
      <c r="AV54" s="98" t="s">
        <v>995</v>
      </c>
      <c r="AW54" s="98" t="s">
        <v>932</v>
      </c>
      <c r="AX54" s="98">
        <v>7</v>
      </c>
      <c r="AY54" s="98" t="s">
        <v>55</v>
      </c>
      <c r="AZ54" s="98">
        <v>0</v>
      </c>
      <c r="BA54" s="98">
        <v>127500000</v>
      </c>
      <c r="BB54" s="98" t="s">
        <v>29</v>
      </c>
      <c r="BC54" s="98" t="s">
        <v>52</v>
      </c>
      <c r="BD54" s="98" t="s">
        <v>55</v>
      </c>
      <c r="BE54" s="98" t="s">
        <v>998</v>
      </c>
      <c r="BF54">
        <v>37400000</v>
      </c>
    </row>
    <row r="55" spans="8:58" x14ac:dyDescent="0.3">
      <c r="H55" s="459">
        <v>45458</v>
      </c>
      <c r="I55" s="38" t="s">
        <v>932</v>
      </c>
      <c r="J55" s="38"/>
      <c r="K55" s="38"/>
      <c r="L55" s="38"/>
      <c r="M55" s="38"/>
      <c r="N55" s="38"/>
      <c r="O55" s="38" t="s">
        <v>58</v>
      </c>
      <c r="P55" s="38">
        <v>142</v>
      </c>
      <c r="S55" s="462">
        <v>45397</v>
      </c>
      <c r="T55" s="38"/>
      <c r="U55" s="38"/>
      <c r="V55" s="38"/>
      <c r="W55" s="463" t="s">
        <v>58</v>
      </c>
      <c r="X55" s="463" t="s">
        <v>59</v>
      </c>
      <c r="Y55" s="463" t="s">
        <v>53</v>
      </c>
      <c r="Z55" s="38">
        <v>36300000</v>
      </c>
      <c r="AA55" s="38">
        <v>121</v>
      </c>
      <c r="AC55" s="458">
        <v>45458</v>
      </c>
      <c r="AD55" t="s">
        <v>939</v>
      </c>
      <c r="AE55" t="s">
        <v>995</v>
      </c>
      <c r="AF55"/>
      <c r="AG55" t="s">
        <v>54</v>
      </c>
      <c r="AH55" t="s">
        <v>58</v>
      </c>
      <c r="AI55">
        <v>42600000</v>
      </c>
      <c r="AK55" s="98">
        <v>2024</v>
      </c>
      <c r="AL55" s="98">
        <v>12</v>
      </c>
      <c r="AM55" s="98" t="s">
        <v>55</v>
      </c>
      <c r="AN55" s="98" t="s">
        <v>60</v>
      </c>
      <c r="AO55">
        <v>150000000</v>
      </c>
      <c r="AP55">
        <v>0</v>
      </c>
      <c r="AQ55">
        <v>0</v>
      </c>
      <c r="AS55" s="457">
        <v>45458</v>
      </c>
      <c r="AT55" s="98" t="s">
        <v>939</v>
      </c>
      <c r="AU55" s="98" t="s">
        <v>54</v>
      </c>
      <c r="AV55" s="98" t="s">
        <v>995</v>
      </c>
      <c r="AW55" s="98" t="s">
        <v>932</v>
      </c>
      <c r="AX55" s="98">
        <v>7</v>
      </c>
      <c r="AY55" s="98" t="s">
        <v>55</v>
      </c>
      <c r="AZ55"/>
      <c r="BA55"/>
      <c r="BB55" s="98" t="s">
        <v>58</v>
      </c>
      <c r="BC55" s="98" t="s">
        <v>59</v>
      </c>
      <c r="BD55" s="98" t="s">
        <v>55</v>
      </c>
      <c r="BE55" s="98" t="s">
        <v>998</v>
      </c>
      <c r="BF55">
        <v>42600000</v>
      </c>
    </row>
    <row r="56" spans="8:58" x14ac:dyDescent="0.3">
      <c r="H56" s="459">
        <v>45458</v>
      </c>
      <c r="I56" s="38" t="s">
        <v>932</v>
      </c>
      <c r="J56" s="38"/>
      <c r="K56" s="38"/>
      <c r="L56" s="38"/>
      <c r="M56" s="38"/>
      <c r="N56" s="38"/>
      <c r="O56" s="38" t="s">
        <v>62</v>
      </c>
      <c r="P56" s="38">
        <v>95</v>
      </c>
      <c r="S56" s="462">
        <v>45397</v>
      </c>
      <c r="T56" s="38"/>
      <c r="U56" s="38"/>
      <c r="V56" s="38"/>
      <c r="W56" s="463" t="s">
        <v>62</v>
      </c>
      <c r="X56" s="463" t="s">
        <v>63</v>
      </c>
      <c r="Y56" s="463" t="s">
        <v>53</v>
      </c>
      <c r="Z56" s="38">
        <v>48500000</v>
      </c>
      <c r="AA56" s="38">
        <v>97</v>
      </c>
      <c r="AC56" s="458">
        <v>45458</v>
      </c>
      <c r="AD56" t="s">
        <v>939</v>
      </c>
      <c r="AE56" t="s">
        <v>995</v>
      </c>
      <c r="AF56"/>
      <c r="AG56" t="s">
        <v>54</v>
      </c>
      <c r="AH56" t="s">
        <v>62</v>
      </c>
      <c r="AI56">
        <v>47500000</v>
      </c>
      <c r="AK56" s="98">
        <v>2024</v>
      </c>
      <c r="AL56" s="98">
        <v>12</v>
      </c>
      <c r="AM56" s="98" t="s">
        <v>54</v>
      </c>
      <c r="AN56" s="98" t="s">
        <v>55</v>
      </c>
      <c r="AO56">
        <v>300000000</v>
      </c>
      <c r="AP56">
        <v>340900000</v>
      </c>
      <c r="AQ56">
        <v>1.1363333333333334</v>
      </c>
      <c r="AS56" s="457">
        <v>45458</v>
      </c>
      <c r="AT56" s="98" t="s">
        <v>939</v>
      </c>
      <c r="AU56" s="98" t="s">
        <v>54</v>
      </c>
      <c r="AV56" s="98" t="s">
        <v>995</v>
      </c>
      <c r="AW56" s="98" t="s">
        <v>932</v>
      </c>
      <c r="AX56" s="98">
        <v>7</v>
      </c>
      <c r="AY56" s="98" t="s">
        <v>55</v>
      </c>
      <c r="AZ56"/>
      <c r="BA56"/>
      <c r="BB56" s="98" t="s">
        <v>62</v>
      </c>
      <c r="BC56" s="98" t="s">
        <v>63</v>
      </c>
      <c r="BD56" s="98" t="s">
        <v>55</v>
      </c>
      <c r="BE56" s="98" t="s">
        <v>998</v>
      </c>
      <c r="BF56">
        <v>47500000</v>
      </c>
    </row>
    <row r="57" spans="8:58" x14ac:dyDescent="0.3">
      <c r="H57" s="459">
        <v>45468</v>
      </c>
      <c r="I57" s="38" t="s">
        <v>931</v>
      </c>
      <c r="J57" s="38" t="s">
        <v>996</v>
      </c>
      <c r="K57" s="38" t="s">
        <v>988</v>
      </c>
      <c r="L57" s="38" t="s">
        <v>966</v>
      </c>
      <c r="M57" s="38">
        <v>11</v>
      </c>
      <c r="N57" s="38">
        <v>129400000</v>
      </c>
      <c r="O57" s="38" t="s">
        <v>29</v>
      </c>
      <c r="P57" s="38">
        <v>196</v>
      </c>
      <c r="S57" s="462">
        <v>45407</v>
      </c>
      <c r="T57" s="463" t="s">
        <v>995</v>
      </c>
      <c r="U57" s="463" t="s">
        <v>960</v>
      </c>
      <c r="V57" s="463" t="s">
        <v>989</v>
      </c>
      <c r="W57" s="463" t="s">
        <v>29</v>
      </c>
      <c r="X57" s="463" t="s">
        <v>52</v>
      </c>
      <c r="Y57" s="463" t="s">
        <v>53</v>
      </c>
      <c r="Z57" s="38">
        <v>34200000</v>
      </c>
      <c r="AA57" s="38">
        <v>171</v>
      </c>
      <c r="AC57" s="458">
        <v>45468</v>
      </c>
      <c r="AD57" t="s">
        <v>939</v>
      </c>
      <c r="AE57" t="s">
        <v>996</v>
      </c>
      <c r="AF57">
        <v>129400000</v>
      </c>
      <c r="AG57" t="s">
        <v>54</v>
      </c>
      <c r="AH57" t="s">
        <v>29</v>
      </c>
      <c r="AI57">
        <v>39200000</v>
      </c>
      <c r="AK57" s="98">
        <v>2024</v>
      </c>
      <c r="AL57" s="98">
        <v>12</v>
      </c>
      <c r="AM57" s="98" t="s">
        <v>65</v>
      </c>
      <c r="AN57" s="98" t="s">
        <v>55</v>
      </c>
      <c r="AO57">
        <v>150000000</v>
      </c>
      <c r="AP57">
        <v>169900000</v>
      </c>
      <c r="AQ57">
        <v>1.1326666666666667</v>
      </c>
      <c r="AS57" s="457">
        <v>45468</v>
      </c>
      <c r="AT57" s="98" t="s">
        <v>939</v>
      </c>
      <c r="AU57" s="98" t="s">
        <v>54</v>
      </c>
      <c r="AV57" s="98" t="s">
        <v>996</v>
      </c>
      <c r="AW57" s="98" t="s">
        <v>931</v>
      </c>
      <c r="AX57" s="98">
        <v>11</v>
      </c>
      <c r="AY57" s="98" t="s">
        <v>55</v>
      </c>
      <c r="AZ57" s="98">
        <v>0</v>
      </c>
      <c r="BA57" s="98">
        <v>129400000</v>
      </c>
      <c r="BB57" s="98" t="s">
        <v>29</v>
      </c>
      <c r="BC57" s="98" t="s">
        <v>52</v>
      </c>
      <c r="BD57" s="98" t="s">
        <v>55</v>
      </c>
      <c r="BE57" s="98" t="s">
        <v>998</v>
      </c>
      <c r="BF57">
        <v>39200000</v>
      </c>
    </row>
    <row r="58" spans="8:58" x14ac:dyDescent="0.3">
      <c r="H58" s="459">
        <v>45468</v>
      </c>
      <c r="I58" s="38" t="s">
        <v>931</v>
      </c>
      <c r="J58" s="38"/>
      <c r="K58" s="38"/>
      <c r="L58" s="38"/>
      <c r="M58" s="38"/>
      <c r="N58" s="38"/>
      <c r="O58" s="38" t="s">
        <v>58</v>
      </c>
      <c r="P58" s="38">
        <v>139</v>
      </c>
      <c r="S58" s="462">
        <v>45407</v>
      </c>
      <c r="T58" s="38"/>
      <c r="U58" s="38"/>
      <c r="V58" s="38"/>
      <c r="W58" s="463" t="s">
        <v>58</v>
      </c>
      <c r="X58" s="463" t="s">
        <v>59</v>
      </c>
      <c r="Y58" s="463" t="s">
        <v>53</v>
      </c>
      <c r="Z58" s="38">
        <v>38100000</v>
      </c>
      <c r="AA58" s="38">
        <v>127</v>
      </c>
      <c r="AC58" s="458">
        <v>45468</v>
      </c>
      <c r="AD58" t="s">
        <v>939</v>
      </c>
      <c r="AE58" t="s">
        <v>996</v>
      </c>
      <c r="AF58"/>
      <c r="AG58" t="s">
        <v>54</v>
      </c>
      <c r="AH58" t="s">
        <v>58</v>
      </c>
      <c r="AI58">
        <v>41700000</v>
      </c>
      <c r="AS58" s="457">
        <v>45468</v>
      </c>
      <c r="AT58" s="98" t="s">
        <v>939</v>
      </c>
      <c r="AU58" s="98" t="s">
        <v>54</v>
      </c>
      <c r="AV58" s="98" t="s">
        <v>996</v>
      </c>
      <c r="AW58" s="98" t="s">
        <v>931</v>
      </c>
      <c r="AX58" s="98">
        <v>11</v>
      </c>
      <c r="AY58" s="98" t="s">
        <v>55</v>
      </c>
      <c r="AZ58"/>
      <c r="BA58"/>
      <c r="BB58" s="98" t="s">
        <v>58</v>
      </c>
      <c r="BC58" s="98" t="s">
        <v>59</v>
      </c>
      <c r="BD58" s="98" t="s">
        <v>55</v>
      </c>
      <c r="BE58" s="98" t="s">
        <v>998</v>
      </c>
      <c r="BF58">
        <v>41700000</v>
      </c>
    </row>
    <row r="59" spans="8:58" x14ac:dyDescent="0.3">
      <c r="H59" s="459">
        <v>45468</v>
      </c>
      <c r="I59" s="38" t="s">
        <v>931</v>
      </c>
      <c r="J59" s="38"/>
      <c r="K59" s="38"/>
      <c r="L59" s="38"/>
      <c r="M59" s="38"/>
      <c r="N59" s="38"/>
      <c r="O59" s="38" t="s">
        <v>62</v>
      </c>
      <c r="P59" s="38">
        <v>97</v>
      </c>
      <c r="S59" s="462">
        <v>45407</v>
      </c>
      <c r="T59" s="38"/>
      <c r="U59" s="38"/>
      <c r="V59" s="38"/>
      <c r="W59" s="463" t="s">
        <v>62</v>
      </c>
      <c r="X59" s="463" t="s">
        <v>63</v>
      </c>
      <c r="Y59" s="463" t="s">
        <v>53</v>
      </c>
      <c r="Z59" s="38">
        <v>49000000</v>
      </c>
      <c r="AA59" s="38">
        <v>98</v>
      </c>
      <c r="AC59" s="458">
        <v>45468</v>
      </c>
      <c r="AD59" t="s">
        <v>939</v>
      </c>
      <c r="AE59" t="s">
        <v>996</v>
      </c>
      <c r="AF59"/>
      <c r="AG59" t="s">
        <v>54</v>
      </c>
      <c r="AH59" t="s">
        <v>62</v>
      </c>
      <c r="AI59">
        <v>48500000</v>
      </c>
      <c r="AS59" s="457">
        <v>45468</v>
      </c>
      <c r="AT59" s="98" t="s">
        <v>939</v>
      </c>
      <c r="AU59" s="98" t="s">
        <v>54</v>
      </c>
      <c r="AV59" s="98" t="s">
        <v>996</v>
      </c>
      <c r="AW59" s="98" t="s">
        <v>931</v>
      </c>
      <c r="AX59" s="98">
        <v>11</v>
      </c>
      <c r="AY59" s="98" t="s">
        <v>55</v>
      </c>
      <c r="AZ59"/>
      <c r="BA59"/>
      <c r="BB59" s="98" t="s">
        <v>62</v>
      </c>
      <c r="BC59" s="98" t="s">
        <v>63</v>
      </c>
      <c r="BD59" s="98" t="s">
        <v>55</v>
      </c>
      <c r="BE59" s="98" t="s">
        <v>998</v>
      </c>
      <c r="BF59">
        <v>48500000</v>
      </c>
    </row>
    <row r="60" spans="8:58" x14ac:dyDescent="0.3">
      <c r="H60" s="459">
        <v>45478</v>
      </c>
      <c r="I60" s="38" t="s">
        <v>930</v>
      </c>
      <c r="J60" s="38" t="s">
        <v>996</v>
      </c>
      <c r="K60" s="38" t="s">
        <v>987</v>
      </c>
      <c r="L60" s="38" t="s">
        <v>967</v>
      </c>
      <c r="M60" s="38">
        <v>16</v>
      </c>
      <c r="N60" s="38">
        <v>130900000</v>
      </c>
      <c r="O60" s="38" t="s">
        <v>29</v>
      </c>
      <c r="P60" s="38">
        <v>198</v>
      </c>
      <c r="S60"/>
      <c r="T60"/>
      <c r="U60"/>
      <c r="V60"/>
      <c r="W60"/>
      <c r="X60"/>
      <c r="Y60"/>
      <c r="Z60"/>
      <c r="AA60"/>
      <c r="AC60" s="458">
        <v>45478</v>
      </c>
      <c r="AD60" t="s">
        <v>942</v>
      </c>
      <c r="AE60" t="s">
        <v>996</v>
      </c>
      <c r="AF60">
        <v>130900000</v>
      </c>
      <c r="AG60" t="s">
        <v>65</v>
      </c>
      <c r="AH60" t="s">
        <v>29</v>
      </c>
      <c r="AI60">
        <v>39600000</v>
      </c>
      <c r="AS60" s="457">
        <v>45478</v>
      </c>
      <c r="AT60" s="98" t="s">
        <v>942</v>
      </c>
      <c r="AU60" s="98" t="s">
        <v>65</v>
      </c>
      <c r="AV60" s="98" t="s">
        <v>996</v>
      </c>
      <c r="AW60" s="98" t="s">
        <v>930</v>
      </c>
      <c r="AX60" s="98">
        <v>16</v>
      </c>
      <c r="AY60" s="98" t="s">
        <v>55</v>
      </c>
      <c r="AZ60" s="98">
        <v>0</v>
      </c>
      <c r="BA60" s="98">
        <v>130900000</v>
      </c>
      <c r="BB60" s="98" t="s">
        <v>29</v>
      </c>
      <c r="BC60" s="98" t="s">
        <v>52</v>
      </c>
      <c r="BD60" s="98" t="s">
        <v>55</v>
      </c>
      <c r="BE60" s="98" t="s">
        <v>998</v>
      </c>
      <c r="BF60">
        <v>39600000</v>
      </c>
    </row>
    <row r="61" spans="8:58" x14ac:dyDescent="0.3">
      <c r="H61" s="459">
        <v>45478</v>
      </c>
      <c r="I61" s="38" t="s">
        <v>930</v>
      </c>
      <c r="J61" s="38"/>
      <c r="K61" s="38"/>
      <c r="L61" s="38"/>
      <c r="M61" s="38"/>
      <c r="N61" s="38"/>
      <c r="O61" s="38" t="s">
        <v>58</v>
      </c>
      <c r="P61" s="38">
        <v>136</v>
      </c>
      <c r="S61"/>
      <c r="T61"/>
      <c r="U61"/>
      <c r="V61"/>
      <c r="W61"/>
      <c r="X61"/>
      <c r="Y61"/>
      <c r="Z61"/>
      <c r="AA61"/>
      <c r="AC61" s="458">
        <v>45478</v>
      </c>
      <c r="AD61" t="s">
        <v>942</v>
      </c>
      <c r="AE61" t="s">
        <v>996</v>
      </c>
      <c r="AF61"/>
      <c r="AG61" t="s">
        <v>65</v>
      </c>
      <c r="AH61" t="s">
        <v>58</v>
      </c>
      <c r="AI61">
        <v>40800000</v>
      </c>
      <c r="AS61" s="457">
        <v>45478</v>
      </c>
      <c r="AT61" s="98" t="s">
        <v>942</v>
      </c>
      <c r="AU61" s="98" t="s">
        <v>65</v>
      </c>
      <c r="AV61" s="98" t="s">
        <v>996</v>
      </c>
      <c r="AW61" s="98" t="s">
        <v>930</v>
      </c>
      <c r="AX61" s="98">
        <v>16</v>
      </c>
      <c r="AY61" s="98" t="s">
        <v>55</v>
      </c>
      <c r="AZ61"/>
      <c r="BA61"/>
      <c r="BB61" s="98" t="s">
        <v>58</v>
      </c>
      <c r="BC61" s="98" t="s">
        <v>59</v>
      </c>
      <c r="BD61" s="98" t="s">
        <v>55</v>
      </c>
      <c r="BE61" s="98" t="s">
        <v>998</v>
      </c>
      <c r="BF61">
        <v>40800000</v>
      </c>
    </row>
    <row r="62" spans="8:58" x14ac:dyDescent="0.3">
      <c r="H62" s="459">
        <v>45478</v>
      </c>
      <c r="I62" s="38" t="s">
        <v>930</v>
      </c>
      <c r="J62" s="38"/>
      <c r="K62" s="38"/>
      <c r="L62" s="38"/>
      <c r="M62" s="38"/>
      <c r="N62" s="38"/>
      <c r="O62" s="38" t="s">
        <v>62</v>
      </c>
      <c r="P62" s="38">
        <v>101</v>
      </c>
      <c r="S62"/>
      <c r="T62"/>
      <c r="U62"/>
      <c r="V62"/>
      <c r="W62"/>
      <c r="X62"/>
      <c r="Y62"/>
      <c r="Z62"/>
      <c r="AA62"/>
      <c r="AC62" s="458">
        <v>45478</v>
      </c>
      <c r="AD62" t="s">
        <v>942</v>
      </c>
      <c r="AE62" t="s">
        <v>996</v>
      </c>
      <c r="AF62"/>
      <c r="AG62" t="s">
        <v>65</v>
      </c>
      <c r="AH62" t="s">
        <v>62</v>
      </c>
      <c r="AI62">
        <v>50500000</v>
      </c>
      <c r="AS62" s="457">
        <v>45478</v>
      </c>
      <c r="AT62" s="98" t="s">
        <v>942</v>
      </c>
      <c r="AU62" s="98" t="s">
        <v>65</v>
      </c>
      <c r="AV62" s="98" t="s">
        <v>996</v>
      </c>
      <c r="AW62" s="98" t="s">
        <v>930</v>
      </c>
      <c r="AX62" s="98">
        <v>16</v>
      </c>
      <c r="AY62" s="98" t="s">
        <v>55</v>
      </c>
      <c r="AZ62"/>
      <c r="BA62"/>
      <c r="BB62" s="98" t="s">
        <v>62</v>
      </c>
      <c r="BC62" s="98" t="s">
        <v>63</v>
      </c>
      <c r="BD62" s="98" t="s">
        <v>55</v>
      </c>
      <c r="BE62" s="98" t="s">
        <v>998</v>
      </c>
      <c r="BF62">
        <v>50500000</v>
      </c>
    </row>
    <row r="63" spans="8:58" x14ac:dyDescent="0.3">
      <c r="H63" s="459">
        <v>45488</v>
      </c>
      <c r="I63" s="38" t="s">
        <v>929</v>
      </c>
      <c r="J63" s="38" t="s">
        <v>995</v>
      </c>
      <c r="K63" s="38" t="s">
        <v>986</v>
      </c>
      <c r="L63" s="38" t="s">
        <v>968</v>
      </c>
      <c r="M63" s="38">
        <v>13</v>
      </c>
      <c r="N63" s="38">
        <v>131700000</v>
      </c>
      <c r="O63" s="38" t="s">
        <v>29</v>
      </c>
      <c r="P63" s="38">
        <v>202</v>
      </c>
      <c r="S63"/>
      <c r="T63"/>
      <c r="U63"/>
      <c r="V63"/>
      <c r="W63"/>
      <c r="X63"/>
      <c r="Y63"/>
      <c r="Z63"/>
      <c r="AA63"/>
      <c r="AC63" s="458">
        <v>45488</v>
      </c>
      <c r="AD63" t="s">
        <v>56</v>
      </c>
      <c r="AE63" t="s">
        <v>995</v>
      </c>
      <c r="AF63">
        <v>131700000</v>
      </c>
      <c r="AG63" t="s">
        <v>54</v>
      </c>
      <c r="AH63" t="s">
        <v>29</v>
      </c>
      <c r="AI63">
        <v>40400000</v>
      </c>
      <c r="AS63" s="457">
        <v>45488</v>
      </c>
      <c r="AT63" s="98" t="s">
        <v>56</v>
      </c>
      <c r="AU63" s="98" t="s">
        <v>54</v>
      </c>
      <c r="AV63" s="98" t="s">
        <v>995</v>
      </c>
      <c r="AW63" s="98" t="s">
        <v>929</v>
      </c>
      <c r="AX63" s="98">
        <v>13</v>
      </c>
      <c r="AY63" s="98" t="s">
        <v>55</v>
      </c>
      <c r="AZ63" s="98">
        <v>0</v>
      </c>
      <c r="BA63" s="98">
        <v>131700000</v>
      </c>
      <c r="BB63" s="98" t="s">
        <v>29</v>
      </c>
      <c r="BC63" s="98" t="s">
        <v>52</v>
      </c>
      <c r="BD63" s="98" t="s">
        <v>55</v>
      </c>
      <c r="BE63" s="98" t="s">
        <v>998</v>
      </c>
      <c r="BF63">
        <v>40400000</v>
      </c>
    </row>
    <row r="64" spans="8:58" x14ac:dyDescent="0.3">
      <c r="H64" s="459">
        <v>45488</v>
      </c>
      <c r="I64" s="38" t="s">
        <v>929</v>
      </c>
      <c r="J64" s="38"/>
      <c r="K64" s="38"/>
      <c r="L64" s="38"/>
      <c r="M64" s="38"/>
      <c r="N64" s="38"/>
      <c r="O64" s="38" t="s">
        <v>58</v>
      </c>
      <c r="P64" s="38">
        <v>136</v>
      </c>
      <c r="S64"/>
      <c r="T64"/>
      <c r="U64"/>
      <c r="V64"/>
      <c r="W64"/>
      <c r="X64"/>
      <c r="Y64"/>
      <c r="Z64"/>
      <c r="AA64"/>
      <c r="AC64" s="458">
        <v>45488</v>
      </c>
      <c r="AD64" t="s">
        <v>56</v>
      </c>
      <c r="AE64" t="s">
        <v>995</v>
      </c>
      <c r="AF64"/>
      <c r="AG64" t="s">
        <v>54</v>
      </c>
      <c r="AH64" t="s">
        <v>58</v>
      </c>
      <c r="AI64">
        <v>40800000</v>
      </c>
      <c r="AS64" s="457">
        <v>45488</v>
      </c>
      <c r="AT64" s="98" t="s">
        <v>56</v>
      </c>
      <c r="AU64" s="98" t="s">
        <v>54</v>
      </c>
      <c r="AV64" s="98" t="s">
        <v>995</v>
      </c>
      <c r="AW64" s="98" t="s">
        <v>929</v>
      </c>
      <c r="AX64" s="98">
        <v>13</v>
      </c>
      <c r="AY64" s="98" t="s">
        <v>55</v>
      </c>
      <c r="AZ64"/>
      <c r="BA64"/>
      <c r="BB64" s="98" t="s">
        <v>58</v>
      </c>
      <c r="BC64" s="98" t="s">
        <v>59</v>
      </c>
      <c r="BD64" s="98" t="s">
        <v>55</v>
      </c>
      <c r="BE64" s="98" t="s">
        <v>998</v>
      </c>
      <c r="BF64">
        <v>40800000</v>
      </c>
    </row>
    <row r="65" spans="8:58" x14ac:dyDescent="0.3">
      <c r="H65" s="459">
        <v>45488</v>
      </c>
      <c r="I65" s="38" t="s">
        <v>929</v>
      </c>
      <c r="J65" s="38"/>
      <c r="K65" s="38"/>
      <c r="L65" s="38"/>
      <c r="M65" s="38"/>
      <c r="N65" s="38"/>
      <c r="O65" s="38" t="s">
        <v>62</v>
      </c>
      <c r="P65" s="38">
        <v>101</v>
      </c>
      <c r="S65"/>
      <c r="T65"/>
      <c r="U65"/>
      <c r="V65"/>
      <c r="W65"/>
      <c r="X65"/>
      <c r="Y65"/>
      <c r="Z65"/>
      <c r="AA65"/>
      <c r="AC65" s="458">
        <v>45488</v>
      </c>
      <c r="AD65" t="s">
        <v>56</v>
      </c>
      <c r="AE65" t="s">
        <v>995</v>
      </c>
      <c r="AF65"/>
      <c r="AG65" t="s">
        <v>54</v>
      </c>
      <c r="AH65" t="s">
        <v>62</v>
      </c>
      <c r="AI65">
        <v>50500000</v>
      </c>
      <c r="AS65" s="457">
        <v>45488</v>
      </c>
      <c r="AT65" s="98" t="s">
        <v>56</v>
      </c>
      <c r="AU65" s="98" t="s">
        <v>54</v>
      </c>
      <c r="AV65" s="98" t="s">
        <v>995</v>
      </c>
      <c r="AW65" s="98" t="s">
        <v>929</v>
      </c>
      <c r="AX65" s="98">
        <v>13</v>
      </c>
      <c r="AY65" s="98" t="s">
        <v>55</v>
      </c>
      <c r="AZ65"/>
      <c r="BA65"/>
      <c r="BB65" s="98" t="s">
        <v>62</v>
      </c>
      <c r="BC65" s="98" t="s">
        <v>63</v>
      </c>
      <c r="BD65" s="98" t="s">
        <v>55</v>
      </c>
      <c r="BE65" s="98" t="s">
        <v>998</v>
      </c>
      <c r="BF65">
        <v>50500000</v>
      </c>
    </row>
    <row r="66" spans="8:58" x14ac:dyDescent="0.3">
      <c r="H66" s="459">
        <v>45498</v>
      </c>
      <c r="I66" s="38" t="s">
        <v>932</v>
      </c>
      <c r="J66" s="38" t="s">
        <v>995</v>
      </c>
      <c r="K66" s="38" t="s">
        <v>989</v>
      </c>
      <c r="L66" s="38" t="s">
        <v>969</v>
      </c>
      <c r="M66" s="38">
        <v>8</v>
      </c>
      <c r="N66" s="38">
        <v>134300000</v>
      </c>
      <c r="O66" s="38" t="s">
        <v>29</v>
      </c>
      <c r="P66" s="38">
        <v>212</v>
      </c>
      <c r="S66"/>
      <c r="T66"/>
      <c r="U66"/>
      <c r="V66"/>
      <c r="W66"/>
      <c r="X66"/>
      <c r="Y66"/>
      <c r="Z66"/>
      <c r="AA66"/>
      <c r="AC66" s="458">
        <v>45498</v>
      </c>
      <c r="AD66" t="s">
        <v>940</v>
      </c>
      <c r="AE66" t="s">
        <v>995</v>
      </c>
      <c r="AF66">
        <v>134300000</v>
      </c>
      <c r="AG66" t="s">
        <v>54</v>
      </c>
      <c r="AH66" t="s">
        <v>29</v>
      </c>
      <c r="AI66">
        <v>42400000</v>
      </c>
      <c r="AS66" s="457">
        <v>45498</v>
      </c>
      <c r="AT66" s="98" t="s">
        <v>940</v>
      </c>
      <c r="AU66" s="98" t="s">
        <v>54</v>
      </c>
      <c r="AV66" s="98" t="s">
        <v>995</v>
      </c>
      <c r="AW66" s="98" t="s">
        <v>932</v>
      </c>
      <c r="AX66" s="98">
        <v>8</v>
      </c>
      <c r="AY66" s="98" t="s">
        <v>55</v>
      </c>
      <c r="AZ66" s="98">
        <v>0</v>
      </c>
      <c r="BA66" s="98">
        <v>134300000</v>
      </c>
      <c r="BB66" s="98" t="s">
        <v>29</v>
      </c>
      <c r="BC66" s="98" t="s">
        <v>52</v>
      </c>
      <c r="BD66" s="98" t="s">
        <v>55</v>
      </c>
      <c r="BE66" s="98" t="s">
        <v>998</v>
      </c>
      <c r="BF66">
        <v>42400000</v>
      </c>
    </row>
    <row r="67" spans="8:58" x14ac:dyDescent="0.3">
      <c r="H67" s="459">
        <v>45498</v>
      </c>
      <c r="I67" s="38" t="s">
        <v>932</v>
      </c>
      <c r="J67" s="38"/>
      <c r="K67" s="38"/>
      <c r="L67" s="38"/>
      <c r="M67" s="38"/>
      <c r="N67" s="38"/>
      <c r="O67" s="38" t="s">
        <v>58</v>
      </c>
      <c r="P67" s="38">
        <v>133</v>
      </c>
      <c r="S67"/>
      <c r="T67"/>
      <c r="U67"/>
      <c r="V67"/>
      <c r="W67"/>
      <c r="X67"/>
      <c r="Y67"/>
      <c r="Z67"/>
      <c r="AA67"/>
      <c r="AC67" s="458">
        <v>45498</v>
      </c>
      <c r="AD67" t="s">
        <v>940</v>
      </c>
      <c r="AE67" t="s">
        <v>995</v>
      </c>
      <c r="AF67"/>
      <c r="AG67" t="s">
        <v>54</v>
      </c>
      <c r="AH67" t="s">
        <v>58</v>
      </c>
      <c r="AI67">
        <v>39900000</v>
      </c>
      <c r="AS67" s="457">
        <v>45498</v>
      </c>
      <c r="AT67" s="98" t="s">
        <v>940</v>
      </c>
      <c r="AU67" s="98" t="s">
        <v>54</v>
      </c>
      <c r="AV67" s="98" t="s">
        <v>995</v>
      </c>
      <c r="AW67" s="98" t="s">
        <v>932</v>
      </c>
      <c r="AX67" s="98">
        <v>8</v>
      </c>
      <c r="AY67" s="98" t="s">
        <v>55</v>
      </c>
      <c r="AZ67"/>
      <c r="BA67"/>
      <c r="BB67" s="98" t="s">
        <v>58</v>
      </c>
      <c r="BC67" s="98" t="s">
        <v>59</v>
      </c>
      <c r="BD67" s="98" t="s">
        <v>55</v>
      </c>
      <c r="BE67" s="98" t="s">
        <v>998</v>
      </c>
      <c r="BF67">
        <v>39900000</v>
      </c>
    </row>
    <row r="68" spans="8:58" x14ac:dyDescent="0.3">
      <c r="H68" s="459">
        <v>45498</v>
      </c>
      <c r="I68" s="38" t="s">
        <v>932</v>
      </c>
      <c r="J68" s="38"/>
      <c r="K68" s="38"/>
      <c r="L68" s="38"/>
      <c r="M68" s="38"/>
      <c r="N68" s="38"/>
      <c r="O68" s="38" t="s">
        <v>62</v>
      </c>
      <c r="P68" s="38">
        <v>104</v>
      </c>
      <c r="S68"/>
      <c r="T68"/>
      <c r="U68"/>
      <c r="V68"/>
      <c r="W68"/>
      <c r="X68"/>
      <c r="Y68"/>
      <c r="Z68"/>
      <c r="AA68"/>
      <c r="AC68" s="458">
        <v>45498</v>
      </c>
      <c r="AD68" t="s">
        <v>940</v>
      </c>
      <c r="AE68" t="s">
        <v>995</v>
      </c>
      <c r="AF68"/>
      <c r="AG68" t="s">
        <v>54</v>
      </c>
      <c r="AH68" t="s">
        <v>62</v>
      </c>
      <c r="AI68">
        <v>52000000</v>
      </c>
      <c r="AS68" s="457">
        <v>45498</v>
      </c>
      <c r="AT68" s="98" t="s">
        <v>940</v>
      </c>
      <c r="AU68" s="98" t="s">
        <v>54</v>
      </c>
      <c r="AV68" s="98" t="s">
        <v>995</v>
      </c>
      <c r="AW68" s="98" t="s">
        <v>932</v>
      </c>
      <c r="AX68" s="98">
        <v>8</v>
      </c>
      <c r="AY68" s="98" t="s">
        <v>55</v>
      </c>
      <c r="AZ68"/>
      <c r="BA68"/>
      <c r="BB68" s="98" t="s">
        <v>62</v>
      </c>
      <c r="BC68" s="98" t="s">
        <v>63</v>
      </c>
      <c r="BD68" s="98" t="s">
        <v>55</v>
      </c>
      <c r="BE68" s="98" t="s">
        <v>998</v>
      </c>
      <c r="BF68">
        <v>52000000</v>
      </c>
    </row>
    <row r="69" spans="8:58" x14ac:dyDescent="0.3">
      <c r="H69" s="459">
        <v>45509</v>
      </c>
      <c r="I69" s="38" t="s">
        <v>933</v>
      </c>
      <c r="J69" s="38" t="s">
        <v>996</v>
      </c>
      <c r="K69" s="38" t="s">
        <v>990</v>
      </c>
      <c r="L69" s="38" t="s">
        <v>970</v>
      </c>
      <c r="M69" s="38">
        <v>6</v>
      </c>
      <c r="N69" s="38">
        <v>136900000</v>
      </c>
      <c r="O69" s="38" t="s">
        <v>29</v>
      </c>
      <c r="P69" s="38">
        <v>223</v>
      </c>
      <c r="S69"/>
      <c r="T69"/>
      <c r="U69"/>
      <c r="V69"/>
      <c r="W69"/>
      <c r="X69"/>
      <c r="Y69"/>
      <c r="Z69"/>
      <c r="AA69"/>
      <c r="AC69" s="458">
        <v>45509</v>
      </c>
      <c r="AD69" t="s">
        <v>939</v>
      </c>
      <c r="AE69" t="s">
        <v>996</v>
      </c>
      <c r="AF69">
        <v>136900000</v>
      </c>
      <c r="AG69" t="s">
        <v>54</v>
      </c>
      <c r="AH69" t="s">
        <v>29</v>
      </c>
      <c r="AI69">
        <v>44600000</v>
      </c>
      <c r="AS69" s="457">
        <v>45509</v>
      </c>
      <c r="AT69" s="98" t="s">
        <v>939</v>
      </c>
      <c r="AU69" s="98" t="s">
        <v>54</v>
      </c>
      <c r="AV69" s="98" t="s">
        <v>996</v>
      </c>
      <c r="AW69" s="98" t="s">
        <v>933</v>
      </c>
      <c r="AX69" s="98">
        <v>6</v>
      </c>
      <c r="AY69" s="98" t="s">
        <v>55</v>
      </c>
      <c r="AZ69" s="98">
        <v>0</v>
      </c>
      <c r="BA69" s="98">
        <v>136900000</v>
      </c>
      <c r="BB69" s="98" t="s">
        <v>29</v>
      </c>
      <c r="BC69" s="98" t="s">
        <v>52</v>
      </c>
      <c r="BD69" s="98" t="s">
        <v>55</v>
      </c>
      <c r="BE69" s="98" t="s">
        <v>998</v>
      </c>
      <c r="BF69">
        <v>44600000</v>
      </c>
    </row>
    <row r="70" spans="8:58" x14ac:dyDescent="0.3">
      <c r="H70" s="459">
        <v>45509</v>
      </c>
      <c r="I70" s="38" t="s">
        <v>933</v>
      </c>
      <c r="J70" s="38"/>
      <c r="K70" s="38"/>
      <c r="L70" s="38"/>
      <c r="M70" s="38"/>
      <c r="N70" s="38"/>
      <c r="O70" s="38" t="s">
        <v>58</v>
      </c>
      <c r="P70" s="38">
        <v>136</v>
      </c>
      <c r="S70"/>
      <c r="T70"/>
      <c r="U70"/>
      <c r="V70"/>
      <c r="W70"/>
      <c r="X70"/>
      <c r="Y70"/>
      <c r="Z70"/>
      <c r="AA70"/>
      <c r="AC70" s="458">
        <v>45509</v>
      </c>
      <c r="AD70" t="s">
        <v>939</v>
      </c>
      <c r="AE70" t="s">
        <v>996</v>
      </c>
      <c r="AF70"/>
      <c r="AG70" t="s">
        <v>54</v>
      </c>
      <c r="AH70" t="s">
        <v>58</v>
      </c>
      <c r="AI70">
        <v>40800000</v>
      </c>
      <c r="AS70" s="457">
        <v>45509</v>
      </c>
      <c r="AT70" s="98" t="s">
        <v>939</v>
      </c>
      <c r="AU70" s="98" t="s">
        <v>54</v>
      </c>
      <c r="AV70" s="98" t="s">
        <v>996</v>
      </c>
      <c r="AW70" s="98" t="s">
        <v>933</v>
      </c>
      <c r="AX70" s="98">
        <v>6</v>
      </c>
      <c r="AY70" s="98" t="s">
        <v>55</v>
      </c>
      <c r="AZ70"/>
      <c r="BA70"/>
      <c r="BB70" s="98" t="s">
        <v>58</v>
      </c>
      <c r="BC70" s="98" t="s">
        <v>59</v>
      </c>
      <c r="BD70" s="98" t="s">
        <v>55</v>
      </c>
      <c r="BE70" s="98" t="s">
        <v>998</v>
      </c>
      <c r="BF70">
        <v>40800000</v>
      </c>
    </row>
    <row r="71" spans="8:58" x14ac:dyDescent="0.3">
      <c r="H71" s="459">
        <v>45509</v>
      </c>
      <c r="I71" s="38" t="s">
        <v>933</v>
      </c>
      <c r="J71" s="38"/>
      <c r="K71" s="38"/>
      <c r="L71" s="38"/>
      <c r="M71" s="38"/>
      <c r="N71" s="38"/>
      <c r="O71" s="38" t="s">
        <v>62</v>
      </c>
      <c r="P71" s="38">
        <v>103</v>
      </c>
      <c r="S71"/>
      <c r="T71"/>
      <c r="U71"/>
      <c r="V71"/>
      <c r="W71"/>
      <c r="X71"/>
      <c r="Y71"/>
      <c r="Z71"/>
      <c r="AA71"/>
      <c r="AC71" s="458">
        <v>45509</v>
      </c>
      <c r="AD71" t="s">
        <v>939</v>
      </c>
      <c r="AE71" t="s">
        <v>996</v>
      </c>
      <c r="AF71"/>
      <c r="AG71" t="s">
        <v>54</v>
      </c>
      <c r="AH71" t="s">
        <v>62</v>
      </c>
      <c r="AI71">
        <v>51500000</v>
      </c>
      <c r="AS71" s="457">
        <v>45509</v>
      </c>
      <c r="AT71" s="98" t="s">
        <v>939</v>
      </c>
      <c r="AU71" s="98" t="s">
        <v>54</v>
      </c>
      <c r="AV71" s="98" t="s">
        <v>996</v>
      </c>
      <c r="AW71" s="98" t="s">
        <v>933</v>
      </c>
      <c r="AX71" s="98">
        <v>6</v>
      </c>
      <c r="AY71" s="98" t="s">
        <v>55</v>
      </c>
      <c r="AZ71"/>
      <c r="BA71"/>
      <c r="BB71" s="98" t="s">
        <v>62</v>
      </c>
      <c r="BC71" s="98" t="s">
        <v>63</v>
      </c>
      <c r="BD71" s="98" t="s">
        <v>55</v>
      </c>
      <c r="BE71" s="98" t="s">
        <v>998</v>
      </c>
      <c r="BF71">
        <v>51500000</v>
      </c>
    </row>
    <row r="72" spans="8:58" x14ac:dyDescent="0.3">
      <c r="H72" s="459">
        <v>45519</v>
      </c>
      <c r="I72" s="38" t="s">
        <v>930</v>
      </c>
      <c r="J72" s="38" t="s">
        <v>996</v>
      </c>
      <c r="K72" s="38" t="s">
        <v>987</v>
      </c>
      <c r="L72" s="38" t="s">
        <v>971</v>
      </c>
      <c r="M72" s="38">
        <v>17</v>
      </c>
      <c r="N72" s="38">
        <v>140200000</v>
      </c>
      <c r="O72" s="38" t="s">
        <v>29</v>
      </c>
      <c r="P72" s="38">
        <v>234</v>
      </c>
      <c r="S72"/>
      <c r="T72"/>
      <c r="U72"/>
      <c r="V72"/>
      <c r="W72"/>
      <c r="X72"/>
      <c r="Y72"/>
      <c r="Z72"/>
      <c r="AA72"/>
      <c r="AC72" s="458">
        <v>45519</v>
      </c>
      <c r="AD72" t="s">
        <v>941</v>
      </c>
      <c r="AE72" t="s">
        <v>996</v>
      </c>
      <c r="AF72">
        <v>140200000</v>
      </c>
      <c r="AG72" t="s">
        <v>65</v>
      </c>
      <c r="AH72" t="s">
        <v>29</v>
      </c>
      <c r="AI72">
        <v>46800000</v>
      </c>
      <c r="AS72" s="457">
        <v>45519</v>
      </c>
      <c r="AT72" s="98" t="s">
        <v>941</v>
      </c>
      <c r="AU72" s="98" t="s">
        <v>65</v>
      </c>
      <c r="AV72" s="98" t="s">
        <v>996</v>
      </c>
      <c r="AW72" s="98" t="s">
        <v>930</v>
      </c>
      <c r="AX72" s="98">
        <v>17</v>
      </c>
      <c r="AY72" s="98" t="s">
        <v>55</v>
      </c>
      <c r="AZ72" s="98">
        <v>0</v>
      </c>
      <c r="BA72" s="98">
        <v>140200000</v>
      </c>
      <c r="BB72" s="98" t="s">
        <v>29</v>
      </c>
      <c r="BC72" s="98" t="s">
        <v>52</v>
      </c>
      <c r="BD72" s="98" t="s">
        <v>55</v>
      </c>
      <c r="BE72" s="98" t="s">
        <v>998</v>
      </c>
      <c r="BF72">
        <v>46800000</v>
      </c>
    </row>
    <row r="73" spans="8:58" x14ac:dyDescent="0.3">
      <c r="H73" s="459">
        <v>45519</v>
      </c>
      <c r="I73" s="38" t="s">
        <v>930</v>
      </c>
      <c r="J73" s="38"/>
      <c r="K73" s="38"/>
      <c r="L73" s="38"/>
      <c r="M73" s="38"/>
      <c r="N73" s="38"/>
      <c r="O73" s="38" t="s">
        <v>58</v>
      </c>
      <c r="P73" s="38">
        <v>133</v>
      </c>
      <c r="S73"/>
      <c r="T73"/>
      <c r="U73"/>
      <c r="V73"/>
      <c r="W73"/>
      <c r="X73"/>
      <c r="Y73"/>
      <c r="Z73"/>
      <c r="AA73"/>
      <c r="AC73" s="458">
        <v>45519</v>
      </c>
      <c r="AD73" t="s">
        <v>941</v>
      </c>
      <c r="AE73" t="s">
        <v>996</v>
      </c>
      <c r="AF73"/>
      <c r="AG73" t="s">
        <v>65</v>
      </c>
      <c r="AH73" t="s">
        <v>58</v>
      </c>
      <c r="AI73">
        <v>39900000</v>
      </c>
      <c r="AS73" s="457">
        <v>45519</v>
      </c>
      <c r="AT73" s="98" t="s">
        <v>941</v>
      </c>
      <c r="AU73" s="98" t="s">
        <v>65</v>
      </c>
      <c r="AV73" s="98" t="s">
        <v>996</v>
      </c>
      <c r="AW73" s="98" t="s">
        <v>930</v>
      </c>
      <c r="AX73" s="98">
        <v>17</v>
      </c>
      <c r="AY73" s="98" t="s">
        <v>55</v>
      </c>
      <c r="AZ73"/>
      <c r="BA73"/>
      <c r="BB73" s="98" t="s">
        <v>58</v>
      </c>
      <c r="BC73" s="98" t="s">
        <v>59</v>
      </c>
      <c r="BD73" s="98" t="s">
        <v>55</v>
      </c>
      <c r="BE73" s="98" t="s">
        <v>998</v>
      </c>
      <c r="BF73">
        <v>39900000</v>
      </c>
    </row>
    <row r="74" spans="8:58" x14ac:dyDescent="0.3">
      <c r="H74" s="459">
        <v>45519</v>
      </c>
      <c r="I74" s="38" t="s">
        <v>930</v>
      </c>
      <c r="J74" s="38"/>
      <c r="K74" s="38"/>
      <c r="L74" s="38"/>
      <c r="M74" s="38"/>
      <c r="N74" s="38"/>
      <c r="O74" s="38" t="s">
        <v>62</v>
      </c>
      <c r="P74" s="38">
        <v>107</v>
      </c>
      <c r="S74"/>
      <c r="T74"/>
      <c r="U74"/>
      <c r="V74"/>
      <c r="W74"/>
      <c r="X74"/>
      <c r="Y74"/>
      <c r="Z74"/>
      <c r="AA74"/>
      <c r="AC74" s="458">
        <v>45519</v>
      </c>
      <c r="AD74" t="s">
        <v>941</v>
      </c>
      <c r="AE74" t="s">
        <v>996</v>
      </c>
      <c r="AF74"/>
      <c r="AG74" t="s">
        <v>65</v>
      </c>
      <c r="AH74" t="s">
        <v>62</v>
      </c>
      <c r="AI74">
        <v>53500000</v>
      </c>
      <c r="AS74" s="457">
        <v>45519</v>
      </c>
      <c r="AT74" s="98" t="s">
        <v>941</v>
      </c>
      <c r="AU74" s="98" t="s">
        <v>65</v>
      </c>
      <c r="AV74" s="98" t="s">
        <v>996</v>
      </c>
      <c r="AW74" s="98" t="s">
        <v>930</v>
      </c>
      <c r="AX74" s="98">
        <v>17</v>
      </c>
      <c r="AY74" s="98" t="s">
        <v>55</v>
      </c>
      <c r="AZ74"/>
      <c r="BA74"/>
      <c r="BB74" s="98" t="s">
        <v>62</v>
      </c>
      <c r="BC74" s="98" t="s">
        <v>63</v>
      </c>
      <c r="BD74" s="98" t="s">
        <v>55</v>
      </c>
      <c r="BE74" s="98" t="s">
        <v>998</v>
      </c>
      <c r="BF74">
        <v>53500000</v>
      </c>
    </row>
    <row r="75" spans="8:58" x14ac:dyDescent="0.3">
      <c r="H75" s="459">
        <v>45529</v>
      </c>
      <c r="I75" s="38" t="s">
        <v>929</v>
      </c>
      <c r="J75" s="38" t="s">
        <v>995</v>
      </c>
      <c r="K75" s="38" t="s">
        <v>986</v>
      </c>
      <c r="L75" s="38" t="s">
        <v>972</v>
      </c>
      <c r="M75" s="38">
        <v>14</v>
      </c>
      <c r="N75" s="38">
        <v>143900000</v>
      </c>
      <c r="O75" s="38" t="s">
        <v>29</v>
      </c>
      <c r="P75" s="38">
        <v>239</v>
      </c>
      <c r="S75"/>
      <c r="T75"/>
      <c r="U75"/>
      <c r="V75"/>
      <c r="W75"/>
      <c r="X75"/>
      <c r="Y75"/>
      <c r="Z75"/>
      <c r="AA75"/>
      <c r="AC75" s="458">
        <v>45529</v>
      </c>
      <c r="AD75" t="s">
        <v>939</v>
      </c>
      <c r="AE75" t="s">
        <v>995</v>
      </c>
      <c r="AF75">
        <v>143900000</v>
      </c>
      <c r="AG75" t="s">
        <v>54</v>
      </c>
      <c r="AH75" t="s">
        <v>29</v>
      </c>
      <c r="AI75">
        <v>47800000</v>
      </c>
      <c r="AS75" s="457">
        <v>45529</v>
      </c>
      <c r="AT75" s="98" t="s">
        <v>939</v>
      </c>
      <c r="AU75" s="98" t="s">
        <v>54</v>
      </c>
      <c r="AV75" s="98" t="s">
        <v>995</v>
      </c>
      <c r="AW75" s="98" t="s">
        <v>929</v>
      </c>
      <c r="AX75" s="98">
        <v>14</v>
      </c>
      <c r="AY75" s="98" t="s">
        <v>55</v>
      </c>
      <c r="AZ75" s="98">
        <v>0</v>
      </c>
      <c r="BA75" s="98">
        <v>143900000</v>
      </c>
      <c r="BB75" s="98" t="s">
        <v>29</v>
      </c>
      <c r="BC75" s="98" t="s">
        <v>52</v>
      </c>
      <c r="BD75" s="98" t="s">
        <v>55</v>
      </c>
      <c r="BE75" s="98" t="s">
        <v>998</v>
      </c>
      <c r="BF75">
        <v>47800000</v>
      </c>
    </row>
    <row r="76" spans="8:58" x14ac:dyDescent="0.3">
      <c r="H76" s="459">
        <v>45529</v>
      </c>
      <c r="I76" s="38" t="s">
        <v>929</v>
      </c>
      <c r="J76" s="38"/>
      <c r="K76" s="38"/>
      <c r="L76" s="38"/>
      <c r="M76" s="38"/>
      <c r="N76" s="38"/>
      <c r="O76" s="38" t="s">
        <v>58</v>
      </c>
      <c r="P76" s="38">
        <v>137</v>
      </c>
      <c r="S76"/>
      <c r="T76"/>
      <c r="U76"/>
      <c r="V76"/>
      <c r="W76"/>
      <c r="X76"/>
      <c r="Y76"/>
      <c r="Z76"/>
      <c r="AA76"/>
      <c r="AC76" s="458">
        <v>45529</v>
      </c>
      <c r="AD76" t="s">
        <v>939</v>
      </c>
      <c r="AE76" t="s">
        <v>995</v>
      </c>
      <c r="AF76"/>
      <c r="AG76" t="s">
        <v>54</v>
      </c>
      <c r="AH76" t="s">
        <v>58</v>
      </c>
      <c r="AI76">
        <v>41100000</v>
      </c>
      <c r="AS76" s="457">
        <v>45529</v>
      </c>
      <c r="AT76" s="98" t="s">
        <v>939</v>
      </c>
      <c r="AU76" s="98" t="s">
        <v>54</v>
      </c>
      <c r="AV76" s="98" t="s">
        <v>995</v>
      </c>
      <c r="AW76" s="98" t="s">
        <v>929</v>
      </c>
      <c r="AX76" s="98">
        <v>14</v>
      </c>
      <c r="AY76" s="98" t="s">
        <v>55</v>
      </c>
      <c r="AZ76"/>
      <c r="BA76"/>
      <c r="BB76" s="98" t="s">
        <v>58</v>
      </c>
      <c r="BC76" s="98" t="s">
        <v>59</v>
      </c>
      <c r="BD76" s="98" t="s">
        <v>55</v>
      </c>
      <c r="BE76" s="98" t="s">
        <v>998</v>
      </c>
      <c r="BF76">
        <v>41100000</v>
      </c>
    </row>
    <row r="77" spans="8:58" x14ac:dyDescent="0.3">
      <c r="H77" s="459">
        <v>45529</v>
      </c>
      <c r="I77" s="38" t="s">
        <v>929</v>
      </c>
      <c r="J77" s="38"/>
      <c r="K77" s="38"/>
      <c r="L77" s="38"/>
      <c r="M77" s="38"/>
      <c r="N77" s="38"/>
      <c r="O77" s="38" t="s">
        <v>62</v>
      </c>
      <c r="P77" s="38">
        <v>110</v>
      </c>
      <c r="S77"/>
      <c r="T77"/>
      <c r="U77"/>
      <c r="V77"/>
      <c r="W77"/>
      <c r="X77"/>
      <c r="Y77"/>
      <c r="Z77"/>
      <c r="AA77"/>
      <c r="AC77" s="458">
        <v>45529</v>
      </c>
      <c r="AD77" t="s">
        <v>939</v>
      </c>
      <c r="AE77" t="s">
        <v>995</v>
      </c>
      <c r="AF77"/>
      <c r="AG77" t="s">
        <v>54</v>
      </c>
      <c r="AH77" t="s">
        <v>62</v>
      </c>
      <c r="AI77">
        <v>55000000</v>
      </c>
      <c r="AS77" s="457">
        <v>45529</v>
      </c>
      <c r="AT77" s="98" t="s">
        <v>939</v>
      </c>
      <c r="AU77" s="98" t="s">
        <v>54</v>
      </c>
      <c r="AV77" s="98" t="s">
        <v>995</v>
      </c>
      <c r="AW77" s="98" t="s">
        <v>929</v>
      </c>
      <c r="AX77" s="98">
        <v>14</v>
      </c>
      <c r="AY77" s="98" t="s">
        <v>55</v>
      </c>
      <c r="AZ77"/>
      <c r="BA77"/>
      <c r="BB77" s="98" t="s">
        <v>62</v>
      </c>
      <c r="BC77" s="98" t="s">
        <v>63</v>
      </c>
      <c r="BD77" s="98" t="s">
        <v>55</v>
      </c>
      <c r="BE77" s="98" t="s">
        <v>998</v>
      </c>
      <c r="BF77">
        <v>55000000</v>
      </c>
    </row>
    <row r="78" spans="8:58" x14ac:dyDescent="0.3">
      <c r="H78" s="459">
        <v>45540</v>
      </c>
      <c r="I78" s="38" t="s">
        <v>931</v>
      </c>
      <c r="J78" s="38" t="s">
        <v>996</v>
      </c>
      <c r="K78" s="38" t="s">
        <v>988</v>
      </c>
      <c r="L78" s="38" t="s">
        <v>973</v>
      </c>
      <c r="M78" s="38">
        <v>12</v>
      </c>
      <c r="N78" s="38">
        <v>146100000</v>
      </c>
      <c r="O78" s="38" t="s">
        <v>29</v>
      </c>
      <c r="P78" s="38">
        <v>251</v>
      </c>
      <c r="S78"/>
      <c r="T78"/>
      <c r="U78"/>
      <c r="V78"/>
      <c r="W78"/>
      <c r="X78"/>
      <c r="Y78"/>
      <c r="Z78"/>
      <c r="AA78"/>
      <c r="AC78"/>
      <c r="AD78"/>
      <c r="AE78"/>
      <c r="AF78"/>
      <c r="AG78"/>
      <c r="AH78"/>
      <c r="AI78"/>
      <c r="AS78" s="457">
        <v>45540</v>
      </c>
      <c r="AT78" s="98" t="s">
        <v>60</v>
      </c>
      <c r="AU78" s="98" t="s">
        <v>65</v>
      </c>
      <c r="AV78" s="98" t="s">
        <v>996</v>
      </c>
      <c r="AW78" s="98" t="s">
        <v>931</v>
      </c>
      <c r="AX78" s="98">
        <v>12</v>
      </c>
      <c r="AY78" s="98" t="s">
        <v>55</v>
      </c>
      <c r="AZ78" s="98">
        <v>0</v>
      </c>
      <c r="BA78" s="98">
        <v>146100000</v>
      </c>
      <c r="BB78" s="98" t="s">
        <v>29</v>
      </c>
      <c r="BC78" s="98" t="s">
        <v>52</v>
      </c>
      <c r="BD78" s="98" t="s">
        <v>55</v>
      </c>
      <c r="BE78" s="98" t="s">
        <v>998</v>
      </c>
      <c r="BF78">
        <v>50200000</v>
      </c>
    </row>
    <row r="79" spans="8:58" x14ac:dyDescent="0.3">
      <c r="H79" s="459">
        <v>45540</v>
      </c>
      <c r="I79" s="38" t="s">
        <v>931</v>
      </c>
      <c r="J79" s="38"/>
      <c r="K79" s="38"/>
      <c r="L79" s="38"/>
      <c r="M79" s="38"/>
      <c r="N79" s="38"/>
      <c r="O79" s="38" t="s">
        <v>58</v>
      </c>
      <c r="P79" s="38">
        <v>138</v>
      </c>
      <c r="S79"/>
      <c r="T79"/>
      <c r="U79"/>
      <c r="V79"/>
      <c r="W79"/>
      <c r="X79"/>
      <c r="Y79"/>
      <c r="Z79"/>
      <c r="AA79"/>
      <c r="AC79"/>
      <c r="AD79"/>
      <c r="AE79"/>
      <c r="AF79"/>
      <c r="AG79"/>
      <c r="AH79"/>
      <c r="AI79"/>
      <c r="AS79" s="457">
        <v>45540</v>
      </c>
      <c r="AT79" s="98" t="s">
        <v>60</v>
      </c>
      <c r="AU79" s="98" t="s">
        <v>65</v>
      </c>
      <c r="AV79" s="98" t="s">
        <v>996</v>
      </c>
      <c r="AW79" s="98" t="s">
        <v>931</v>
      </c>
      <c r="AX79" s="98">
        <v>12</v>
      </c>
      <c r="AY79" s="98" t="s">
        <v>55</v>
      </c>
      <c r="AZ79"/>
      <c r="BA79"/>
      <c r="BB79" s="98" t="s">
        <v>58</v>
      </c>
      <c r="BC79" s="98" t="s">
        <v>59</v>
      </c>
      <c r="BD79" s="98" t="s">
        <v>55</v>
      </c>
      <c r="BE79" s="98" t="s">
        <v>998</v>
      </c>
      <c r="BF79">
        <v>41400000</v>
      </c>
    </row>
    <row r="80" spans="8:58" x14ac:dyDescent="0.3">
      <c r="H80" s="459">
        <v>45540</v>
      </c>
      <c r="I80" s="38" t="s">
        <v>931</v>
      </c>
      <c r="J80" s="38"/>
      <c r="K80" s="38"/>
      <c r="L80" s="38"/>
      <c r="M80" s="38"/>
      <c r="N80" s="38"/>
      <c r="O80" s="38" t="s">
        <v>62</v>
      </c>
      <c r="P80" s="38">
        <v>109</v>
      </c>
      <c r="S80"/>
      <c r="T80"/>
      <c r="U80"/>
      <c r="V80"/>
      <c r="W80"/>
      <c r="X80"/>
      <c r="Y80"/>
      <c r="Z80"/>
      <c r="AA80"/>
      <c r="AC80"/>
      <c r="AD80"/>
      <c r="AE80"/>
      <c r="AF80"/>
      <c r="AG80"/>
      <c r="AH80"/>
      <c r="AI80"/>
      <c r="AS80" s="457">
        <v>45540</v>
      </c>
      <c r="AT80" s="98" t="s">
        <v>60</v>
      </c>
      <c r="AU80" s="98" t="s">
        <v>65</v>
      </c>
      <c r="AV80" s="98" t="s">
        <v>996</v>
      </c>
      <c r="AW80" s="98" t="s">
        <v>931</v>
      </c>
      <c r="AX80" s="98">
        <v>12</v>
      </c>
      <c r="AY80" s="98" t="s">
        <v>55</v>
      </c>
      <c r="AZ80"/>
      <c r="BA80"/>
      <c r="BB80" s="98" t="s">
        <v>62</v>
      </c>
      <c r="BC80" s="98" t="s">
        <v>63</v>
      </c>
      <c r="BD80" s="98" t="s">
        <v>55</v>
      </c>
      <c r="BE80" s="98" t="s">
        <v>998</v>
      </c>
      <c r="BF80">
        <v>54500000</v>
      </c>
    </row>
    <row r="81" spans="8:58" x14ac:dyDescent="0.3">
      <c r="H81" s="459">
        <v>45550</v>
      </c>
      <c r="I81" s="38" t="s">
        <v>933</v>
      </c>
      <c r="J81" s="38" t="s">
        <v>996</v>
      </c>
      <c r="K81" s="38" t="s">
        <v>990</v>
      </c>
      <c r="L81" s="38" t="s">
        <v>974</v>
      </c>
      <c r="M81" s="38">
        <v>7</v>
      </c>
      <c r="N81" s="38">
        <v>146700000</v>
      </c>
      <c r="O81" s="38" t="s">
        <v>29</v>
      </c>
      <c r="P81" s="38">
        <v>256</v>
      </c>
      <c r="S81"/>
      <c r="T81"/>
      <c r="U81"/>
      <c r="V81"/>
      <c r="W81"/>
      <c r="X81"/>
      <c r="Y81"/>
      <c r="Z81"/>
      <c r="AA81"/>
      <c r="AC81"/>
      <c r="AD81"/>
      <c r="AE81"/>
      <c r="AF81"/>
      <c r="AG81"/>
      <c r="AH81"/>
      <c r="AI81"/>
      <c r="AS81" s="457">
        <v>45550</v>
      </c>
      <c r="AT81" s="98" t="s">
        <v>60</v>
      </c>
      <c r="AU81" s="98" t="s">
        <v>54</v>
      </c>
      <c r="AV81" s="98" t="s">
        <v>996</v>
      </c>
      <c r="AW81" s="98" t="s">
        <v>933</v>
      </c>
      <c r="AX81" s="98">
        <v>7</v>
      </c>
      <c r="AY81" s="98" t="s">
        <v>55</v>
      </c>
      <c r="AZ81" s="98">
        <v>0</v>
      </c>
      <c r="BA81" s="98">
        <v>146700000</v>
      </c>
      <c r="BB81" s="98" t="s">
        <v>29</v>
      </c>
      <c r="BC81" s="98" t="s">
        <v>52</v>
      </c>
      <c r="BD81" s="98" t="s">
        <v>55</v>
      </c>
      <c r="BE81" s="98" t="s">
        <v>998</v>
      </c>
      <c r="BF81">
        <v>51200000</v>
      </c>
    </row>
    <row r="82" spans="8:58" x14ac:dyDescent="0.3">
      <c r="H82" s="459">
        <v>45550</v>
      </c>
      <c r="I82" s="38" t="s">
        <v>933</v>
      </c>
      <c r="J82" s="38"/>
      <c r="K82" s="38"/>
      <c r="L82" s="38"/>
      <c r="M82" s="38"/>
      <c r="N82" s="38"/>
      <c r="O82" s="38" t="s">
        <v>58</v>
      </c>
      <c r="P82" s="38">
        <v>135</v>
      </c>
      <c r="S82"/>
      <c r="T82"/>
      <c r="U82"/>
      <c r="V82"/>
      <c r="W82"/>
      <c r="X82"/>
      <c r="Y82"/>
      <c r="Z82"/>
      <c r="AA82"/>
      <c r="AC82"/>
      <c r="AD82"/>
      <c r="AE82"/>
      <c r="AF82"/>
      <c r="AG82"/>
      <c r="AH82"/>
      <c r="AI82"/>
      <c r="AS82" s="457">
        <v>45550</v>
      </c>
      <c r="AT82" s="98" t="s">
        <v>60</v>
      </c>
      <c r="AU82" s="98" t="s">
        <v>54</v>
      </c>
      <c r="AV82" s="98" t="s">
        <v>996</v>
      </c>
      <c r="AW82" s="98" t="s">
        <v>933</v>
      </c>
      <c r="AX82" s="98">
        <v>7</v>
      </c>
      <c r="AY82" s="98" t="s">
        <v>55</v>
      </c>
      <c r="AZ82"/>
      <c r="BA82"/>
      <c r="BB82" s="98" t="s">
        <v>58</v>
      </c>
      <c r="BC82" s="98" t="s">
        <v>59</v>
      </c>
      <c r="BD82" s="98" t="s">
        <v>55</v>
      </c>
      <c r="BE82" s="98" t="s">
        <v>998</v>
      </c>
      <c r="BF82">
        <v>40500000</v>
      </c>
    </row>
    <row r="83" spans="8:58" x14ac:dyDescent="0.3">
      <c r="H83" s="459">
        <v>45550</v>
      </c>
      <c r="I83" s="38" t="s">
        <v>933</v>
      </c>
      <c r="J83" s="38"/>
      <c r="K83" s="38"/>
      <c r="L83" s="38"/>
      <c r="M83" s="38"/>
      <c r="N83" s="38"/>
      <c r="O83" s="38" t="s">
        <v>62</v>
      </c>
      <c r="P83" s="38">
        <v>110</v>
      </c>
      <c r="S83"/>
      <c r="T83"/>
      <c r="U83"/>
      <c r="V83"/>
      <c r="W83"/>
      <c r="X83"/>
      <c r="Y83"/>
      <c r="Z83"/>
      <c r="AA83"/>
      <c r="AC83"/>
      <c r="AD83"/>
      <c r="AE83"/>
      <c r="AF83"/>
      <c r="AG83"/>
      <c r="AH83"/>
      <c r="AI83"/>
      <c r="AS83" s="457">
        <v>45550</v>
      </c>
      <c r="AT83" s="98" t="s">
        <v>60</v>
      </c>
      <c r="AU83" s="98" t="s">
        <v>54</v>
      </c>
      <c r="AV83" s="98" t="s">
        <v>996</v>
      </c>
      <c r="AW83" s="98" t="s">
        <v>933</v>
      </c>
      <c r="AX83" s="98">
        <v>7</v>
      </c>
      <c r="AY83" s="98" t="s">
        <v>55</v>
      </c>
      <c r="AZ83"/>
      <c r="BA83"/>
      <c r="BB83" s="98" t="s">
        <v>62</v>
      </c>
      <c r="BC83" s="98" t="s">
        <v>63</v>
      </c>
      <c r="BD83" s="98" t="s">
        <v>55</v>
      </c>
      <c r="BE83" s="98" t="s">
        <v>998</v>
      </c>
      <c r="BF83">
        <v>55000000</v>
      </c>
    </row>
    <row r="84" spans="8:58" x14ac:dyDescent="0.3">
      <c r="H84" s="459">
        <v>45560</v>
      </c>
      <c r="I84" s="38" t="s">
        <v>929</v>
      </c>
      <c r="J84" s="38" t="s">
        <v>995</v>
      </c>
      <c r="K84" s="38" t="s">
        <v>986</v>
      </c>
      <c r="L84" s="38" t="s">
        <v>975</v>
      </c>
      <c r="M84" s="38">
        <v>15</v>
      </c>
      <c r="N84" s="38">
        <v>149900000</v>
      </c>
      <c r="O84" s="38" t="s">
        <v>29</v>
      </c>
      <c r="P84" s="38">
        <v>251</v>
      </c>
      <c r="S84"/>
      <c r="T84"/>
      <c r="U84"/>
      <c r="V84"/>
      <c r="W84"/>
      <c r="X84"/>
      <c r="Y84"/>
      <c r="Z84"/>
      <c r="AA84"/>
      <c r="AC84"/>
      <c r="AD84"/>
      <c r="AE84"/>
      <c r="AF84"/>
      <c r="AG84"/>
      <c r="AH84"/>
      <c r="AI84"/>
      <c r="AS84" s="457">
        <v>45560</v>
      </c>
      <c r="AT84" s="98" t="s">
        <v>939</v>
      </c>
      <c r="AU84" s="98" t="s">
        <v>54</v>
      </c>
      <c r="AV84" s="98" t="s">
        <v>995</v>
      </c>
      <c r="AW84" s="98" t="s">
        <v>929</v>
      </c>
      <c r="AX84" s="98">
        <v>15</v>
      </c>
      <c r="AY84" s="98" t="s">
        <v>55</v>
      </c>
      <c r="AZ84" s="98">
        <v>0</v>
      </c>
      <c r="BA84" s="98">
        <v>149900000</v>
      </c>
      <c r="BB84" s="98" t="s">
        <v>29</v>
      </c>
      <c r="BC84" s="98" t="s">
        <v>52</v>
      </c>
      <c r="BD84" s="98" t="s">
        <v>55</v>
      </c>
      <c r="BE84" s="98" t="s">
        <v>998</v>
      </c>
      <c r="BF84">
        <v>50200000</v>
      </c>
    </row>
    <row r="85" spans="8:58" x14ac:dyDescent="0.3">
      <c r="H85" s="459">
        <v>45560</v>
      </c>
      <c r="I85" s="38" t="s">
        <v>929</v>
      </c>
      <c r="J85" s="38"/>
      <c r="K85" s="38"/>
      <c r="L85" s="38"/>
      <c r="M85" s="38"/>
      <c r="N85" s="38"/>
      <c r="O85" s="38" t="s">
        <v>58</v>
      </c>
      <c r="P85" s="38">
        <v>139</v>
      </c>
      <c r="S85"/>
      <c r="T85"/>
      <c r="U85"/>
      <c r="V85"/>
      <c r="W85"/>
      <c r="X85"/>
      <c r="Y85"/>
      <c r="Z85"/>
      <c r="AA85"/>
      <c r="AC85"/>
      <c r="AD85"/>
      <c r="AE85"/>
      <c r="AF85"/>
      <c r="AG85"/>
      <c r="AH85"/>
      <c r="AI85"/>
      <c r="AS85" s="457">
        <v>45560</v>
      </c>
      <c r="AT85" s="98" t="s">
        <v>939</v>
      </c>
      <c r="AU85" s="98" t="s">
        <v>54</v>
      </c>
      <c r="AV85" s="98" t="s">
        <v>995</v>
      </c>
      <c r="AW85" s="98" t="s">
        <v>929</v>
      </c>
      <c r="AX85" s="98">
        <v>15</v>
      </c>
      <c r="AY85" s="98" t="s">
        <v>55</v>
      </c>
      <c r="AZ85"/>
      <c r="BA85"/>
      <c r="BB85" s="98" t="s">
        <v>58</v>
      </c>
      <c r="BC85" s="98" t="s">
        <v>59</v>
      </c>
      <c r="BD85" s="98" t="s">
        <v>55</v>
      </c>
      <c r="BE85" s="98" t="s">
        <v>998</v>
      </c>
      <c r="BF85">
        <v>41700000</v>
      </c>
    </row>
    <row r="86" spans="8:58" x14ac:dyDescent="0.3">
      <c r="H86" s="459">
        <v>45560</v>
      </c>
      <c r="I86" s="38" t="s">
        <v>929</v>
      </c>
      <c r="J86" s="38"/>
      <c r="K86" s="38"/>
      <c r="L86" s="38"/>
      <c r="M86" s="38"/>
      <c r="N86" s="38"/>
      <c r="O86" s="38" t="s">
        <v>62</v>
      </c>
      <c r="P86" s="38">
        <v>116</v>
      </c>
      <c r="S86"/>
      <c r="T86"/>
      <c r="U86"/>
      <c r="V86"/>
      <c r="W86"/>
      <c r="X86"/>
      <c r="Y86"/>
      <c r="Z86"/>
      <c r="AA86"/>
      <c r="AC86"/>
      <c r="AD86"/>
      <c r="AE86"/>
      <c r="AF86"/>
      <c r="AG86"/>
      <c r="AH86"/>
      <c r="AI86"/>
      <c r="AS86" s="457">
        <v>45560</v>
      </c>
      <c r="AT86" s="98" t="s">
        <v>939</v>
      </c>
      <c r="AU86" s="98" t="s">
        <v>54</v>
      </c>
      <c r="AV86" s="98" t="s">
        <v>995</v>
      </c>
      <c r="AW86" s="98" t="s">
        <v>929</v>
      </c>
      <c r="AX86" s="98">
        <v>15</v>
      </c>
      <c r="AY86" s="98" t="s">
        <v>55</v>
      </c>
      <c r="AZ86"/>
      <c r="BA86"/>
      <c r="BB86" s="98" t="s">
        <v>62</v>
      </c>
      <c r="BC86" s="98" t="s">
        <v>63</v>
      </c>
      <c r="BD86" s="98" t="s">
        <v>55</v>
      </c>
      <c r="BE86" s="98" t="s">
        <v>998</v>
      </c>
      <c r="BF86">
        <v>58000000</v>
      </c>
    </row>
    <row r="87" spans="8:58" x14ac:dyDescent="0.3">
      <c r="H87" s="459">
        <v>45570</v>
      </c>
      <c r="I87" s="38" t="s">
        <v>930</v>
      </c>
      <c r="J87" s="38" t="s">
        <v>996</v>
      </c>
      <c r="K87" s="38" t="s">
        <v>987</v>
      </c>
      <c r="L87" s="38" t="s">
        <v>976</v>
      </c>
      <c r="M87" s="38">
        <v>18</v>
      </c>
      <c r="N87" s="38">
        <v>155100000</v>
      </c>
      <c r="O87" s="38" t="s">
        <v>29</v>
      </c>
      <c r="P87" s="38">
        <v>254</v>
      </c>
      <c r="S87"/>
      <c r="T87"/>
      <c r="U87"/>
      <c r="V87"/>
      <c r="W87"/>
      <c r="X87"/>
      <c r="Y87"/>
      <c r="Z87"/>
      <c r="AA87"/>
      <c r="AC87"/>
      <c r="AD87"/>
      <c r="AE87"/>
      <c r="AF87"/>
      <c r="AG87"/>
      <c r="AH87"/>
      <c r="AI87"/>
      <c r="AS87" s="457">
        <v>45570</v>
      </c>
      <c r="AT87" s="98" t="s">
        <v>56</v>
      </c>
      <c r="AU87" s="98" t="s">
        <v>54</v>
      </c>
      <c r="AV87" s="98" t="s">
        <v>996</v>
      </c>
      <c r="AW87" s="98" t="s">
        <v>930</v>
      </c>
      <c r="AX87" s="98">
        <v>18</v>
      </c>
      <c r="AY87" s="98" t="s">
        <v>55</v>
      </c>
      <c r="AZ87" s="98">
        <v>0</v>
      </c>
      <c r="BA87" s="98">
        <v>155100000</v>
      </c>
      <c r="BB87" s="98" t="s">
        <v>29</v>
      </c>
      <c r="BC87" s="98" t="s">
        <v>52</v>
      </c>
      <c r="BD87" s="98" t="s">
        <v>55</v>
      </c>
      <c r="BE87" s="98" t="s">
        <v>998</v>
      </c>
      <c r="BF87">
        <v>50800000</v>
      </c>
    </row>
    <row r="88" spans="8:58" x14ac:dyDescent="0.3">
      <c r="H88" s="459">
        <v>45570</v>
      </c>
      <c r="I88" s="38" t="s">
        <v>930</v>
      </c>
      <c r="J88" s="38"/>
      <c r="K88" s="38"/>
      <c r="L88" s="38"/>
      <c r="M88" s="38"/>
      <c r="N88" s="38"/>
      <c r="O88" s="38" t="s">
        <v>58</v>
      </c>
      <c r="P88" s="38">
        <v>146</v>
      </c>
      <c r="S88"/>
      <c r="T88"/>
      <c r="U88"/>
      <c r="V88"/>
      <c r="W88"/>
      <c r="X88"/>
      <c r="Y88"/>
      <c r="Z88"/>
      <c r="AA88"/>
      <c r="AC88"/>
      <c r="AD88"/>
      <c r="AE88"/>
      <c r="AF88"/>
      <c r="AG88"/>
      <c r="AH88"/>
      <c r="AI88"/>
      <c r="AS88" s="457">
        <v>45570</v>
      </c>
      <c r="AT88" s="98" t="s">
        <v>56</v>
      </c>
      <c r="AU88" s="98" t="s">
        <v>54</v>
      </c>
      <c r="AV88" s="98" t="s">
        <v>996</v>
      </c>
      <c r="AW88" s="98" t="s">
        <v>930</v>
      </c>
      <c r="AX88" s="98">
        <v>18</v>
      </c>
      <c r="AY88" s="98" t="s">
        <v>55</v>
      </c>
      <c r="AZ88"/>
      <c r="BA88"/>
      <c r="BB88" s="98" t="s">
        <v>58</v>
      </c>
      <c r="BC88" s="98" t="s">
        <v>59</v>
      </c>
      <c r="BD88" s="98" t="s">
        <v>55</v>
      </c>
      <c r="BE88" s="98" t="s">
        <v>998</v>
      </c>
      <c r="BF88">
        <v>43800000</v>
      </c>
    </row>
    <row r="89" spans="8:58" x14ac:dyDescent="0.3">
      <c r="H89" s="459">
        <v>45570</v>
      </c>
      <c r="I89" s="38" t="s">
        <v>930</v>
      </c>
      <c r="J89" s="38"/>
      <c r="K89" s="38"/>
      <c r="L89" s="38"/>
      <c r="M89" s="38"/>
      <c r="N89" s="38"/>
      <c r="O89" s="38" t="s">
        <v>62</v>
      </c>
      <c r="P89" s="38">
        <v>121</v>
      </c>
      <c r="S89"/>
      <c r="T89"/>
      <c r="U89"/>
      <c r="V89"/>
      <c r="W89"/>
      <c r="X89"/>
      <c r="Y89"/>
      <c r="Z89"/>
      <c r="AA89"/>
      <c r="AC89"/>
      <c r="AD89"/>
      <c r="AE89"/>
      <c r="AF89"/>
      <c r="AG89"/>
      <c r="AH89"/>
      <c r="AI89"/>
      <c r="AS89" s="457">
        <v>45570</v>
      </c>
      <c r="AT89" s="98" t="s">
        <v>56</v>
      </c>
      <c r="AU89" s="98" t="s">
        <v>54</v>
      </c>
      <c r="AV89" s="98" t="s">
        <v>996</v>
      </c>
      <c r="AW89" s="98" t="s">
        <v>930</v>
      </c>
      <c r="AX89" s="98">
        <v>18</v>
      </c>
      <c r="AY89" s="98" t="s">
        <v>55</v>
      </c>
      <c r="AZ89"/>
      <c r="BA89"/>
      <c r="BB89" s="98" t="s">
        <v>62</v>
      </c>
      <c r="BC89" s="98" t="s">
        <v>63</v>
      </c>
      <c r="BD89" s="98" t="s">
        <v>55</v>
      </c>
      <c r="BE89" s="98" t="s">
        <v>998</v>
      </c>
      <c r="BF89">
        <v>60500000</v>
      </c>
    </row>
    <row r="90" spans="8:58" x14ac:dyDescent="0.3">
      <c r="H90" s="459">
        <v>45580</v>
      </c>
      <c r="I90" s="38" t="s">
        <v>932</v>
      </c>
      <c r="J90" s="38" t="s">
        <v>995</v>
      </c>
      <c r="K90" s="38" t="s">
        <v>989</v>
      </c>
      <c r="L90" s="38" t="s">
        <v>977</v>
      </c>
      <c r="M90" s="38">
        <v>9</v>
      </c>
      <c r="N90" s="38">
        <v>155000000</v>
      </c>
      <c r="O90" s="38" t="s">
        <v>29</v>
      </c>
      <c r="P90" s="38">
        <v>257</v>
      </c>
      <c r="S90"/>
      <c r="T90"/>
      <c r="U90"/>
      <c r="V90"/>
      <c r="W90"/>
      <c r="X90"/>
      <c r="Y90"/>
      <c r="Z90"/>
      <c r="AA90"/>
      <c r="AC90"/>
      <c r="AD90"/>
      <c r="AE90"/>
      <c r="AF90"/>
      <c r="AG90"/>
      <c r="AH90"/>
      <c r="AI90"/>
      <c r="AS90" s="457">
        <v>45580</v>
      </c>
      <c r="AT90" s="98" t="s">
        <v>940</v>
      </c>
      <c r="AU90" s="98" t="s">
        <v>65</v>
      </c>
      <c r="AV90" s="98" t="s">
        <v>995</v>
      </c>
      <c r="AW90" s="98" t="s">
        <v>932</v>
      </c>
      <c r="AX90" s="98">
        <v>9</v>
      </c>
      <c r="AY90" s="98" t="s">
        <v>55</v>
      </c>
      <c r="AZ90" s="98">
        <v>0</v>
      </c>
      <c r="BA90" s="98">
        <v>155000000</v>
      </c>
      <c r="BB90" s="98" t="s">
        <v>29</v>
      </c>
      <c r="BC90" s="98" t="s">
        <v>52</v>
      </c>
      <c r="BD90" s="98" t="s">
        <v>55</v>
      </c>
      <c r="BE90" s="98" t="s">
        <v>998</v>
      </c>
      <c r="BF90">
        <v>51400000</v>
      </c>
    </row>
    <row r="91" spans="8:58" x14ac:dyDescent="0.3">
      <c r="H91" s="459">
        <v>45580</v>
      </c>
      <c r="I91" s="38" t="s">
        <v>932</v>
      </c>
      <c r="J91" s="38"/>
      <c r="K91" s="38"/>
      <c r="L91" s="38"/>
      <c r="M91" s="38"/>
      <c r="N91" s="38"/>
      <c r="O91" s="38" t="s">
        <v>58</v>
      </c>
      <c r="P91" s="38">
        <v>147</v>
      </c>
      <c r="S91"/>
      <c r="T91"/>
      <c r="U91"/>
      <c r="V91"/>
      <c r="W91"/>
      <c r="X91"/>
      <c r="Y91"/>
      <c r="Z91"/>
      <c r="AA91"/>
      <c r="AC91"/>
      <c r="AD91"/>
      <c r="AE91"/>
      <c r="AF91"/>
      <c r="AG91"/>
      <c r="AH91"/>
      <c r="AI91"/>
      <c r="AS91" s="457">
        <v>45580</v>
      </c>
      <c r="AT91" s="98" t="s">
        <v>940</v>
      </c>
      <c r="AU91" s="98" t="s">
        <v>65</v>
      </c>
      <c r="AV91" s="98" t="s">
        <v>995</v>
      </c>
      <c r="AW91" s="98" t="s">
        <v>932</v>
      </c>
      <c r="AX91" s="98">
        <v>9</v>
      </c>
      <c r="AY91" s="98" t="s">
        <v>55</v>
      </c>
      <c r="AZ91"/>
      <c r="BA91"/>
      <c r="BB91" s="98" t="s">
        <v>58</v>
      </c>
      <c r="BC91" s="98" t="s">
        <v>59</v>
      </c>
      <c r="BD91" s="98" t="s">
        <v>55</v>
      </c>
      <c r="BE91" s="98" t="s">
        <v>998</v>
      </c>
      <c r="BF91">
        <v>44100000</v>
      </c>
    </row>
    <row r="92" spans="8:58" x14ac:dyDescent="0.3">
      <c r="H92" s="459">
        <v>45580</v>
      </c>
      <c r="I92" s="38" t="s">
        <v>932</v>
      </c>
      <c r="J92" s="38"/>
      <c r="K92" s="38"/>
      <c r="L92" s="38"/>
      <c r="M92" s="38"/>
      <c r="N92" s="38"/>
      <c r="O92" s="38" t="s">
        <v>62</v>
      </c>
      <c r="P92" s="38">
        <v>119</v>
      </c>
      <c r="S92"/>
      <c r="T92"/>
      <c r="U92"/>
      <c r="V92"/>
      <c r="W92"/>
      <c r="X92"/>
      <c r="Y92"/>
      <c r="Z92"/>
      <c r="AA92"/>
      <c r="AC92"/>
      <c r="AD92"/>
      <c r="AE92"/>
      <c r="AF92"/>
      <c r="AG92"/>
      <c r="AH92"/>
      <c r="AI92"/>
      <c r="AS92" s="457">
        <v>45580</v>
      </c>
      <c r="AT92" s="98" t="s">
        <v>940</v>
      </c>
      <c r="AU92" s="98" t="s">
        <v>65</v>
      </c>
      <c r="AV92" s="98" t="s">
        <v>995</v>
      </c>
      <c r="AW92" s="98" t="s">
        <v>932</v>
      </c>
      <c r="AX92" s="98">
        <v>9</v>
      </c>
      <c r="AY92" s="98" t="s">
        <v>55</v>
      </c>
      <c r="AZ92"/>
      <c r="BA92"/>
      <c r="BB92" s="98" t="s">
        <v>62</v>
      </c>
      <c r="BC92" s="98" t="s">
        <v>63</v>
      </c>
      <c r="BD92" s="98" t="s">
        <v>55</v>
      </c>
      <c r="BE92" s="98" t="s">
        <v>998</v>
      </c>
      <c r="BF92">
        <v>59500000</v>
      </c>
    </row>
    <row r="93" spans="8:58" x14ac:dyDescent="0.3">
      <c r="H93" s="459">
        <v>45590</v>
      </c>
      <c r="I93" s="38" t="s">
        <v>931</v>
      </c>
      <c r="J93" s="38" t="s">
        <v>996</v>
      </c>
      <c r="K93" s="38" t="s">
        <v>988</v>
      </c>
      <c r="L93" s="38" t="s">
        <v>978</v>
      </c>
      <c r="M93" s="38">
        <v>13</v>
      </c>
      <c r="N93" s="38">
        <v>159200000</v>
      </c>
      <c r="O93" s="38" t="s">
        <v>29</v>
      </c>
      <c r="P93" s="38">
        <v>270</v>
      </c>
      <c r="S93"/>
      <c r="T93"/>
      <c r="U93"/>
      <c r="V93"/>
      <c r="W93"/>
      <c r="X93"/>
      <c r="Y93"/>
      <c r="Z93"/>
      <c r="AA93"/>
      <c r="AC93"/>
      <c r="AD93"/>
      <c r="AE93"/>
      <c r="AF93"/>
      <c r="AG93"/>
      <c r="AH93"/>
      <c r="AI93"/>
      <c r="AS93" s="457">
        <v>45590</v>
      </c>
      <c r="AT93" s="98" t="s">
        <v>60</v>
      </c>
      <c r="AU93" s="98" t="s">
        <v>54</v>
      </c>
      <c r="AV93" s="98" t="s">
        <v>996</v>
      </c>
      <c r="AW93" s="98" t="s">
        <v>931</v>
      </c>
      <c r="AX93" s="98">
        <v>13</v>
      </c>
      <c r="AY93" s="98" t="s">
        <v>55</v>
      </c>
      <c r="AZ93" s="98">
        <v>0</v>
      </c>
      <c r="BA93" s="98">
        <v>159200000</v>
      </c>
      <c r="BB93" s="98" t="s">
        <v>29</v>
      </c>
      <c r="BC93" s="98" t="s">
        <v>52</v>
      </c>
      <c r="BD93" s="98" t="s">
        <v>55</v>
      </c>
      <c r="BE93" s="98" t="s">
        <v>998</v>
      </c>
      <c r="BF93">
        <v>54000000</v>
      </c>
    </row>
    <row r="94" spans="8:58" x14ac:dyDescent="0.3">
      <c r="H94" s="459">
        <v>45590</v>
      </c>
      <c r="I94" s="38" t="s">
        <v>931</v>
      </c>
      <c r="J94" s="38"/>
      <c r="K94" s="38"/>
      <c r="L94" s="38"/>
      <c r="M94" s="38"/>
      <c r="N94" s="38"/>
      <c r="O94" s="38" t="s">
        <v>58</v>
      </c>
      <c r="P94" s="38">
        <v>154</v>
      </c>
      <c r="S94"/>
      <c r="T94"/>
      <c r="U94"/>
      <c r="V94"/>
      <c r="W94"/>
      <c r="X94"/>
      <c r="Y94"/>
      <c r="Z94"/>
      <c r="AA94"/>
      <c r="AC94"/>
      <c r="AD94"/>
      <c r="AE94"/>
      <c r="AF94"/>
      <c r="AG94"/>
      <c r="AH94"/>
      <c r="AI94"/>
      <c r="AS94" s="457">
        <v>45590</v>
      </c>
      <c r="AT94" s="98" t="s">
        <v>60</v>
      </c>
      <c r="AU94" s="98" t="s">
        <v>54</v>
      </c>
      <c r="AV94" s="98" t="s">
        <v>996</v>
      </c>
      <c r="AW94" s="98" t="s">
        <v>931</v>
      </c>
      <c r="AX94" s="98">
        <v>13</v>
      </c>
      <c r="AY94" s="98" t="s">
        <v>55</v>
      </c>
      <c r="AZ94"/>
      <c r="BA94"/>
      <c r="BB94" s="98" t="s">
        <v>58</v>
      </c>
      <c r="BC94" s="98" t="s">
        <v>59</v>
      </c>
      <c r="BD94" s="98" t="s">
        <v>55</v>
      </c>
      <c r="BE94" s="98" t="s">
        <v>998</v>
      </c>
      <c r="BF94">
        <v>46200000</v>
      </c>
    </row>
    <row r="95" spans="8:58" x14ac:dyDescent="0.3">
      <c r="H95" s="459">
        <v>45590</v>
      </c>
      <c r="I95" s="38" t="s">
        <v>931</v>
      </c>
      <c r="J95" s="38"/>
      <c r="K95" s="38"/>
      <c r="L95" s="38"/>
      <c r="M95" s="38"/>
      <c r="N95" s="38"/>
      <c r="O95" s="38" t="s">
        <v>62</v>
      </c>
      <c r="P95" s="38">
        <v>118</v>
      </c>
      <c r="S95"/>
      <c r="T95"/>
      <c r="U95"/>
      <c r="V95"/>
      <c r="W95"/>
      <c r="X95"/>
      <c r="Y95"/>
      <c r="Z95"/>
      <c r="AA95"/>
      <c r="AC95"/>
      <c r="AD95"/>
      <c r="AE95"/>
      <c r="AF95"/>
      <c r="AG95"/>
      <c r="AH95"/>
      <c r="AI95"/>
      <c r="AS95" s="457">
        <v>45590</v>
      </c>
      <c r="AT95" s="98" t="s">
        <v>60</v>
      </c>
      <c r="AU95" s="98" t="s">
        <v>54</v>
      </c>
      <c r="AV95" s="98" t="s">
        <v>996</v>
      </c>
      <c r="AW95" s="98" t="s">
        <v>931</v>
      </c>
      <c r="AX95" s="98">
        <v>13</v>
      </c>
      <c r="AY95" s="98" t="s">
        <v>55</v>
      </c>
      <c r="AZ95"/>
      <c r="BA95"/>
      <c r="BB95" s="98" t="s">
        <v>62</v>
      </c>
      <c r="BC95" s="98" t="s">
        <v>63</v>
      </c>
      <c r="BD95" s="98" t="s">
        <v>55</v>
      </c>
      <c r="BE95" s="98" t="s">
        <v>998</v>
      </c>
      <c r="BF95">
        <v>59000000</v>
      </c>
    </row>
    <row r="96" spans="8:58" x14ac:dyDescent="0.3">
      <c r="H96" s="459">
        <v>45601</v>
      </c>
      <c r="I96" s="38" t="s">
        <v>929</v>
      </c>
      <c r="J96" s="38" t="s">
        <v>995</v>
      </c>
      <c r="K96" s="38" t="s">
        <v>986</v>
      </c>
      <c r="L96" s="38" t="s">
        <v>979</v>
      </c>
      <c r="M96" s="38">
        <v>16</v>
      </c>
      <c r="N96" s="38">
        <v>154600000</v>
      </c>
      <c r="O96" s="38" t="s">
        <v>29</v>
      </c>
      <c r="P96" s="38">
        <v>265</v>
      </c>
      <c r="S96"/>
      <c r="T96"/>
      <c r="U96"/>
      <c r="V96"/>
      <c r="W96"/>
      <c r="X96"/>
      <c r="Y96"/>
      <c r="Z96"/>
      <c r="AA96"/>
      <c r="AC96"/>
      <c r="AD96"/>
      <c r="AE96"/>
      <c r="AF96"/>
      <c r="AG96"/>
      <c r="AH96"/>
      <c r="AI96"/>
      <c r="AS96" s="457">
        <v>45601</v>
      </c>
      <c r="AT96" s="98" t="s">
        <v>939</v>
      </c>
      <c r="AU96" s="98" t="s">
        <v>54</v>
      </c>
      <c r="AV96" s="98" t="s">
        <v>995</v>
      </c>
      <c r="AW96" s="98" t="s">
        <v>929</v>
      </c>
      <c r="AX96" s="98">
        <v>16</v>
      </c>
      <c r="AY96" s="98" t="s">
        <v>985</v>
      </c>
      <c r="AZ96" s="98">
        <v>5000000</v>
      </c>
      <c r="BA96" s="98">
        <v>154600000</v>
      </c>
      <c r="BB96" s="98" t="s">
        <v>29</v>
      </c>
      <c r="BC96" s="98" t="s">
        <v>52</v>
      </c>
      <c r="BD96" s="98" t="s">
        <v>55</v>
      </c>
      <c r="BE96" s="98" t="s">
        <v>998</v>
      </c>
      <c r="BF96">
        <v>53000000</v>
      </c>
    </row>
    <row r="97" spans="8:58" x14ac:dyDescent="0.3">
      <c r="H97" s="459">
        <v>45601</v>
      </c>
      <c r="I97" s="38" t="s">
        <v>929</v>
      </c>
      <c r="J97" s="38"/>
      <c r="K97" s="38"/>
      <c r="L97" s="38"/>
      <c r="M97" s="38"/>
      <c r="N97" s="38"/>
      <c r="O97" s="38" t="s">
        <v>58</v>
      </c>
      <c r="P97" s="38">
        <v>162</v>
      </c>
      <c r="S97"/>
      <c r="T97"/>
      <c r="U97"/>
      <c r="V97"/>
      <c r="W97"/>
      <c r="X97"/>
      <c r="Y97"/>
      <c r="Z97"/>
      <c r="AA97"/>
      <c r="AC97"/>
      <c r="AD97"/>
      <c r="AE97"/>
      <c r="AF97"/>
      <c r="AG97"/>
      <c r="AH97"/>
      <c r="AI97"/>
      <c r="AS97" s="457">
        <v>45601</v>
      </c>
      <c r="AT97" s="98" t="s">
        <v>939</v>
      </c>
      <c r="AU97" s="98" t="s">
        <v>54</v>
      </c>
      <c r="AV97" s="98" t="s">
        <v>995</v>
      </c>
      <c r="AW97" s="98" t="s">
        <v>929</v>
      </c>
      <c r="AX97" s="98">
        <v>16</v>
      </c>
      <c r="AY97" s="98" t="s">
        <v>985</v>
      </c>
      <c r="AZ97"/>
      <c r="BA97"/>
      <c r="BB97" s="98" t="s">
        <v>58</v>
      </c>
      <c r="BC97" s="98" t="s">
        <v>59</v>
      </c>
      <c r="BD97" s="98" t="s">
        <v>55</v>
      </c>
      <c r="BE97" s="98" t="s">
        <v>998</v>
      </c>
      <c r="BF97">
        <v>48600000</v>
      </c>
    </row>
    <row r="98" spans="8:58" x14ac:dyDescent="0.3">
      <c r="H98" s="459">
        <v>45601</v>
      </c>
      <c r="I98" s="38" t="s">
        <v>929</v>
      </c>
      <c r="J98" s="38"/>
      <c r="K98" s="38"/>
      <c r="L98" s="38"/>
      <c r="M98" s="38"/>
      <c r="N98" s="38"/>
      <c r="O98" s="38" t="s">
        <v>62</v>
      </c>
      <c r="P98" s="38">
        <v>116</v>
      </c>
      <c r="S98"/>
      <c r="T98"/>
      <c r="U98"/>
      <c r="V98"/>
      <c r="W98"/>
      <c r="X98"/>
      <c r="Y98"/>
      <c r="Z98"/>
      <c r="AA98"/>
      <c r="AC98"/>
      <c r="AD98"/>
      <c r="AE98"/>
      <c r="AF98"/>
      <c r="AG98"/>
      <c r="AH98"/>
      <c r="AI98"/>
      <c r="AS98" s="457">
        <v>45601</v>
      </c>
      <c r="AT98" s="98" t="s">
        <v>939</v>
      </c>
      <c r="AU98" s="98" t="s">
        <v>54</v>
      </c>
      <c r="AV98" s="98" t="s">
        <v>995</v>
      </c>
      <c r="AW98" s="98" t="s">
        <v>929</v>
      </c>
      <c r="AX98" s="98">
        <v>16</v>
      </c>
      <c r="AY98" s="98" t="s">
        <v>985</v>
      </c>
      <c r="AZ98"/>
      <c r="BA98"/>
      <c r="BB98" s="98" t="s">
        <v>62</v>
      </c>
      <c r="BC98" s="98" t="s">
        <v>63</v>
      </c>
      <c r="BD98" s="98" t="s">
        <v>55</v>
      </c>
      <c r="BE98" s="98" t="s">
        <v>998</v>
      </c>
      <c r="BF98">
        <v>58000000</v>
      </c>
    </row>
    <row r="99" spans="8:58" x14ac:dyDescent="0.3">
      <c r="H99" s="459">
        <v>45611</v>
      </c>
      <c r="I99" s="38" t="s">
        <v>931</v>
      </c>
      <c r="J99" s="38" t="s">
        <v>996</v>
      </c>
      <c r="K99" s="38" t="s">
        <v>988</v>
      </c>
      <c r="L99" s="38" t="s">
        <v>980</v>
      </c>
      <c r="M99" s="38">
        <v>14</v>
      </c>
      <c r="N99" s="38">
        <v>160000000</v>
      </c>
      <c r="O99" s="38" t="s">
        <v>29</v>
      </c>
      <c r="P99" s="38">
        <v>278</v>
      </c>
      <c r="S99"/>
      <c r="T99"/>
      <c r="U99"/>
      <c r="V99"/>
      <c r="W99"/>
      <c r="X99"/>
      <c r="Y99"/>
      <c r="Z99"/>
      <c r="AA99"/>
      <c r="AC99"/>
      <c r="AD99"/>
      <c r="AE99"/>
      <c r="AF99"/>
      <c r="AG99"/>
      <c r="AH99"/>
      <c r="AI99"/>
      <c r="AS99" s="457">
        <v>45611</v>
      </c>
      <c r="AT99" s="98" t="s">
        <v>939</v>
      </c>
      <c r="AU99" s="98" t="s">
        <v>54</v>
      </c>
      <c r="AV99" s="98" t="s">
        <v>996</v>
      </c>
      <c r="AW99" s="98" t="s">
        <v>931</v>
      </c>
      <c r="AX99" s="98">
        <v>14</v>
      </c>
      <c r="AY99" s="98" t="s">
        <v>985</v>
      </c>
      <c r="AZ99" s="98">
        <v>5000000</v>
      </c>
      <c r="BA99" s="98">
        <v>160000000</v>
      </c>
      <c r="BB99" s="98" t="s">
        <v>29</v>
      </c>
      <c r="BC99" s="98" t="s">
        <v>52</v>
      </c>
      <c r="BD99" s="98" t="s">
        <v>55</v>
      </c>
      <c r="BE99" s="98" t="s">
        <v>998</v>
      </c>
      <c r="BF99">
        <v>55600000</v>
      </c>
    </row>
    <row r="100" spans="8:58" x14ac:dyDescent="0.3">
      <c r="H100" s="459">
        <v>45611</v>
      </c>
      <c r="I100" s="38" t="s">
        <v>931</v>
      </c>
      <c r="J100" s="38"/>
      <c r="K100" s="38"/>
      <c r="L100" s="38"/>
      <c r="M100" s="38"/>
      <c r="N100" s="38"/>
      <c r="O100" s="38" t="s">
        <v>58</v>
      </c>
      <c r="P100" s="38">
        <v>168</v>
      </c>
      <c r="S100"/>
      <c r="T100"/>
      <c r="U100"/>
      <c r="V100"/>
      <c r="W100"/>
      <c r="X100"/>
      <c r="Y100"/>
      <c r="Z100"/>
      <c r="AA100"/>
      <c r="AC100"/>
      <c r="AD100"/>
      <c r="AE100"/>
      <c r="AF100"/>
      <c r="AG100"/>
      <c r="AH100"/>
      <c r="AI100"/>
      <c r="AS100" s="457">
        <v>45611</v>
      </c>
      <c r="AT100" s="98" t="s">
        <v>939</v>
      </c>
      <c r="AU100" s="98" t="s">
        <v>54</v>
      </c>
      <c r="AV100" s="98" t="s">
        <v>996</v>
      </c>
      <c r="AW100" s="98" t="s">
        <v>931</v>
      </c>
      <c r="AX100" s="98">
        <v>14</v>
      </c>
      <c r="AY100" s="98" t="s">
        <v>985</v>
      </c>
      <c r="AZ100"/>
      <c r="BA100"/>
      <c r="BB100" s="98" t="s">
        <v>58</v>
      </c>
      <c r="BC100" s="98" t="s">
        <v>59</v>
      </c>
      <c r="BD100" s="98" t="s">
        <v>55</v>
      </c>
      <c r="BE100" s="98" t="s">
        <v>998</v>
      </c>
      <c r="BF100">
        <v>50400000</v>
      </c>
    </row>
    <row r="101" spans="8:58" x14ac:dyDescent="0.3">
      <c r="H101" s="459">
        <v>45611</v>
      </c>
      <c r="I101" s="38" t="s">
        <v>931</v>
      </c>
      <c r="J101" s="38"/>
      <c r="K101" s="38"/>
      <c r="L101" s="38"/>
      <c r="M101" s="38"/>
      <c r="N101" s="38"/>
      <c r="O101" s="38" t="s">
        <v>62</v>
      </c>
      <c r="P101" s="38">
        <v>118</v>
      </c>
      <c r="S101"/>
      <c r="T101"/>
      <c r="U101"/>
      <c r="V101"/>
      <c r="W101"/>
      <c r="X101"/>
      <c r="Y101"/>
      <c r="Z101"/>
      <c r="AA101"/>
      <c r="AC101"/>
      <c r="AD101"/>
      <c r="AE101"/>
      <c r="AF101"/>
      <c r="AG101"/>
      <c r="AH101"/>
      <c r="AI101"/>
      <c r="AS101" s="457">
        <v>45611</v>
      </c>
      <c r="AT101" s="98" t="s">
        <v>939</v>
      </c>
      <c r="AU101" s="98" t="s">
        <v>54</v>
      </c>
      <c r="AV101" s="98" t="s">
        <v>996</v>
      </c>
      <c r="AW101" s="98" t="s">
        <v>931</v>
      </c>
      <c r="AX101" s="98">
        <v>14</v>
      </c>
      <c r="AY101" s="98" t="s">
        <v>985</v>
      </c>
      <c r="AZ101"/>
      <c r="BA101"/>
      <c r="BB101" s="98" t="s">
        <v>62</v>
      </c>
      <c r="BC101" s="98" t="s">
        <v>63</v>
      </c>
      <c r="BD101" s="98" t="s">
        <v>55</v>
      </c>
      <c r="BE101" s="98" t="s">
        <v>998</v>
      </c>
      <c r="BF101">
        <v>59000000</v>
      </c>
    </row>
    <row r="102" spans="8:58" x14ac:dyDescent="0.3">
      <c r="H102" s="459">
        <v>45621</v>
      </c>
      <c r="I102" s="38" t="s">
        <v>933</v>
      </c>
      <c r="J102" s="38" t="s">
        <v>996</v>
      </c>
      <c r="K102" s="38" t="s">
        <v>990</v>
      </c>
      <c r="L102" s="38" t="s">
        <v>981</v>
      </c>
      <c r="M102" s="38">
        <v>8</v>
      </c>
      <c r="N102" s="38">
        <v>162600000</v>
      </c>
      <c r="O102" s="38" t="s">
        <v>29</v>
      </c>
      <c r="P102" s="38">
        <v>284</v>
      </c>
      <c r="S102"/>
      <c r="T102"/>
      <c r="U102"/>
      <c r="V102"/>
      <c r="W102"/>
      <c r="X102"/>
      <c r="Y102"/>
      <c r="Z102"/>
      <c r="AA102"/>
      <c r="AC102"/>
      <c r="AD102"/>
      <c r="AE102"/>
      <c r="AF102"/>
      <c r="AG102"/>
      <c r="AH102"/>
      <c r="AI102"/>
      <c r="AS102" s="457">
        <v>45621</v>
      </c>
      <c r="AT102" s="98" t="s">
        <v>941</v>
      </c>
      <c r="AU102" s="98" t="s">
        <v>65</v>
      </c>
      <c r="AV102" s="98" t="s">
        <v>996</v>
      </c>
      <c r="AW102" s="98" t="s">
        <v>933</v>
      </c>
      <c r="AX102" s="98">
        <v>8</v>
      </c>
      <c r="AY102" s="98" t="s">
        <v>985</v>
      </c>
      <c r="AZ102" s="98">
        <v>5000000</v>
      </c>
      <c r="BA102" s="98">
        <v>162600000</v>
      </c>
      <c r="BB102" s="98" t="s">
        <v>29</v>
      </c>
      <c r="BC102" s="98" t="s">
        <v>52</v>
      </c>
      <c r="BD102" s="98" t="s">
        <v>55</v>
      </c>
      <c r="BE102" s="98" t="s">
        <v>998</v>
      </c>
      <c r="BF102">
        <v>56800000</v>
      </c>
    </row>
    <row r="103" spans="8:58" x14ac:dyDescent="0.3">
      <c r="H103" s="459">
        <v>45621</v>
      </c>
      <c r="I103" s="38" t="s">
        <v>933</v>
      </c>
      <c r="J103" s="38"/>
      <c r="K103" s="38"/>
      <c r="L103" s="38"/>
      <c r="M103" s="38"/>
      <c r="N103" s="38"/>
      <c r="O103" s="38" t="s">
        <v>58</v>
      </c>
      <c r="P103" s="38">
        <v>171</v>
      </c>
      <c r="S103"/>
      <c r="T103"/>
      <c r="U103"/>
      <c r="V103"/>
      <c r="W103"/>
      <c r="X103"/>
      <c r="Y103"/>
      <c r="Z103"/>
      <c r="AA103"/>
      <c r="AC103"/>
      <c r="AD103"/>
      <c r="AE103"/>
      <c r="AF103"/>
      <c r="AG103"/>
      <c r="AH103"/>
      <c r="AI103"/>
      <c r="AS103" s="457">
        <v>45621</v>
      </c>
      <c r="AT103" s="98" t="s">
        <v>941</v>
      </c>
      <c r="AU103" s="98" t="s">
        <v>65</v>
      </c>
      <c r="AV103" s="98" t="s">
        <v>996</v>
      </c>
      <c r="AW103" s="98" t="s">
        <v>933</v>
      </c>
      <c r="AX103" s="98">
        <v>8</v>
      </c>
      <c r="AY103" s="98" t="s">
        <v>985</v>
      </c>
      <c r="AZ103"/>
      <c r="BA103"/>
      <c r="BB103" s="98" t="s">
        <v>58</v>
      </c>
      <c r="BC103" s="98" t="s">
        <v>59</v>
      </c>
      <c r="BD103" s="98" t="s">
        <v>55</v>
      </c>
      <c r="BE103" s="98" t="s">
        <v>998</v>
      </c>
      <c r="BF103">
        <v>51300000</v>
      </c>
    </row>
    <row r="104" spans="8:58" x14ac:dyDescent="0.3">
      <c r="H104" s="459">
        <v>45621</v>
      </c>
      <c r="I104" s="38" t="s">
        <v>933</v>
      </c>
      <c r="J104" s="38"/>
      <c r="K104" s="38"/>
      <c r="L104" s="38"/>
      <c r="M104" s="38"/>
      <c r="N104" s="38"/>
      <c r="O104" s="38" t="s">
        <v>62</v>
      </c>
      <c r="P104" s="38">
        <v>119</v>
      </c>
      <c r="S104"/>
      <c r="T104"/>
      <c r="U104"/>
      <c r="V104"/>
      <c r="W104"/>
      <c r="X104"/>
      <c r="Y104"/>
      <c r="Z104"/>
      <c r="AA104"/>
      <c r="AC104"/>
      <c r="AD104"/>
      <c r="AE104"/>
      <c r="AF104"/>
      <c r="AG104"/>
      <c r="AH104"/>
      <c r="AI104"/>
      <c r="AS104" s="457">
        <v>45621</v>
      </c>
      <c r="AT104" s="98" t="s">
        <v>941</v>
      </c>
      <c r="AU104" s="98" t="s">
        <v>65</v>
      </c>
      <c r="AV104" s="98" t="s">
        <v>996</v>
      </c>
      <c r="AW104" s="98" t="s">
        <v>933</v>
      </c>
      <c r="AX104" s="98">
        <v>8</v>
      </c>
      <c r="AY104" s="98" t="s">
        <v>985</v>
      </c>
      <c r="AZ104"/>
      <c r="BA104"/>
      <c r="BB104" s="98" t="s">
        <v>62</v>
      </c>
      <c r="BC104" s="98" t="s">
        <v>63</v>
      </c>
      <c r="BD104" s="98" t="s">
        <v>55</v>
      </c>
      <c r="BE104" s="98" t="s">
        <v>998</v>
      </c>
      <c r="BF104">
        <v>59500000</v>
      </c>
    </row>
    <row r="105" spans="8:58" x14ac:dyDescent="0.3">
      <c r="H105" s="459">
        <v>45631</v>
      </c>
      <c r="I105" s="38" t="s">
        <v>934</v>
      </c>
      <c r="J105" s="38" t="s">
        <v>995</v>
      </c>
      <c r="K105" s="38" t="s">
        <v>991</v>
      </c>
      <c r="L105" s="38" t="s">
        <v>982</v>
      </c>
      <c r="M105" s="38">
        <v>4</v>
      </c>
      <c r="N105" s="38">
        <v>162900000</v>
      </c>
      <c r="O105" s="38" t="s">
        <v>29</v>
      </c>
      <c r="P105" s="38">
        <v>281</v>
      </c>
      <c r="S105"/>
      <c r="T105"/>
      <c r="U105"/>
      <c r="V105"/>
      <c r="W105"/>
      <c r="X105"/>
      <c r="Y105"/>
      <c r="Z105"/>
      <c r="AA105"/>
      <c r="AC105"/>
      <c r="AD105"/>
      <c r="AE105"/>
      <c r="AF105"/>
      <c r="AG105"/>
      <c r="AH105"/>
      <c r="AI105"/>
      <c r="AS105" s="457">
        <v>45631</v>
      </c>
      <c r="AT105" s="98" t="s">
        <v>56</v>
      </c>
      <c r="AU105" s="98" t="s">
        <v>54</v>
      </c>
      <c r="AV105" s="98" t="s">
        <v>995</v>
      </c>
      <c r="AW105" s="98" t="s">
        <v>934</v>
      </c>
      <c r="AX105" s="98">
        <v>4</v>
      </c>
      <c r="AY105" s="98" t="s">
        <v>985</v>
      </c>
      <c r="AZ105" s="98">
        <v>5000000</v>
      </c>
      <c r="BA105" s="98">
        <v>162900000</v>
      </c>
      <c r="BB105" s="98" t="s">
        <v>29</v>
      </c>
      <c r="BC105" s="98" t="s">
        <v>52</v>
      </c>
      <c r="BD105" s="98" t="s">
        <v>55</v>
      </c>
      <c r="BE105" s="98" t="s">
        <v>998</v>
      </c>
      <c r="BF105">
        <v>56200000</v>
      </c>
    </row>
    <row r="106" spans="8:58" x14ac:dyDescent="0.3">
      <c r="H106" s="459">
        <v>45631</v>
      </c>
      <c r="I106" s="38" t="s">
        <v>934</v>
      </c>
      <c r="J106" s="38"/>
      <c r="K106" s="38"/>
      <c r="L106" s="38"/>
      <c r="M106" s="38"/>
      <c r="N106" s="38"/>
      <c r="O106" s="38" t="s">
        <v>58</v>
      </c>
      <c r="P106" s="38">
        <v>174</v>
      </c>
      <c r="S106"/>
      <c r="T106"/>
      <c r="U106"/>
      <c r="V106"/>
      <c r="W106"/>
      <c r="X106"/>
      <c r="Y106"/>
      <c r="Z106"/>
      <c r="AA106"/>
      <c r="AC106"/>
      <c r="AD106"/>
      <c r="AE106"/>
      <c r="AF106"/>
      <c r="AG106"/>
      <c r="AH106"/>
      <c r="AI106"/>
      <c r="AS106" s="457">
        <v>45631</v>
      </c>
      <c r="AT106" s="98" t="s">
        <v>56</v>
      </c>
      <c r="AU106" s="98" t="s">
        <v>54</v>
      </c>
      <c r="AV106" s="98" t="s">
        <v>995</v>
      </c>
      <c r="AW106" s="98" t="s">
        <v>934</v>
      </c>
      <c r="AX106" s="98">
        <v>4</v>
      </c>
      <c r="AY106" s="98" t="s">
        <v>985</v>
      </c>
      <c r="AZ106"/>
      <c r="BA106"/>
      <c r="BB106" s="98" t="s">
        <v>58</v>
      </c>
      <c r="BC106" s="98" t="s">
        <v>59</v>
      </c>
      <c r="BD106" s="98" t="s">
        <v>55</v>
      </c>
      <c r="BE106" s="98" t="s">
        <v>998</v>
      </c>
      <c r="BF106">
        <v>52200000</v>
      </c>
    </row>
    <row r="107" spans="8:58" x14ac:dyDescent="0.3">
      <c r="H107" s="459">
        <v>45631</v>
      </c>
      <c r="I107" s="38" t="s">
        <v>934</v>
      </c>
      <c r="J107" s="38"/>
      <c r="K107" s="38"/>
      <c r="L107" s="38"/>
      <c r="M107" s="38"/>
      <c r="N107" s="38"/>
      <c r="O107" s="38" t="s">
        <v>62</v>
      </c>
      <c r="P107" s="38">
        <v>119</v>
      </c>
      <c r="S107"/>
      <c r="T107"/>
      <c r="U107"/>
      <c r="V107"/>
      <c r="W107"/>
      <c r="X107"/>
      <c r="Y107"/>
      <c r="Z107"/>
      <c r="AA107"/>
      <c r="AC107"/>
      <c r="AD107"/>
      <c r="AE107"/>
      <c r="AF107"/>
      <c r="AG107"/>
      <c r="AH107"/>
      <c r="AI107"/>
      <c r="AS107" s="457">
        <v>45631</v>
      </c>
      <c r="AT107" s="98" t="s">
        <v>56</v>
      </c>
      <c r="AU107" s="98" t="s">
        <v>54</v>
      </c>
      <c r="AV107" s="98" t="s">
        <v>995</v>
      </c>
      <c r="AW107" s="98" t="s">
        <v>934</v>
      </c>
      <c r="AX107" s="98">
        <v>4</v>
      </c>
      <c r="AY107" s="98" t="s">
        <v>985</v>
      </c>
      <c r="AZ107"/>
      <c r="BA107"/>
      <c r="BB107" s="98" t="s">
        <v>62</v>
      </c>
      <c r="BC107" s="98" t="s">
        <v>63</v>
      </c>
      <c r="BD107" s="98" t="s">
        <v>55</v>
      </c>
      <c r="BE107" s="98" t="s">
        <v>998</v>
      </c>
      <c r="BF107">
        <v>59500000</v>
      </c>
    </row>
    <row r="108" spans="8:58" x14ac:dyDescent="0.3">
      <c r="H108" s="459">
        <v>45641</v>
      </c>
      <c r="I108" s="38" t="s">
        <v>930</v>
      </c>
      <c r="J108" s="38" t="s">
        <v>996</v>
      </c>
      <c r="K108" s="38" t="s">
        <v>987</v>
      </c>
      <c r="L108" s="38" t="s">
        <v>983</v>
      </c>
      <c r="M108" s="38">
        <v>19</v>
      </c>
      <c r="N108" s="38">
        <v>164900000</v>
      </c>
      <c r="O108" s="38" t="s">
        <v>29</v>
      </c>
      <c r="P108" s="38">
        <v>289</v>
      </c>
      <c r="S108"/>
      <c r="T108"/>
      <c r="U108"/>
      <c r="V108"/>
      <c r="W108"/>
      <c r="X108"/>
      <c r="Y108"/>
      <c r="Z108"/>
      <c r="AA108"/>
      <c r="AC108"/>
      <c r="AD108"/>
      <c r="AE108"/>
      <c r="AF108"/>
      <c r="AG108"/>
      <c r="AH108"/>
      <c r="AI108"/>
      <c r="AS108" s="457">
        <v>45641</v>
      </c>
      <c r="AT108" s="98" t="s">
        <v>940</v>
      </c>
      <c r="AU108" s="98" t="s">
        <v>65</v>
      </c>
      <c r="AV108" s="98" t="s">
        <v>996</v>
      </c>
      <c r="AW108" s="98" t="s">
        <v>930</v>
      </c>
      <c r="AX108" s="98">
        <v>19</v>
      </c>
      <c r="AY108" s="98" t="s">
        <v>985</v>
      </c>
      <c r="AZ108" s="98">
        <v>5000000</v>
      </c>
      <c r="BA108" s="98">
        <v>164900000</v>
      </c>
      <c r="BB108" s="98" t="s">
        <v>29</v>
      </c>
      <c r="BC108" s="98" t="s">
        <v>52</v>
      </c>
      <c r="BD108" s="98" t="s">
        <v>55</v>
      </c>
      <c r="BE108" s="98" t="s">
        <v>998</v>
      </c>
      <c r="BF108">
        <v>57800000</v>
      </c>
    </row>
    <row r="109" spans="8:58" x14ac:dyDescent="0.3">
      <c r="H109" s="459">
        <v>45641</v>
      </c>
      <c r="I109" s="38" t="s">
        <v>930</v>
      </c>
      <c r="J109" s="38"/>
      <c r="K109" s="38"/>
      <c r="L109" s="38"/>
      <c r="M109" s="38"/>
      <c r="N109" s="38"/>
      <c r="O109" s="38" t="s">
        <v>58</v>
      </c>
      <c r="P109" s="38">
        <v>177</v>
      </c>
      <c r="S109"/>
      <c r="T109"/>
      <c r="U109"/>
      <c r="V109"/>
      <c r="W109"/>
      <c r="X109"/>
      <c r="Y109"/>
      <c r="Z109"/>
      <c r="AA109"/>
      <c r="AC109"/>
      <c r="AD109"/>
      <c r="AE109"/>
      <c r="AF109"/>
      <c r="AG109"/>
      <c r="AH109"/>
      <c r="AI109"/>
      <c r="AS109" s="457">
        <v>45641</v>
      </c>
      <c r="AT109" s="98" t="s">
        <v>940</v>
      </c>
      <c r="AU109" s="98" t="s">
        <v>65</v>
      </c>
      <c r="AV109" s="98" t="s">
        <v>996</v>
      </c>
      <c r="AW109" s="98" t="s">
        <v>930</v>
      </c>
      <c r="AX109" s="98">
        <v>19</v>
      </c>
      <c r="AY109" s="98" t="s">
        <v>985</v>
      </c>
      <c r="AZ109"/>
      <c r="BA109"/>
      <c r="BB109" s="98" t="s">
        <v>58</v>
      </c>
      <c r="BC109" s="98" t="s">
        <v>59</v>
      </c>
      <c r="BD109" s="98" t="s">
        <v>55</v>
      </c>
      <c r="BE109" s="98" t="s">
        <v>998</v>
      </c>
      <c r="BF109">
        <v>53100000</v>
      </c>
    </row>
    <row r="110" spans="8:58" x14ac:dyDescent="0.3">
      <c r="H110" s="459">
        <v>45641</v>
      </c>
      <c r="I110" s="38" t="s">
        <v>930</v>
      </c>
      <c r="J110" s="38"/>
      <c r="K110" s="38"/>
      <c r="L110" s="38"/>
      <c r="M110" s="38"/>
      <c r="N110" s="38"/>
      <c r="O110" s="38" t="s">
        <v>62</v>
      </c>
      <c r="P110" s="38">
        <v>118</v>
      </c>
      <c r="S110"/>
      <c r="T110"/>
      <c r="U110"/>
      <c r="V110"/>
      <c r="W110"/>
      <c r="X110"/>
      <c r="Y110"/>
      <c r="Z110"/>
      <c r="AA110"/>
      <c r="AC110"/>
      <c r="AD110"/>
      <c r="AE110"/>
      <c r="AF110"/>
      <c r="AG110"/>
      <c r="AH110"/>
      <c r="AI110"/>
      <c r="AS110" s="457">
        <v>45641</v>
      </c>
      <c r="AT110" s="98" t="s">
        <v>940</v>
      </c>
      <c r="AU110" s="98" t="s">
        <v>65</v>
      </c>
      <c r="AV110" s="98" t="s">
        <v>996</v>
      </c>
      <c r="AW110" s="98" t="s">
        <v>930</v>
      </c>
      <c r="AX110" s="98">
        <v>19</v>
      </c>
      <c r="AY110" s="98" t="s">
        <v>985</v>
      </c>
      <c r="AZ110"/>
      <c r="BA110"/>
      <c r="BB110" s="98" t="s">
        <v>62</v>
      </c>
      <c r="BC110" s="98" t="s">
        <v>63</v>
      </c>
      <c r="BD110" s="98" t="s">
        <v>55</v>
      </c>
      <c r="BE110" s="98" t="s">
        <v>998</v>
      </c>
      <c r="BF110">
        <v>59000000</v>
      </c>
    </row>
    <row r="111" spans="8:58" x14ac:dyDescent="0.3">
      <c r="H111" s="459">
        <v>45651</v>
      </c>
      <c r="I111" s="38" t="s">
        <v>935</v>
      </c>
      <c r="J111" s="38" t="s">
        <v>996</v>
      </c>
      <c r="K111" s="38" t="s">
        <v>992</v>
      </c>
      <c r="L111" s="38" t="s">
        <v>984</v>
      </c>
      <c r="M111" s="38">
        <v>2</v>
      </c>
      <c r="N111" s="38">
        <v>168000000</v>
      </c>
      <c r="O111" s="38" t="s">
        <v>29</v>
      </c>
      <c r="P111" s="38">
        <v>292</v>
      </c>
      <c r="S111"/>
      <c r="T111"/>
      <c r="U111"/>
      <c r="V111"/>
      <c r="W111"/>
      <c r="X111"/>
      <c r="Y111"/>
      <c r="Z111"/>
      <c r="AA111"/>
      <c r="AC111"/>
      <c r="AD111"/>
      <c r="AE111"/>
      <c r="AF111"/>
      <c r="AG111"/>
      <c r="AH111"/>
      <c r="AI111"/>
      <c r="AS111" s="457">
        <v>45651</v>
      </c>
      <c r="AT111" s="98" t="s">
        <v>939</v>
      </c>
      <c r="AU111" s="98" t="s">
        <v>54</v>
      </c>
      <c r="AV111" s="98" t="s">
        <v>996</v>
      </c>
      <c r="AW111" s="98" t="s">
        <v>935</v>
      </c>
      <c r="AX111" s="98">
        <v>2</v>
      </c>
      <c r="AY111" s="98" t="s">
        <v>985</v>
      </c>
      <c r="AZ111" s="98">
        <v>5000000</v>
      </c>
      <c r="BA111" s="98">
        <v>168000000</v>
      </c>
      <c r="BB111" s="98" t="s">
        <v>29</v>
      </c>
      <c r="BC111" s="98" t="s">
        <v>52</v>
      </c>
      <c r="BD111" s="98" t="s">
        <v>55</v>
      </c>
      <c r="BE111" s="98" t="s">
        <v>998</v>
      </c>
      <c r="BF111">
        <v>58400000</v>
      </c>
    </row>
    <row r="112" spans="8:58" x14ac:dyDescent="0.3">
      <c r="H112" s="459">
        <v>45651</v>
      </c>
      <c r="I112" s="38" t="s">
        <v>935</v>
      </c>
      <c r="J112" s="38"/>
      <c r="K112" s="38"/>
      <c r="L112" s="38"/>
      <c r="M112" s="38"/>
      <c r="N112" s="38"/>
      <c r="O112" s="38" t="s">
        <v>58</v>
      </c>
      <c r="P112" s="38">
        <v>182</v>
      </c>
      <c r="S112"/>
      <c r="T112"/>
      <c r="U112"/>
      <c r="V112"/>
      <c r="W112"/>
      <c r="X112"/>
      <c r="Y112"/>
      <c r="Z112"/>
      <c r="AA112"/>
      <c r="AC112"/>
      <c r="AD112"/>
      <c r="AE112"/>
      <c r="AF112"/>
      <c r="AG112"/>
      <c r="AH112"/>
      <c r="AI112"/>
      <c r="AS112" s="457">
        <v>45651</v>
      </c>
      <c r="AT112" s="98" t="s">
        <v>939</v>
      </c>
      <c r="AU112" s="98" t="s">
        <v>54</v>
      </c>
      <c r="AV112" s="98" t="s">
        <v>996</v>
      </c>
      <c r="AW112" s="98" t="s">
        <v>935</v>
      </c>
      <c r="AX112" s="98">
        <v>2</v>
      </c>
      <c r="AY112" s="98" t="s">
        <v>985</v>
      </c>
      <c r="AZ112"/>
      <c r="BA112"/>
      <c r="BB112" s="98" t="s">
        <v>58</v>
      </c>
      <c r="BC112" s="98" t="s">
        <v>59</v>
      </c>
      <c r="BD112" s="98" t="s">
        <v>55</v>
      </c>
      <c r="BE112" s="98" t="s">
        <v>998</v>
      </c>
      <c r="BF112">
        <v>54600000</v>
      </c>
    </row>
    <row r="113" spans="8:58" x14ac:dyDescent="0.3">
      <c r="H113" s="459">
        <v>45651</v>
      </c>
      <c r="I113" s="38" t="s">
        <v>935</v>
      </c>
      <c r="J113" s="38"/>
      <c r="K113" s="38"/>
      <c r="L113" s="38"/>
      <c r="M113" s="38"/>
      <c r="N113" s="38"/>
      <c r="O113" s="38" t="s">
        <v>62</v>
      </c>
      <c r="P113" s="38">
        <v>120</v>
      </c>
      <c r="S113"/>
      <c r="T113"/>
      <c r="U113"/>
      <c r="V113"/>
      <c r="W113"/>
      <c r="X113"/>
      <c r="Y113"/>
      <c r="Z113"/>
      <c r="AA113"/>
      <c r="AC113"/>
      <c r="AD113"/>
      <c r="AE113"/>
      <c r="AF113"/>
      <c r="AG113"/>
      <c r="AH113"/>
      <c r="AI113"/>
      <c r="AS113" s="457">
        <v>45651</v>
      </c>
      <c r="AT113" s="98" t="s">
        <v>939</v>
      </c>
      <c r="AU113" s="98" t="s">
        <v>54</v>
      </c>
      <c r="AV113" s="98" t="s">
        <v>996</v>
      </c>
      <c r="AW113" s="98" t="s">
        <v>935</v>
      </c>
      <c r="AX113" s="98">
        <v>2</v>
      </c>
      <c r="AY113" s="98" t="s">
        <v>985</v>
      </c>
      <c r="AZ113"/>
      <c r="BA113"/>
      <c r="BB113" s="98" t="s">
        <v>62</v>
      </c>
      <c r="BC113" s="98" t="s">
        <v>63</v>
      </c>
      <c r="BD113" s="98" t="s">
        <v>55</v>
      </c>
      <c r="BE113" s="98" t="s">
        <v>998</v>
      </c>
      <c r="BF113">
        <v>60000000</v>
      </c>
    </row>
    <row r="114" spans="8:58" x14ac:dyDescent="0.3">
      <c r="H114"/>
      <c r="I114"/>
      <c r="J114"/>
      <c r="K114"/>
      <c r="L114"/>
      <c r="M114"/>
      <c r="N114"/>
      <c r="O114"/>
      <c r="P114"/>
      <c r="S114" s="38"/>
      <c r="T114" s="38"/>
      <c r="U114" s="38"/>
      <c r="V114" s="38"/>
      <c r="W114" s="38"/>
      <c r="X114" s="38"/>
      <c r="Y114" s="38"/>
      <c r="Z114" s="38"/>
      <c r="AA114" s="38"/>
      <c r="AC114"/>
      <c r="AD114"/>
      <c r="AE114"/>
      <c r="AF114"/>
      <c r="AG114"/>
      <c r="AH114"/>
      <c r="AI114"/>
      <c r="AS114"/>
      <c r="AT114"/>
      <c r="AU114"/>
      <c r="AV114"/>
      <c r="AW114"/>
      <c r="AX114"/>
      <c r="AY114"/>
      <c r="AZ114"/>
      <c r="BA114"/>
      <c r="BB114"/>
      <c r="BC114"/>
      <c r="BD114"/>
      <c r="BE114"/>
      <c r="BF114"/>
    </row>
    <row r="115" spans="8:58" x14ac:dyDescent="0.3">
      <c r="H115"/>
      <c r="I115"/>
      <c r="J115"/>
      <c r="K115"/>
      <c r="L115"/>
      <c r="M115"/>
      <c r="N115"/>
      <c r="O115"/>
      <c r="P115"/>
      <c r="S115" s="38"/>
      <c r="T115" s="38"/>
      <c r="U115" s="38"/>
      <c r="V115" s="38"/>
      <c r="W115" s="38"/>
      <c r="X115" s="38"/>
      <c r="Y115" s="38"/>
      <c r="Z115" s="38"/>
      <c r="AA115" s="38"/>
      <c r="AC115"/>
      <c r="AD115"/>
      <c r="AE115"/>
      <c r="AF115"/>
      <c r="AG115"/>
      <c r="AH115"/>
      <c r="AI115"/>
      <c r="AS115"/>
      <c r="AT115"/>
      <c r="AU115"/>
      <c r="AV115"/>
      <c r="AW115"/>
      <c r="AX115"/>
      <c r="AY115"/>
      <c r="AZ115"/>
      <c r="BA115"/>
      <c r="BB115"/>
      <c r="BC115"/>
      <c r="BD115"/>
      <c r="BE115"/>
      <c r="BF115"/>
    </row>
    <row r="116" spans="8:58" x14ac:dyDescent="0.3">
      <c r="H116"/>
      <c r="I116"/>
      <c r="J116"/>
      <c r="K116"/>
      <c r="L116"/>
      <c r="M116"/>
      <c r="N116"/>
      <c r="O116"/>
      <c r="P116"/>
      <c r="S116" s="38"/>
      <c r="T116" s="38"/>
      <c r="U116" s="38"/>
      <c r="V116" s="38"/>
      <c r="W116" s="38"/>
      <c r="X116" s="38"/>
      <c r="Y116" s="38"/>
      <c r="Z116" s="38"/>
      <c r="AA116" s="38"/>
      <c r="AC116"/>
      <c r="AD116"/>
      <c r="AE116"/>
      <c r="AF116"/>
      <c r="AG116"/>
      <c r="AH116"/>
      <c r="AI116"/>
      <c r="AS116"/>
      <c r="AT116"/>
      <c r="AU116"/>
      <c r="AV116"/>
      <c r="AW116"/>
      <c r="AX116"/>
      <c r="AY116"/>
      <c r="AZ116"/>
      <c r="BA116"/>
      <c r="BB116"/>
      <c r="BC116"/>
      <c r="BD116"/>
      <c r="BE116"/>
      <c r="BF116"/>
    </row>
    <row r="117" spans="8:58" x14ac:dyDescent="0.3">
      <c r="H117"/>
      <c r="I117"/>
      <c r="J117"/>
      <c r="K117"/>
      <c r="L117"/>
      <c r="M117"/>
      <c r="N117"/>
      <c r="O117"/>
      <c r="P117"/>
      <c r="S117" s="38"/>
      <c r="T117" s="38"/>
      <c r="U117" s="38"/>
      <c r="V117" s="38"/>
      <c r="W117" s="38"/>
      <c r="X117" s="38"/>
      <c r="Y117" s="38"/>
      <c r="Z117" s="38"/>
      <c r="AA117" s="38"/>
      <c r="AC117"/>
      <c r="AD117"/>
      <c r="AE117"/>
      <c r="AF117"/>
      <c r="AG117"/>
      <c r="AH117"/>
      <c r="AI117"/>
      <c r="AS117"/>
      <c r="AT117"/>
      <c r="AU117"/>
      <c r="AV117"/>
      <c r="AW117"/>
      <c r="AX117"/>
      <c r="AY117"/>
      <c r="AZ117"/>
      <c r="BA117"/>
      <c r="BB117"/>
      <c r="BC117"/>
      <c r="BD117"/>
      <c r="BE117"/>
      <c r="BF117"/>
    </row>
    <row r="118" spans="8:58" x14ac:dyDescent="0.3">
      <c r="H118"/>
      <c r="I118"/>
      <c r="J118"/>
      <c r="K118"/>
      <c r="L118"/>
      <c r="M118"/>
      <c r="N118"/>
      <c r="O118"/>
      <c r="P118"/>
      <c r="S118" s="38"/>
      <c r="T118" s="38"/>
      <c r="U118" s="38"/>
      <c r="V118" s="38"/>
      <c r="W118" s="38"/>
      <c r="X118" s="38"/>
      <c r="Y118" s="38"/>
      <c r="Z118" s="38"/>
      <c r="AA118" s="38"/>
      <c r="AC118"/>
      <c r="AD118"/>
      <c r="AE118"/>
      <c r="AF118"/>
      <c r="AG118"/>
      <c r="AH118"/>
      <c r="AI118"/>
      <c r="AS118"/>
      <c r="AT118"/>
      <c r="AU118"/>
      <c r="AV118"/>
      <c r="AW118"/>
      <c r="AX118"/>
      <c r="AY118"/>
      <c r="AZ118"/>
      <c r="BA118"/>
      <c r="BB118"/>
      <c r="BC118"/>
      <c r="BD118"/>
      <c r="BE118"/>
      <c r="BF118"/>
    </row>
    <row r="119" spans="8:58" x14ac:dyDescent="0.3">
      <c r="H119"/>
      <c r="I119"/>
      <c r="J119"/>
      <c r="K119"/>
      <c r="L119"/>
      <c r="M119"/>
      <c r="N119"/>
      <c r="O119"/>
      <c r="P119"/>
      <c r="S119" s="38"/>
      <c r="T119" s="38"/>
      <c r="U119" s="38"/>
      <c r="V119" s="38"/>
      <c r="W119" s="38"/>
      <c r="X119" s="38"/>
      <c r="Y119" s="38"/>
      <c r="Z119" s="38"/>
      <c r="AA119" s="38"/>
      <c r="AC119"/>
      <c r="AD119"/>
      <c r="AE119"/>
      <c r="AF119"/>
      <c r="AG119"/>
      <c r="AH119"/>
      <c r="AI119"/>
      <c r="AS119"/>
      <c r="AT119"/>
      <c r="AU119"/>
      <c r="AV119"/>
      <c r="AW119"/>
      <c r="AX119"/>
      <c r="AY119"/>
      <c r="AZ119"/>
      <c r="BA119"/>
      <c r="BB119"/>
      <c r="BC119"/>
      <c r="BD119"/>
      <c r="BE119"/>
      <c r="BF119"/>
    </row>
    <row r="120" spans="8:58" x14ac:dyDescent="0.3">
      <c r="H120"/>
      <c r="I120"/>
      <c r="J120"/>
      <c r="K120"/>
      <c r="L120"/>
      <c r="M120"/>
      <c r="N120"/>
      <c r="O120"/>
      <c r="P120"/>
      <c r="S120" s="38"/>
      <c r="T120" s="38"/>
      <c r="U120" s="38"/>
      <c r="V120" s="38"/>
      <c r="W120" s="38"/>
      <c r="X120" s="38"/>
      <c r="Y120" s="38"/>
      <c r="Z120" s="38"/>
      <c r="AA120" s="38"/>
      <c r="AC120"/>
      <c r="AD120"/>
      <c r="AE120"/>
      <c r="AF120"/>
      <c r="AG120"/>
      <c r="AH120"/>
      <c r="AI120"/>
      <c r="AS120"/>
      <c r="AT120"/>
      <c r="AU120"/>
      <c r="AV120"/>
      <c r="AW120"/>
      <c r="AX120"/>
      <c r="AY120"/>
      <c r="AZ120"/>
      <c r="BA120"/>
      <c r="BB120"/>
      <c r="BC120"/>
      <c r="BD120"/>
      <c r="BE120"/>
      <c r="BF120"/>
    </row>
    <row r="121" spans="8:58" x14ac:dyDescent="0.3">
      <c r="H121"/>
      <c r="I121"/>
      <c r="J121"/>
      <c r="K121"/>
      <c r="L121"/>
      <c r="M121"/>
      <c r="N121"/>
      <c r="O121"/>
      <c r="P121"/>
      <c r="S121" s="38"/>
      <c r="T121" s="38"/>
      <c r="U121" s="38"/>
      <c r="V121" s="38"/>
      <c r="W121" s="38"/>
      <c r="X121" s="38"/>
      <c r="Y121" s="38"/>
      <c r="Z121" s="38"/>
      <c r="AA121" s="38"/>
      <c r="AC121"/>
      <c r="AD121"/>
      <c r="AE121"/>
      <c r="AF121"/>
      <c r="AG121"/>
      <c r="AH121"/>
      <c r="AI121"/>
      <c r="AS121"/>
      <c r="AT121"/>
      <c r="AU121"/>
      <c r="AV121"/>
      <c r="AW121"/>
      <c r="AX121"/>
      <c r="AY121"/>
      <c r="AZ121"/>
      <c r="BA121"/>
      <c r="BB121"/>
      <c r="BC121"/>
      <c r="BD121"/>
      <c r="BE121"/>
      <c r="BF121"/>
    </row>
    <row r="122" spans="8:58" x14ac:dyDescent="0.3">
      <c r="H122"/>
      <c r="I122"/>
      <c r="J122"/>
      <c r="K122"/>
      <c r="L122"/>
      <c r="M122"/>
      <c r="N122"/>
      <c r="O122"/>
      <c r="P122"/>
      <c r="S122" s="38"/>
      <c r="T122" s="38"/>
      <c r="U122" s="38"/>
      <c r="V122" s="38"/>
      <c r="W122" s="38"/>
      <c r="X122" s="38"/>
      <c r="Y122" s="38"/>
      <c r="Z122" s="38"/>
      <c r="AA122" s="38"/>
      <c r="AC122"/>
      <c r="AD122"/>
      <c r="AE122"/>
      <c r="AF122"/>
      <c r="AG122"/>
      <c r="AH122"/>
      <c r="AI122"/>
      <c r="AS122"/>
      <c r="AT122"/>
      <c r="AU122"/>
      <c r="AV122"/>
      <c r="AW122"/>
      <c r="AX122"/>
      <c r="AY122"/>
      <c r="AZ122"/>
      <c r="BA122"/>
      <c r="BB122"/>
      <c r="BC122"/>
      <c r="BD122"/>
      <c r="BE122"/>
      <c r="BF122"/>
    </row>
    <row r="123" spans="8:58" x14ac:dyDescent="0.3">
      <c r="H123"/>
      <c r="I123"/>
      <c r="J123"/>
      <c r="K123"/>
      <c r="L123"/>
      <c r="M123"/>
      <c r="N123"/>
      <c r="O123"/>
      <c r="P123"/>
      <c r="S123" s="38"/>
      <c r="T123" s="38"/>
      <c r="U123" s="38"/>
      <c r="V123" s="38"/>
      <c r="W123" s="38"/>
      <c r="X123" s="38"/>
      <c r="Y123" s="38"/>
      <c r="Z123" s="38"/>
      <c r="AA123" s="38"/>
      <c r="AC123"/>
      <c r="AD123"/>
      <c r="AE123"/>
      <c r="AF123"/>
      <c r="AG123"/>
      <c r="AH123"/>
      <c r="AI123"/>
      <c r="AS123"/>
      <c r="AT123"/>
      <c r="AU123"/>
      <c r="AV123"/>
      <c r="AW123"/>
      <c r="AX123"/>
      <c r="AY123"/>
      <c r="AZ123"/>
      <c r="BA123"/>
      <c r="BB123"/>
      <c r="BC123"/>
      <c r="BD123"/>
      <c r="BE123"/>
      <c r="BF123"/>
    </row>
    <row r="124" spans="8:58" x14ac:dyDescent="0.3">
      <c r="H124"/>
      <c r="I124"/>
      <c r="J124"/>
      <c r="K124"/>
      <c r="L124"/>
      <c r="M124"/>
      <c r="N124"/>
      <c r="O124"/>
      <c r="P124"/>
      <c r="S124" s="38"/>
      <c r="T124" s="38"/>
      <c r="U124" s="38"/>
      <c r="V124" s="38"/>
      <c r="W124" s="38"/>
      <c r="X124" s="38"/>
      <c r="Y124" s="38"/>
      <c r="Z124" s="38"/>
      <c r="AA124" s="38"/>
      <c r="AC124"/>
      <c r="AD124"/>
      <c r="AE124"/>
      <c r="AF124"/>
      <c r="AG124"/>
      <c r="AH124"/>
      <c r="AI124"/>
      <c r="AS124"/>
      <c r="AT124"/>
      <c r="AU124"/>
      <c r="AV124"/>
      <c r="AW124"/>
      <c r="AX124"/>
      <c r="AY124"/>
      <c r="AZ124"/>
      <c r="BA124"/>
      <c r="BB124"/>
      <c r="BC124"/>
      <c r="BD124"/>
      <c r="BE124"/>
      <c r="BF124"/>
    </row>
    <row r="125" spans="8:58" x14ac:dyDescent="0.3">
      <c r="H125"/>
      <c r="I125"/>
      <c r="J125"/>
      <c r="K125"/>
      <c r="L125"/>
      <c r="M125"/>
      <c r="N125"/>
      <c r="O125"/>
      <c r="P125"/>
      <c r="S125" s="38"/>
      <c r="T125" s="38"/>
      <c r="U125" s="38"/>
      <c r="V125" s="38"/>
      <c r="W125" s="38"/>
      <c r="X125" s="38"/>
      <c r="Y125" s="38"/>
      <c r="Z125" s="38"/>
      <c r="AA125" s="38"/>
      <c r="AC125"/>
      <c r="AD125"/>
      <c r="AE125"/>
      <c r="AF125"/>
      <c r="AG125"/>
      <c r="AH125"/>
      <c r="AI125"/>
      <c r="AS125"/>
      <c r="AT125"/>
      <c r="AU125"/>
      <c r="AV125"/>
      <c r="AW125"/>
      <c r="AX125"/>
      <c r="AY125"/>
      <c r="AZ125"/>
      <c r="BA125"/>
      <c r="BB125"/>
      <c r="BC125"/>
      <c r="BD125"/>
      <c r="BE125"/>
      <c r="BF125"/>
    </row>
    <row r="126" spans="8:58" x14ac:dyDescent="0.3">
      <c r="H126"/>
      <c r="I126"/>
      <c r="J126"/>
      <c r="K126"/>
      <c r="L126"/>
      <c r="M126"/>
      <c r="N126"/>
      <c r="O126"/>
      <c r="P126"/>
      <c r="S126" s="38"/>
      <c r="T126" s="38"/>
      <c r="U126" s="38"/>
      <c r="V126" s="38"/>
      <c r="W126" s="38"/>
      <c r="X126" s="38"/>
      <c r="Y126" s="38"/>
      <c r="Z126" s="38"/>
      <c r="AA126" s="38"/>
      <c r="AC126"/>
      <c r="AD126"/>
      <c r="AE126"/>
      <c r="AF126"/>
      <c r="AG126"/>
      <c r="AH126"/>
      <c r="AI126"/>
      <c r="AS126"/>
      <c r="AT126"/>
      <c r="AU126"/>
      <c r="AV126"/>
      <c r="AW126"/>
      <c r="AX126"/>
      <c r="AY126"/>
      <c r="AZ126"/>
      <c r="BA126"/>
      <c r="BB126"/>
      <c r="BC126"/>
      <c r="BD126"/>
      <c r="BE126"/>
      <c r="BF126"/>
    </row>
    <row r="127" spans="8:58" x14ac:dyDescent="0.3">
      <c r="H127"/>
      <c r="I127"/>
      <c r="J127"/>
      <c r="K127"/>
      <c r="L127"/>
      <c r="M127"/>
      <c r="N127"/>
      <c r="O127"/>
      <c r="P127"/>
      <c r="S127" s="38"/>
      <c r="T127" s="38"/>
      <c r="U127" s="38"/>
      <c r="V127" s="38"/>
      <c r="W127" s="38"/>
      <c r="X127" s="38"/>
      <c r="Y127" s="38"/>
      <c r="Z127" s="38"/>
      <c r="AA127" s="38"/>
      <c r="AC127"/>
      <c r="AD127"/>
      <c r="AE127"/>
      <c r="AF127"/>
      <c r="AG127"/>
      <c r="AH127"/>
      <c r="AI127"/>
      <c r="AS127"/>
      <c r="AT127"/>
      <c r="AU127"/>
      <c r="AV127"/>
      <c r="AW127"/>
      <c r="AX127"/>
      <c r="AY127"/>
      <c r="AZ127"/>
      <c r="BA127"/>
      <c r="BB127"/>
      <c r="BC127"/>
      <c r="BD127"/>
      <c r="BE127"/>
      <c r="BF127"/>
    </row>
    <row r="128" spans="8:58" x14ac:dyDescent="0.3">
      <c r="H128"/>
      <c r="I128"/>
      <c r="J128"/>
      <c r="K128"/>
      <c r="L128"/>
      <c r="M128"/>
      <c r="N128"/>
      <c r="O128"/>
      <c r="P128"/>
      <c r="S128" s="38"/>
      <c r="T128" s="38"/>
      <c r="U128" s="38"/>
      <c r="V128" s="38"/>
      <c r="W128" s="38"/>
      <c r="X128" s="38"/>
      <c r="Y128" s="38"/>
      <c r="Z128" s="38"/>
      <c r="AA128" s="38"/>
      <c r="AC128"/>
      <c r="AD128"/>
      <c r="AE128"/>
      <c r="AF128"/>
      <c r="AG128"/>
      <c r="AH128"/>
      <c r="AI128"/>
      <c r="AS128"/>
      <c r="AT128"/>
      <c r="AU128"/>
      <c r="AV128"/>
      <c r="AW128"/>
      <c r="AX128"/>
      <c r="AY128"/>
      <c r="AZ128"/>
      <c r="BA128"/>
      <c r="BB128"/>
      <c r="BC128"/>
      <c r="BD128"/>
      <c r="BE128"/>
      <c r="BF128"/>
    </row>
    <row r="129" spans="8:58" x14ac:dyDescent="0.3">
      <c r="H129"/>
      <c r="I129"/>
      <c r="J129"/>
      <c r="K129"/>
      <c r="L129"/>
      <c r="M129"/>
      <c r="N129"/>
      <c r="O129"/>
      <c r="P129"/>
      <c r="S129" s="38"/>
      <c r="T129" s="38"/>
      <c r="U129" s="38"/>
      <c r="V129" s="38"/>
      <c r="W129" s="38"/>
      <c r="X129" s="38"/>
      <c r="Y129" s="38"/>
      <c r="Z129" s="38"/>
      <c r="AA129" s="38"/>
      <c r="AC129"/>
      <c r="AD129"/>
      <c r="AE129"/>
      <c r="AF129"/>
      <c r="AG129"/>
      <c r="AH129"/>
      <c r="AI129"/>
      <c r="AS129"/>
      <c r="AT129"/>
      <c r="AU129"/>
      <c r="AV129"/>
      <c r="AW129"/>
      <c r="AX129"/>
      <c r="AY129"/>
      <c r="AZ129"/>
      <c r="BA129"/>
      <c r="BB129"/>
      <c r="BC129"/>
      <c r="BD129"/>
      <c r="BE129"/>
      <c r="BF129"/>
    </row>
    <row r="130" spans="8:58" x14ac:dyDescent="0.3">
      <c r="H130"/>
      <c r="I130"/>
      <c r="J130"/>
      <c r="K130"/>
      <c r="L130"/>
      <c r="M130"/>
      <c r="N130"/>
      <c r="O130"/>
      <c r="P130"/>
      <c r="S130" s="38"/>
      <c r="T130" s="38"/>
      <c r="U130" s="38"/>
      <c r="V130" s="38"/>
      <c r="W130" s="38"/>
      <c r="X130" s="38"/>
      <c r="Y130" s="38"/>
      <c r="Z130" s="38"/>
      <c r="AA130" s="38"/>
      <c r="AC130"/>
      <c r="AD130"/>
      <c r="AE130"/>
      <c r="AF130"/>
      <c r="AG130"/>
      <c r="AH130"/>
      <c r="AI130"/>
      <c r="AS130"/>
      <c r="AT130"/>
      <c r="AU130"/>
      <c r="AV130"/>
      <c r="AW130"/>
      <c r="AX130"/>
      <c r="AY130"/>
      <c r="AZ130"/>
      <c r="BA130"/>
      <c r="BB130"/>
      <c r="BC130"/>
      <c r="BD130"/>
      <c r="BE130"/>
      <c r="BF130"/>
    </row>
    <row r="131" spans="8:58" x14ac:dyDescent="0.3">
      <c r="H131"/>
      <c r="I131"/>
      <c r="J131"/>
      <c r="K131"/>
      <c r="L131"/>
      <c r="M131"/>
      <c r="N131"/>
      <c r="O131"/>
      <c r="P131"/>
      <c r="S131" s="38"/>
      <c r="T131" s="38"/>
      <c r="U131" s="38"/>
      <c r="V131" s="38"/>
      <c r="W131" s="38"/>
      <c r="X131" s="38"/>
      <c r="Y131" s="38"/>
      <c r="Z131" s="38"/>
      <c r="AA131" s="38"/>
      <c r="AC131"/>
      <c r="AD131"/>
      <c r="AE131"/>
      <c r="AF131"/>
      <c r="AG131"/>
      <c r="AH131"/>
      <c r="AI131"/>
      <c r="AS131"/>
      <c r="AT131"/>
      <c r="AU131"/>
      <c r="AV131"/>
      <c r="AW131"/>
      <c r="AX131"/>
      <c r="AY131"/>
      <c r="AZ131"/>
      <c r="BA131"/>
      <c r="BB131"/>
      <c r="BC131"/>
      <c r="BD131"/>
      <c r="BE131"/>
      <c r="BF131"/>
    </row>
    <row r="132" spans="8:58" x14ac:dyDescent="0.3">
      <c r="H132"/>
      <c r="I132"/>
      <c r="J132"/>
      <c r="K132"/>
      <c r="L132"/>
      <c r="M132"/>
      <c r="N132"/>
      <c r="O132"/>
      <c r="P132"/>
      <c r="S132" s="38"/>
      <c r="T132" s="38"/>
      <c r="U132" s="38"/>
      <c r="V132" s="38"/>
      <c r="W132" s="38"/>
      <c r="X132" s="38"/>
      <c r="Y132" s="38"/>
      <c r="Z132" s="38"/>
      <c r="AA132" s="38"/>
      <c r="AC132"/>
      <c r="AD132"/>
      <c r="AE132"/>
      <c r="AF132"/>
      <c r="AG132"/>
      <c r="AH132"/>
      <c r="AI132"/>
      <c r="AS132"/>
      <c r="AT132"/>
      <c r="AU132"/>
      <c r="AV132"/>
      <c r="AW132"/>
      <c r="AX132"/>
      <c r="AY132"/>
      <c r="AZ132"/>
      <c r="BA132"/>
      <c r="BB132"/>
      <c r="BC132"/>
      <c r="BD132"/>
      <c r="BE132"/>
      <c r="BF132"/>
    </row>
    <row r="133" spans="8:58" x14ac:dyDescent="0.3">
      <c r="H133"/>
      <c r="I133"/>
      <c r="J133"/>
      <c r="K133"/>
      <c r="L133"/>
      <c r="M133"/>
      <c r="N133"/>
      <c r="O133"/>
      <c r="P133"/>
      <c r="S133" s="38"/>
      <c r="T133" s="38"/>
      <c r="U133" s="38"/>
      <c r="V133" s="38"/>
      <c r="W133" s="38"/>
      <c r="X133" s="38"/>
      <c r="Y133" s="38"/>
      <c r="Z133" s="38"/>
      <c r="AA133" s="38"/>
      <c r="AC133"/>
      <c r="AD133"/>
      <c r="AE133"/>
      <c r="AF133"/>
      <c r="AG133"/>
      <c r="AH133"/>
      <c r="AI133"/>
      <c r="AS133"/>
      <c r="AT133"/>
      <c r="AU133"/>
      <c r="AV133"/>
      <c r="AW133"/>
      <c r="AX133"/>
      <c r="AY133"/>
      <c r="AZ133"/>
      <c r="BA133"/>
      <c r="BB133"/>
      <c r="BC133"/>
      <c r="BD133"/>
      <c r="BE133"/>
      <c r="BF133"/>
    </row>
    <row r="134" spans="8:58" x14ac:dyDescent="0.3">
      <c r="H134"/>
      <c r="I134"/>
      <c r="J134"/>
      <c r="K134"/>
      <c r="L134"/>
      <c r="M134"/>
      <c r="N134"/>
      <c r="O134"/>
      <c r="P134"/>
      <c r="S134" s="38"/>
      <c r="T134" s="38"/>
      <c r="U134" s="38"/>
      <c r="V134" s="38"/>
      <c r="W134" s="38"/>
      <c r="X134" s="38"/>
      <c r="Y134" s="38"/>
      <c r="Z134" s="38"/>
      <c r="AA134" s="38"/>
      <c r="AC134"/>
      <c r="AD134"/>
      <c r="AE134"/>
      <c r="AF134"/>
      <c r="AG134"/>
      <c r="AH134"/>
      <c r="AI134"/>
      <c r="AS134"/>
      <c r="AT134"/>
      <c r="AU134"/>
      <c r="AV134"/>
      <c r="AW134"/>
      <c r="AX134"/>
      <c r="AY134"/>
      <c r="AZ134"/>
      <c r="BA134"/>
      <c r="BB134"/>
      <c r="BC134"/>
      <c r="BD134"/>
      <c r="BE134"/>
      <c r="BF134"/>
    </row>
    <row r="135" spans="8:58" x14ac:dyDescent="0.3">
      <c r="H135"/>
      <c r="I135"/>
      <c r="J135"/>
      <c r="K135"/>
      <c r="L135"/>
      <c r="M135"/>
      <c r="N135"/>
      <c r="O135"/>
      <c r="P135"/>
      <c r="S135" s="38"/>
      <c r="T135" s="38"/>
      <c r="U135" s="38"/>
      <c r="V135" s="38"/>
      <c r="W135" s="38"/>
      <c r="X135" s="38"/>
      <c r="Y135" s="38"/>
      <c r="Z135" s="38"/>
      <c r="AA135" s="38"/>
      <c r="AC135"/>
      <c r="AD135"/>
      <c r="AE135"/>
      <c r="AF135"/>
      <c r="AG135"/>
      <c r="AH135"/>
      <c r="AI135"/>
      <c r="AS135"/>
      <c r="AT135"/>
      <c r="AU135"/>
      <c r="AV135"/>
      <c r="AW135"/>
      <c r="AX135"/>
      <c r="AY135"/>
      <c r="AZ135"/>
      <c r="BA135"/>
      <c r="BB135"/>
      <c r="BC135"/>
      <c r="BD135"/>
      <c r="BE135"/>
      <c r="BF135"/>
    </row>
    <row r="136" spans="8:58" x14ac:dyDescent="0.3">
      <c r="H136"/>
      <c r="I136"/>
      <c r="J136"/>
      <c r="K136"/>
      <c r="L136"/>
      <c r="M136"/>
      <c r="N136"/>
      <c r="O136"/>
      <c r="P136"/>
      <c r="S136" s="38"/>
      <c r="T136" s="38"/>
      <c r="U136" s="38"/>
      <c r="V136" s="38"/>
      <c r="W136" s="38"/>
      <c r="X136" s="38"/>
      <c r="Y136" s="38"/>
      <c r="Z136" s="38"/>
      <c r="AA136" s="38"/>
      <c r="AC136"/>
      <c r="AD136"/>
      <c r="AE136"/>
      <c r="AF136"/>
      <c r="AG136"/>
      <c r="AH136"/>
      <c r="AI136"/>
      <c r="AS136"/>
      <c r="AT136"/>
      <c r="AU136"/>
      <c r="AV136"/>
      <c r="AW136"/>
      <c r="AX136"/>
      <c r="AY136"/>
      <c r="AZ136"/>
      <c r="BA136"/>
      <c r="BB136"/>
      <c r="BC136"/>
      <c r="BD136"/>
      <c r="BE136"/>
      <c r="BF136"/>
    </row>
    <row r="137" spans="8:58" x14ac:dyDescent="0.3">
      <c r="H137"/>
      <c r="I137"/>
      <c r="J137"/>
      <c r="K137"/>
      <c r="L137"/>
      <c r="M137"/>
      <c r="N137"/>
      <c r="O137"/>
      <c r="P137"/>
      <c r="S137" s="38"/>
      <c r="T137" s="38"/>
      <c r="U137" s="38"/>
      <c r="V137" s="38"/>
      <c r="W137" s="38"/>
      <c r="X137" s="38"/>
      <c r="Y137" s="38"/>
      <c r="Z137" s="38"/>
      <c r="AA137" s="38"/>
      <c r="AC137"/>
      <c r="AD137"/>
      <c r="AE137"/>
      <c r="AF137"/>
      <c r="AG137"/>
      <c r="AH137"/>
      <c r="AI137"/>
      <c r="AS137"/>
      <c r="AT137"/>
      <c r="AU137"/>
      <c r="AV137"/>
      <c r="AW137"/>
      <c r="AX137"/>
      <c r="AY137"/>
      <c r="AZ137"/>
      <c r="BA137"/>
      <c r="BB137"/>
      <c r="BC137"/>
      <c r="BD137"/>
      <c r="BE137"/>
      <c r="BF137"/>
    </row>
    <row r="138" spans="8:58" x14ac:dyDescent="0.3">
      <c r="H138"/>
      <c r="I138"/>
      <c r="J138"/>
      <c r="K138"/>
      <c r="L138"/>
      <c r="M138"/>
      <c r="N138"/>
      <c r="O138"/>
      <c r="P138"/>
      <c r="S138" s="38"/>
      <c r="T138" s="38"/>
      <c r="U138" s="38"/>
      <c r="V138" s="38"/>
      <c r="W138" s="38"/>
      <c r="X138" s="38"/>
      <c r="Y138" s="38"/>
      <c r="Z138" s="38"/>
      <c r="AA138" s="38"/>
      <c r="AC138"/>
      <c r="AD138"/>
      <c r="AE138"/>
      <c r="AF138"/>
      <c r="AG138"/>
      <c r="AH138"/>
      <c r="AI138"/>
      <c r="AS138"/>
      <c r="AT138"/>
      <c r="AU138"/>
      <c r="AV138"/>
      <c r="AW138"/>
      <c r="AX138"/>
      <c r="AY138"/>
      <c r="AZ138"/>
      <c r="BA138"/>
      <c r="BB138"/>
      <c r="BC138"/>
      <c r="BD138"/>
      <c r="BE138"/>
      <c r="BF138"/>
    </row>
    <row r="139" spans="8:58" x14ac:dyDescent="0.3">
      <c r="H139"/>
      <c r="I139"/>
      <c r="J139"/>
      <c r="K139"/>
      <c r="L139"/>
      <c r="M139"/>
      <c r="N139"/>
      <c r="O139"/>
      <c r="P139"/>
      <c r="S139" s="38"/>
      <c r="T139" s="38"/>
      <c r="U139" s="38"/>
      <c r="V139" s="38"/>
      <c r="W139" s="38"/>
      <c r="X139" s="38"/>
      <c r="Y139" s="38"/>
      <c r="Z139" s="38"/>
      <c r="AA139" s="38"/>
      <c r="AC139"/>
      <c r="AD139"/>
      <c r="AE139"/>
      <c r="AF139"/>
      <c r="AG139"/>
      <c r="AH139"/>
      <c r="AI139"/>
      <c r="AS139"/>
      <c r="AT139"/>
      <c r="AU139"/>
      <c r="AV139"/>
      <c r="AW139"/>
      <c r="AX139"/>
      <c r="AY139"/>
      <c r="AZ139"/>
      <c r="BA139"/>
      <c r="BB139"/>
      <c r="BC139"/>
      <c r="BD139"/>
      <c r="BE139"/>
      <c r="BF139"/>
    </row>
    <row r="140" spans="8:58" x14ac:dyDescent="0.3">
      <c r="H140"/>
      <c r="I140"/>
      <c r="J140"/>
      <c r="K140"/>
      <c r="L140"/>
      <c r="M140"/>
      <c r="N140"/>
      <c r="O140"/>
      <c r="P140"/>
      <c r="S140" s="38"/>
      <c r="T140" s="38"/>
      <c r="U140" s="38"/>
      <c r="V140" s="38"/>
      <c r="W140" s="38"/>
      <c r="X140" s="38"/>
      <c r="Y140" s="38"/>
      <c r="Z140" s="38"/>
      <c r="AA140" s="38"/>
      <c r="AC140"/>
      <c r="AD140"/>
      <c r="AE140"/>
      <c r="AF140"/>
      <c r="AG140"/>
      <c r="AH140"/>
      <c r="AI140"/>
      <c r="AS140"/>
      <c r="AT140"/>
      <c r="AU140"/>
      <c r="AV140"/>
      <c r="AW140"/>
      <c r="AX140"/>
      <c r="AY140"/>
      <c r="AZ140"/>
      <c r="BA140"/>
      <c r="BB140"/>
      <c r="BC140"/>
      <c r="BD140"/>
      <c r="BE140"/>
      <c r="BF140"/>
    </row>
    <row r="141" spans="8:58" x14ac:dyDescent="0.3">
      <c r="H141"/>
      <c r="I141"/>
      <c r="J141"/>
      <c r="K141"/>
      <c r="L141"/>
      <c r="M141"/>
      <c r="N141"/>
      <c r="O141"/>
      <c r="P141"/>
      <c r="S141" s="38"/>
      <c r="T141" s="38"/>
      <c r="U141" s="38"/>
      <c r="V141" s="38"/>
      <c r="W141" s="38"/>
      <c r="X141" s="38"/>
      <c r="Y141" s="38"/>
      <c r="Z141" s="38"/>
      <c r="AA141" s="38"/>
      <c r="AC141"/>
      <c r="AD141"/>
      <c r="AE141"/>
      <c r="AF141"/>
      <c r="AG141"/>
      <c r="AH141"/>
      <c r="AI141"/>
      <c r="AS141"/>
      <c r="AT141"/>
      <c r="AU141"/>
      <c r="AV141"/>
      <c r="AW141"/>
      <c r="AX141"/>
      <c r="AY141"/>
      <c r="AZ141"/>
      <c r="BA141"/>
      <c r="BB141"/>
      <c r="BC141"/>
      <c r="BD141"/>
      <c r="BE141"/>
      <c r="BF141"/>
    </row>
    <row r="142" spans="8:58" x14ac:dyDescent="0.3">
      <c r="H142"/>
      <c r="I142"/>
      <c r="J142"/>
      <c r="K142"/>
      <c r="L142"/>
      <c r="M142"/>
      <c r="N142"/>
      <c r="O142"/>
      <c r="P142"/>
      <c r="S142" s="38"/>
      <c r="T142" s="38"/>
      <c r="U142" s="38"/>
      <c r="V142" s="38"/>
      <c r="W142" s="38"/>
      <c r="X142" s="38"/>
      <c r="Y142" s="38"/>
      <c r="Z142" s="38"/>
      <c r="AA142" s="38"/>
      <c r="AC142"/>
      <c r="AD142"/>
      <c r="AE142"/>
      <c r="AF142"/>
      <c r="AG142"/>
      <c r="AH142"/>
      <c r="AI142"/>
      <c r="AS142"/>
      <c r="AT142"/>
      <c r="AU142"/>
      <c r="AV142"/>
      <c r="AW142"/>
      <c r="AX142"/>
      <c r="AY142"/>
      <c r="AZ142"/>
      <c r="BA142"/>
      <c r="BB142"/>
      <c r="BC142"/>
      <c r="BD142"/>
      <c r="BE142"/>
      <c r="BF142"/>
    </row>
    <row r="143" spans="8:58" x14ac:dyDescent="0.3">
      <c r="H143"/>
      <c r="I143"/>
      <c r="J143"/>
      <c r="K143"/>
      <c r="L143"/>
      <c r="M143"/>
      <c r="N143"/>
      <c r="O143"/>
      <c r="P143"/>
      <c r="S143" s="38"/>
      <c r="T143" s="38"/>
      <c r="U143" s="38"/>
      <c r="V143" s="38"/>
      <c r="W143" s="38"/>
      <c r="X143" s="38"/>
      <c r="Y143" s="38"/>
      <c r="Z143" s="38"/>
      <c r="AA143" s="38"/>
      <c r="AC143"/>
      <c r="AD143"/>
      <c r="AE143"/>
      <c r="AF143"/>
      <c r="AG143"/>
      <c r="AH143"/>
      <c r="AI143"/>
      <c r="AS143"/>
      <c r="AT143"/>
      <c r="AU143"/>
      <c r="AV143"/>
      <c r="AW143"/>
      <c r="AX143"/>
      <c r="AY143"/>
      <c r="AZ143"/>
      <c r="BA143"/>
      <c r="BB143"/>
      <c r="BC143"/>
      <c r="BD143"/>
      <c r="BE143"/>
      <c r="BF143"/>
    </row>
    <row r="144" spans="8:58" x14ac:dyDescent="0.3">
      <c r="H144"/>
      <c r="I144"/>
      <c r="J144"/>
      <c r="K144"/>
      <c r="L144"/>
      <c r="M144"/>
      <c r="N144"/>
      <c r="O144"/>
      <c r="P144"/>
      <c r="S144" s="38"/>
      <c r="T144" s="38"/>
      <c r="U144" s="38"/>
      <c r="V144" s="38"/>
      <c r="W144" s="38"/>
      <c r="X144" s="38"/>
      <c r="Y144" s="38"/>
      <c r="Z144" s="38"/>
      <c r="AA144" s="38"/>
      <c r="AC144"/>
      <c r="AD144"/>
      <c r="AE144"/>
      <c r="AF144"/>
      <c r="AG144"/>
      <c r="AH144"/>
      <c r="AI144"/>
      <c r="AS144"/>
      <c r="AT144"/>
      <c r="AU144"/>
      <c r="AV144"/>
      <c r="AW144"/>
      <c r="AX144"/>
      <c r="AY144"/>
      <c r="AZ144"/>
      <c r="BA144"/>
      <c r="BB144"/>
      <c r="BC144"/>
      <c r="BD144"/>
      <c r="BE144"/>
      <c r="BF144"/>
    </row>
    <row r="145" spans="8:58" x14ac:dyDescent="0.3">
      <c r="H145"/>
      <c r="I145"/>
      <c r="J145"/>
      <c r="K145"/>
      <c r="L145"/>
      <c r="M145"/>
      <c r="N145"/>
      <c r="O145"/>
      <c r="P145"/>
      <c r="S145" s="38"/>
      <c r="T145" s="38"/>
      <c r="U145" s="38"/>
      <c r="V145" s="38"/>
      <c r="W145" s="38"/>
      <c r="X145" s="38"/>
      <c r="Y145" s="38"/>
      <c r="Z145" s="38"/>
      <c r="AA145" s="38"/>
      <c r="AC145"/>
      <c r="AD145"/>
      <c r="AE145"/>
      <c r="AF145"/>
      <c r="AG145"/>
      <c r="AH145"/>
      <c r="AI145"/>
      <c r="AS145"/>
      <c r="AT145"/>
      <c r="AU145"/>
      <c r="AV145"/>
      <c r="AW145"/>
      <c r="AX145"/>
      <c r="AY145"/>
      <c r="AZ145"/>
      <c r="BA145"/>
      <c r="BB145"/>
      <c r="BC145"/>
      <c r="BD145"/>
      <c r="BE145"/>
      <c r="BF145"/>
    </row>
    <row r="146" spans="8:58" x14ac:dyDescent="0.3">
      <c r="H146"/>
      <c r="I146"/>
      <c r="J146"/>
      <c r="K146"/>
      <c r="L146"/>
      <c r="M146"/>
      <c r="N146"/>
      <c r="O146"/>
      <c r="P146"/>
      <c r="S146" s="38"/>
      <c r="T146" s="38"/>
      <c r="U146" s="38"/>
      <c r="V146" s="38"/>
      <c r="W146" s="38"/>
      <c r="X146" s="38"/>
      <c r="Y146" s="38"/>
      <c r="Z146" s="38"/>
      <c r="AA146" s="38"/>
      <c r="AC146"/>
      <c r="AD146"/>
      <c r="AE146"/>
      <c r="AF146"/>
      <c r="AG146"/>
      <c r="AH146"/>
      <c r="AI146"/>
      <c r="AS146"/>
      <c r="AT146"/>
      <c r="AU146"/>
      <c r="AV146"/>
      <c r="AW146"/>
      <c r="AX146"/>
      <c r="AY146"/>
      <c r="AZ146"/>
      <c r="BA146"/>
      <c r="BB146"/>
      <c r="BC146"/>
      <c r="BD146"/>
      <c r="BE146"/>
      <c r="BF146"/>
    </row>
    <row r="147" spans="8:58" x14ac:dyDescent="0.3">
      <c r="H147"/>
      <c r="I147"/>
      <c r="J147"/>
      <c r="K147"/>
      <c r="L147"/>
      <c r="M147"/>
      <c r="N147"/>
      <c r="O147"/>
      <c r="P147"/>
      <c r="S147" s="38"/>
      <c r="T147" s="38"/>
      <c r="U147" s="38"/>
      <c r="V147" s="38"/>
      <c r="W147" s="38"/>
      <c r="X147" s="38"/>
      <c r="Y147" s="38"/>
      <c r="Z147" s="38"/>
      <c r="AA147" s="38"/>
      <c r="AC147"/>
      <c r="AD147"/>
      <c r="AE147"/>
      <c r="AF147"/>
      <c r="AG147"/>
      <c r="AH147"/>
      <c r="AI147"/>
      <c r="AS147"/>
      <c r="AT147"/>
      <c r="AU147"/>
      <c r="AV147"/>
      <c r="AW147"/>
      <c r="AX147"/>
      <c r="AY147"/>
      <c r="AZ147"/>
      <c r="BA147"/>
      <c r="BB147"/>
      <c r="BC147"/>
      <c r="BD147"/>
      <c r="BE147"/>
      <c r="BF147"/>
    </row>
    <row r="148" spans="8:58" x14ac:dyDescent="0.3">
      <c r="H148"/>
      <c r="I148"/>
      <c r="J148"/>
      <c r="K148"/>
      <c r="L148"/>
      <c r="M148"/>
      <c r="N148"/>
      <c r="O148"/>
      <c r="P148"/>
      <c r="S148" s="38"/>
      <c r="T148" s="38"/>
      <c r="U148" s="38"/>
      <c r="V148" s="38"/>
      <c r="W148" s="38"/>
      <c r="X148" s="38"/>
      <c r="Y148" s="38"/>
      <c r="Z148" s="38"/>
      <c r="AA148" s="38"/>
      <c r="AC148"/>
      <c r="AD148"/>
      <c r="AE148"/>
      <c r="AF148"/>
      <c r="AG148"/>
      <c r="AH148"/>
      <c r="AI148"/>
      <c r="AS148"/>
      <c r="AT148"/>
      <c r="AU148"/>
      <c r="AV148"/>
      <c r="AW148"/>
      <c r="AX148"/>
      <c r="AY148"/>
      <c r="AZ148"/>
      <c r="BA148"/>
      <c r="BB148"/>
      <c r="BC148"/>
      <c r="BD148"/>
      <c r="BE148"/>
      <c r="BF148"/>
    </row>
    <row r="149" spans="8:58" x14ac:dyDescent="0.3">
      <c r="H149"/>
      <c r="I149"/>
      <c r="J149"/>
      <c r="K149"/>
      <c r="L149"/>
      <c r="M149"/>
      <c r="N149"/>
      <c r="O149"/>
      <c r="P149"/>
      <c r="S149" s="38"/>
      <c r="T149" s="38"/>
      <c r="U149" s="38"/>
      <c r="V149" s="38"/>
      <c r="W149" s="38"/>
      <c r="X149" s="38"/>
      <c r="Y149" s="38"/>
      <c r="Z149" s="38"/>
      <c r="AA149" s="38"/>
      <c r="AC149"/>
      <c r="AD149"/>
      <c r="AE149"/>
      <c r="AF149"/>
      <c r="AG149"/>
      <c r="AH149"/>
      <c r="AI149"/>
      <c r="AS149"/>
      <c r="AT149"/>
      <c r="AU149"/>
      <c r="AV149"/>
      <c r="AW149"/>
      <c r="AX149"/>
      <c r="AY149"/>
      <c r="AZ149"/>
      <c r="BA149"/>
      <c r="BB149"/>
      <c r="BC149"/>
      <c r="BD149"/>
      <c r="BE149"/>
      <c r="BF149"/>
    </row>
    <row r="150" spans="8:58" x14ac:dyDescent="0.3">
      <c r="H150"/>
      <c r="I150"/>
      <c r="J150"/>
      <c r="K150"/>
      <c r="L150"/>
      <c r="M150"/>
      <c r="N150"/>
      <c r="O150"/>
      <c r="P150"/>
      <c r="S150" s="38"/>
      <c r="T150" s="38"/>
      <c r="U150" s="38"/>
      <c r="V150" s="38"/>
      <c r="W150" s="38"/>
      <c r="X150" s="38"/>
      <c r="Y150" s="38"/>
      <c r="Z150" s="38"/>
      <c r="AA150" s="38"/>
      <c r="AC150"/>
      <c r="AD150"/>
      <c r="AE150"/>
      <c r="AF150"/>
      <c r="AG150"/>
      <c r="AH150"/>
      <c r="AI150"/>
      <c r="AS150"/>
      <c r="AT150"/>
      <c r="AU150"/>
      <c r="AV150"/>
      <c r="AW150"/>
      <c r="AX150"/>
      <c r="AY150"/>
      <c r="AZ150"/>
      <c r="BA150"/>
      <c r="BB150"/>
      <c r="BC150"/>
      <c r="BD150"/>
      <c r="BE150"/>
      <c r="BF150"/>
    </row>
    <row r="151" spans="8:58" x14ac:dyDescent="0.3">
      <c r="H151"/>
      <c r="I151"/>
      <c r="J151"/>
      <c r="K151"/>
      <c r="L151"/>
      <c r="M151"/>
      <c r="N151"/>
      <c r="O151"/>
      <c r="P151"/>
      <c r="S151" s="38"/>
      <c r="T151" s="38"/>
      <c r="U151" s="38"/>
      <c r="V151" s="38"/>
      <c r="W151" s="38"/>
      <c r="X151" s="38"/>
      <c r="Y151" s="38"/>
      <c r="Z151" s="38"/>
      <c r="AA151" s="38"/>
      <c r="AC151"/>
      <c r="AD151"/>
      <c r="AE151"/>
      <c r="AF151"/>
      <c r="AG151"/>
      <c r="AH151"/>
      <c r="AI151"/>
      <c r="AS151"/>
      <c r="AT151"/>
      <c r="AU151"/>
      <c r="AV151"/>
      <c r="AW151"/>
      <c r="AX151"/>
      <c r="AY151"/>
      <c r="AZ151"/>
      <c r="BA151"/>
      <c r="BB151"/>
      <c r="BC151"/>
      <c r="BD151"/>
      <c r="BE151"/>
      <c r="BF151"/>
    </row>
    <row r="152" spans="8:58" x14ac:dyDescent="0.3">
      <c r="H152"/>
      <c r="I152"/>
      <c r="J152"/>
      <c r="K152"/>
      <c r="L152"/>
      <c r="M152"/>
      <c r="N152"/>
      <c r="O152"/>
      <c r="P152"/>
      <c r="S152" s="38"/>
      <c r="T152" s="38"/>
      <c r="U152" s="38"/>
      <c r="V152" s="38"/>
      <c r="W152" s="38"/>
      <c r="X152" s="38"/>
      <c r="Y152" s="38"/>
      <c r="Z152" s="38"/>
      <c r="AA152" s="38"/>
      <c r="AC152"/>
      <c r="AD152"/>
      <c r="AE152"/>
      <c r="AF152"/>
      <c r="AG152"/>
      <c r="AH152"/>
      <c r="AI152"/>
      <c r="AS152"/>
      <c r="AT152"/>
      <c r="AU152"/>
      <c r="AV152"/>
      <c r="AW152"/>
      <c r="AX152"/>
      <c r="AY152"/>
      <c r="AZ152"/>
      <c r="BA152"/>
      <c r="BB152"/>
      <c r="BC152"/>
      <c r="BD152"/>
      <c r="BE152"/>
      <c r="BF152"/>
    </row>
    <row r="153" spans="8:58" x14ac:dyDescent="0.3">
      <c r="H153"/>
      <c r="I153"/>
      <c r="J153"/>
      <c r="K153"/>
      <c r="L153"/>
      <c r="M153"/>
      <c r="N153"/>
      <c r="O153"/>
      <c r="P153"/>
      <c r="S153" s="38"/>
      <c r="T153" s="38"/>
      <c r="U153" s="38"/>
      <c r="V153" s="38"/>
      <c r="W153" s="38"/>
      <c r="X153" s="38"/>
      <c r="Y153" s="38"/>
      <c r="Z153" s="38"/>
      <c r="AA153" s="38"/>
      <c r="AC153"/>
      <c r="AD153"/>
      <c r="AE153"/>
      <c r="AF153"/>
      <c r="AG153"/>
      <c r="AH153"/>
      <c r="AI153"/>
      <c r="AS153"/>
      <c r="AT153"/>
      <c r="AU153"/>
      <c r="AV153"/>
      <c r="AW153"/>
      <c r="AX153"/>
      <c r="AY153"/>
      <c r="AZ153"/>
      <c r="BA153"/>
      <c r="BB153"/>
      <c r="BC153"/>
      <c r="BD153"/>
      <c r="BE153"/>
      <c r="BF153"/>
    </row>
    <row r="154" spans="8:58" x14ac:dyDescent="0.3">
      <c r="H154"/>
      <c r="I154"/>
      <c r="J154"/>
      <c r="K154"/>
      <c r="L154"/>
      <c r="M154"/>
      <c r="N154"/>
      <c r="O154"/>
      <c r="P154"/>
      <c r="S154" s="38"/>
      <c r="T154" s="38"/>
      <c r="U154" s="38"/>
      <c r="V154" s="38"/>
      <c r="W154" s="38"/>
      <c r="X154" s="38"/>
      <c r="Y154" s="38"/>
      <c r="Z154" s="38"/>
      <c r="AA154" s="38"/>
      <c r="AC154"/>
      <c r="AD154"/>
      <c r="AE154"/>
      <c r="AF154"/>
      <c r="AG154"/>
      <c r="AH154"/>
      <c r="AI154"/>
      <c r="AS154"/>
      <c r="AT154"/>
      <c r="AU154"/>
      <c r="AV154"/>
      <c r="AW154"/>
      <c r="AX154"/>
      <c r="AY154"/>
      <c r="AZ154"/>
      <c r="BA154"/>
      <c r="BB154"/>
      <c r="BC154"/>
      <c r="BD154"/>
      <c r="BE154"/>
      <c r="BF154"/>
    </row>
    <row r="155" spans="8:58" x14ac:dyDescent="0.3">
      <c r="H155"/>
      <c r="I155"/>
      <c r="J155"/>
      <c r="K155"/>
      <c r="L155"/>
      <c r="M155"/>
      <c r="N155"/>
      <c r="O155"/>
      <c r="P155"/>
      <c r="S155" s="38"/>
      <c r="T155" s="38"/>
      <c r="U155" s="38"/>
      <c r="V155" s="38"/>
      <c r="W155" s="38"/>
      <c r="X155" s="38"/>
      <c r="Y155" s="38"/>
      <c r="Z155" s="38"/>
      <c r="AA155" s="38"/>
      <c r="AC155"/>
      <c r="AD155"/>
      <c r="AE155"/>
      <c r="AF155"/>
      <c r="AG155"/>
      <c r="AH155"/>
      <c r="AI155"/>
      <c r="AS155"/>
      <c r="AT155"/>
      <c r="AU155"/>
      <c r="AV155"/>
      <c r="AW155"/>
      <c r="AX155"/>
      <c r="AY155"/>
      <c r="AZ155"/>
      <c r="BA155"/>
      <c r="BB155"/>
      <c r="BC155"/>
      <c r="BD155"/>
      <c r="BE155"/>
      <c r="BF155"/>
    </row>
    <row r="156" spans="8:58" x14ac:dyDescent="0.3">
      <c r="H156"/>
      <c r="I156"/>
      <c r="J156"/>
      <c r="K156"/>
      <c r="L156"/>
      <c r="M156"/>
      <c r="N156"/>
      <c r="O156"/>
      <c r="P156"/>
      <c r="S156" s="38"/>
      <c r="T156" s="38"/>
      <c r="U156" s="38"/>
      <c r="V156" s="38"/>
      <c r="W156" s="38"/>
      <c r="X156" s="38"/>
      <c r="Y156" s="38"/>
      <c r="Z156" s="38"/>
      <c r="AA156" s="38"/>
      <c r="AC156"/>
      <c r="AD156"/>
      <c r="AE156"/>
      <c r="AF156"/>
      <c r="AG156"/>
      <c r="AH156"/>
      <c r="AI156"/>
      <c r="AS156"/>
      <c r="AT156"/>
      <c r="AU156"/>
      <c r="AV156"/>
      <c r="AW156"/>
      <c r="AX156"/>
      <c r="AY156"/>
      <c r="AZ156"/>
      <c r="BA156"/>
      <c r="BB156"/>
      <c r="BC156"/>
      <c r="BD156"/>
      <c r="BE156"/>
      <c r="BF156"/>
    </row>
    <row r="157" spans="8:58" x14ac:dyDescent="0.3">
      <c r="H157"/>
      <c r="I157"/>
      <c r="J157"/>
      <c r="K157"/>
      <c r="L157"/>
      <c r="M157"/>
      <c r="N157"/>
      <c r="O157"/>
      <c r="P157"/>
      <c r="S157" s="38"/>
      <c r="T157" s="38"/>
      <c r="U157" s="38"/>
      <c r="V157" s="38"/>
      <c r="W157" s="38"/>
      <c r="X157" s="38"/>
      <c r="Y157" s="38"/>
      <c r="Z157" s="38"/>
      <c r="AA157" s="38"/>
      <c r="AC157"/>
      <c r="AD157"/>
      <c r="AE157"/>
      <c r="AF157"/>
      <c r="AG157"/>
      <c r="AH157"/>
      <c r="AI157"/>
      <c r="AS157"/>
      <c r="AT157"/>
      <c r="AU157"/>
      <c r="AV157"/>
      <c r="AW157"/>
      <c r="AX157"/>
      <c r="AY157"/>
      <c r="AZ157"/>
      <c r="BA157"/>
      <c r="BB157"/>
      <c r="BC157"/>
      <c r="BD157"/>
      <c r="BE157"/>
      <c r="BF157"/>
    </row>
    <row r="158" spans="8:58" x14ac:dyDescent="0.3">
      <c r="H158"/>
      <c r="I158"/>
      <c r="J158"/>
      <c r="K158"/>
      <c r="L158"/>
      <c r="M158"/>
      <c r="N158"/>
      <c r="O158"/>
      <c r="P158"/>
      <c r="S158" s="38"/>
      <c r="T158" s="38"/>
      <c r="U158" s="38"/>
      <c r="V158" s="38"/>
      <c r="W158" s="38"/>
      <c r="X158" s="38"/>
      <c r="Y158" s="38"/>
      <c r="Z158" s="38"/>
      <c r="AA158" s="38"/>
      <c r="AC158"/>
      <c r="AD158"/>
      <c r="AE158"/>
      <c r="AF158"/>
      <c r="AG158"/>
      <c r="AH158"/>
      <c r="AI158"/>
      <c r="AS158"/>
      <c r="AT158"/>
      <c r="AU158"/>
      <c r="AV158"/>
      <c r="AW158"/>
      <c r="AX158"/>
      <c r="AY158"/>
      <c r="AZ158"/>
      <c r="BA158"/>
      <c r="BB158"/>
      <c r="BC158"/>
      <c r="BD158"/>
      <c r="BE158"/>
      <c r="BF158"/>
    </row>
    <row r="159" spans="8:58" x14ac:dyDescent="0.3">
      <c r="H159"/>
      <c r="I159"/>
      <c r="J159"/>
      <c r="K159"/>
      <c r="L159"/>
      <c r="M159"/>
      <c r="N159"/>
      <c r="O159"/>
      <c r="P159"/>
      <c r="S159" s="38"/>
      <c r="T159" s="38"/>
      <c r="U159" s="38"/>
      <c r="V159" s="38"/>
      <c r="W159" s="38"/>
      <c r="X159" s="38"/>
      <c r="Y159" s="38"/>
      <c r="Z159" s="38"/>
      <c r="AA159" s="38"/>
      <c r="AC159"/>
      <c r="AD159"/>
      <c r="AE159"/>
      <c r="AF159"/>
      <c r="AG159"/>
      <c r="AH159"/>
      <c r="AI159"/>
      <c r="AS159"/>
      <c r="AT159"/>
      <c r="AU159"/>
      <c r="AV159"/>
      <c r="AW159"/>
      <c r="AX159"/>
      <c r="AY159"/>
      <c r="AZ159"/>
      <c r="BA159"/>
      <c r="BB159"/>
      <c r="BC159"/>
      <c r="BD159"/>
      <c r="BE159"/>
      <c r="BF159"/>
    </row>
    <row r="160" spans="8:58" x14ac:dyDescent="0.3">
      <c r="H160"/>
      <c r="I160"/>
      <c r="J160"/>
      <c r="K160"/>
      <c r="L160"/>
      <c r="M160"/>
      <c r="N160"/>
      <c r="O160"/>
      <c r="P160"/>
      <c r="S160" s="38"/>
      <c r="T160" s="38"/>
      <c r="U160" s="38"/>
      <c r="V160" s="38"/>
      <c r="W160" s="38"/>
      <c r="X160" s="38"/>
      <c r="Y160" s="38"/>
      <c r="Z160" s="38"/>
      <c r="AA160" s="38"/>
      <c r="AC160"/>
      <c r="AD160"/>
      <c r="AE160"/>
      <c r="AF160"/>
      <c r="AG160"/>
      <c r="AH160"/>
      <c r="AI160"/>
      <c r="AS160"/>
      <c r="AT160"/>
      <c r="AU160"/>
      <c r="AV160"/>
      <c r="AW160"/>
      <c r="AX160"/>
      <c r="AY160"/>
      <c r="AZ160"/>
      <c r="BA160"/>
      <c r="BB160"/>
      <c r="BC160"/>
      <c r="BD160"/>
      <c r="BE160"/>
      <c r="BF160"/>
    </row>
    <row r="161" spans="8:58" x14ac:dyDescent="0.3">
      <c r="H161"/>
      <c r="I161"/>
      <c r="J161"/>
      <c r="K161"/>
      <c r="L161"/>
      <c r="M161"/>
      <c r="N161"/>
      <c r="O161"/>
      <c r="P161"/>
      <c r="S161" s="38"/>
      <c r="T161" s="38"/>
      <c r="U161" s="38"/>
      <c r="V161" s="38"/>
      <c r="W161" s="38"/>
      <c r="X161" s="38"/>
      <c r="Y161" s="38"/>
      <c r="Z161" s="38"/>
      <c r="AA161" s="38"/>
      <c r="AC161"/>
      <c r="AD161"/>
      <c r="AE161"/>
      <c r="AF161"/>
      <c r="AG161"/>
      <c r="AH161"/>
      <c r="AI161"/>
      <c r="AS161"/>
      <c r="AT161"/>
      <c r="AU161"/>
      <c r="AV161"/>
      <c r="AW161"/>
      <c r="AX161"/>
      <c r="AY161"/>
      <c r="AZ161"/>
      <c r="BA161"/>
      <c r="BB161"/>
      <c r="BC161"/>
      <c r="BD161"/>
      <c r="BE161"/>
      <c r="BF161"/>
    </row>
    <row r="162" spans="8:58" x14ac:dyDescent="0.3">
      <c r="H162"/>
      <c r="I162"/>
      <c r="J162"/>
      <c r="K162"/>
      <c r="L162"/>
      <c r="M162"/>
      <c r="N162"/>
      <c r="O162"/>
      <c r="P162"/>
      <c r="S162" s="38"/>
      <c r="T162" s="38"/>
      <c r="U162" s="38"/>
      <c r="V162" s="38"/>
      <c r="W162" s="38"/>
      <c r="X162" s="38"/>
      <c r="Y162" s="38"/>
      <c r="Z162" s="38"/>
      <c r="AA162" s="38"/>
      <c r="AC162"/>
      <c r="AD162"/>
      <c r="AE162"/>
      <c r="AF162"/>
      <c r="AG162"/>
      <c r="AH162"/>
      <c r="AI162"/>
      <c r="AS162"/>
      <c r="AT162"/>
      <c r="AU162"/>
      <c r="AV162"/>
      <c r="AW162"/>
      <c r="AX162"/>
      <c r="AY162"/>
      <c r="AZ162"/>
      <c r="BA162"/>
      <c r="BB162"/>
      <c r="BC162"/>
      <c r="BD162"/>
      <c r="BE162"/>
      <c r="BF162"/>
    </row>
    <row r="163" spans="8:58" x14ac:dyDescent="0.3">
      <c r="H163"/>
      <c r="I163"/>
      <c r="J163"/>
      <c r="K163"/>
      <c r="L163"/>
      <c r="M163"/>
      <c r="N163"/>
      <c r="O163"/>
      <c r="P163"/>
      <c r="S163" s="38"/>
      <c r="T163" s="38"/>
      <c r="U163" s="38"/>
      <c r="V163" s="38"/>
      <c r="W163" s="38"/>
      <c r="X163" s="38"/>
      <c r="Y163" s="38"/>
      <c r="Z163" s="38"/>
      <c r="AA163" s="38"/>
      <c r="AC163"/>
      <c r="AD163"/>
      <c r="AE163"/>
      <c r="AF163"/>
      <c r="AG163"/>
      <c r="AH163"/>
      <c r="AI163"/>
      <c r="AS163"/>
      <c r="AT163"/>
      <c r="AU163"/>
      <c r="AV163"/>
      <c r="AW163"/>
      <c r="AX163"/>
      <c r="AY163"/>
      <c r="AZ163"/>
      <c r="BA163"/>
      <c r="BB163"/>
      <c r="BC163"/>
      <c r="BD163"/>
      <c r="BE163"/>
      <c r="BF163"/>
    </row>
    <row r="164" spans="8:58" x14ac:dyDescent="0.3">
      <c r="H164"/>
      <c r="I164"/>
      <c r="J164"/>
      <c r="K164"/>
      <c r="L164"/>
      <c r="M164"/>
      <c r="N164"/>
      <c r="O164"/>
      <c r="P164"/>
      <c r="S164" s="38"/>
      <c r="T164" s="38"/>
      <c r="U164" s="38"/>
      <c r="V164" s="38"/>
      <c r="W164" s="38"/>
      <c r="X164" s="38"/>
      <c r="Y164" s="38"/>
      <c r="Z164" s="38"/>
      <c r="AA164" s="38"/>
      <c r="AC164"/>
      <c r="AD164"/>
      <c r="AE164"/>
      <c r="AF164"/>
      <c r="AG164"/>
      <c r="AH164"/>
      <c r="AI164"/>
      <c r="AS164"/>
      <c r="AT164"/>
      <c r="AU164"/>
      <c r="AV164"/>
      <c r="AW164"/>
      <c r="AX164"/>
      <c r="AY164"/>
      <c r="AZ164"/>
      <c r="BA164"/>
      <c r="BB164"/>
      <c r="BC164"/>
      <c r="BD164"/>
      <c r="BE164"/>
      <c r="BF164"/>
    </row>
    <row r="165" spans="8:58" x14ac:dyDescent="0.3">
      <c r="H165"/>
      <c r="I165"/>
      <c r="J165"/>
      <c r="K165"/>
      <c r="L165"/>
      <c r="M165"/>
      <c r="N165"/>
      <c r="O165"/>
      <c r="P165"/>
      <c r="S165" s="38"/>
      <c r="T165" s="38"/>
      <c r="U165" s="38"/>
      <c r="V165" s="38"/>
      <c r="W165" s="38"/>
      <c r="X165" s="38"/>
      <c r="Y165" s="38"/>
      <c r="Z165" s="38"/>
      <c r="AA165" s="38"/>
      <c r="AC165"/>
      <c r="AD165"/>
      <c r="AE165"/>
      <c r="AF165"/>
      <c r="AG165"/>
      <c r="AH165"/>
      <c r="AI165"/>
      <c r="AS165"/>
      <c r="AT165"/>
      <c r="AU165"/>
      <c r="AV165"/>
      <c r="AW165"/>
      <c r="AX165"/>
      <c r="AY165"/>
      <c r="AZ165"/>
      <c r="BA165"/>
      <c r="BB165"/>
      <c r="BC165"/>
      <c r="BD165"/>
      <c r="BE165"/>
      <c r="BF165"/>
    </row>
    <row r="166" spans="8:58" x14ac:dyDescent="0.3">
      <c r="H166"/>
      <c r="I166"/>
      <c r="J166"/>
      <c r="K166"/>
      <c r="L166"/>
      <c r="M166"/>
      <c r="N166"/>
      <c r="O166"/>
      <c r="P166"/>
      <c r="S166" s="38"/>
      <c r="T166" s="38"/>
      <c r="U166" s="38"/>
      <c r="V166" s="38"/>
      <c r="W166" s="38"/>
      <c r="X166" s="38"/>
      <c r="Y166" s="38"/>
      <c r="Z166" s="38"/>
      <c r="AA166" s="38"/>
      <c r="AC166"/>
      <c r="AD166"/>
      <c r="AE166"/>
      <c r="AF166"/>
      <c r="AG166"/>
      <c r="AH166"/>
      <c r="AI166"/>
      <c r="AS166"/>
      <c r="AT166"/>
      <c r="AU166"/>
      <c r="AV166"/>
      <c r="AW166"/>
      <c r="AX166"/>
      <c r="AY166"/>
      <c r="AZ166"/>
      <c r="BA166"/>
      <c r="BB166"/>
      <c r="BC166"/>
      <c r="BD166"/>
      <c r="BE166"/>
      <c r="BF166"/>
    </row>
    <row r="167" spans="8:58" x14ac:dyDescent="0.3">
      <c r="H167"/>
      <c r="I167"/>
      <c r="J167"/>
      <c r="K167"/>
      <c r="L167"/>
      <c r="M167"/>
      <c r="N167"/>
      <c r="O167"/>
      <c r="P167"/>
      <c r="S167" s="38"/>
      <c r="T167" s="38"/>
      <c r="U167" s="38"/>
      <c r="V167" s="38"/>
      <c r="W167" s="38"/>
      <c r="X167" s="38"/>
      <c r="Y167" s="38"/>
      <c r="Z167" s="38"/>
      <c r="AA167" s="38"/>
      <c r="AC167"/>
      <c r="AD167"/>
      <c r="AE167"/>
      <c r="AF167"/>
      <c r="AG167"/>
      <c r="AH167"/>
      <c r="AI167"/>
      <c r="AS167"/>
      <c r="AT167"/>
      <c r="AU167"/>
      <c r="AV167"/>
      <c r="AW167"/>
      <c r="AX167"/>
      <c r="AY167"/>
      <c r="AZ167"/>
      <c r="BA167"/>
      <c r="BB167"/>
      <c r="BC167"/>
      <c r="BD167"/>
      <c r="BE167"/>
      <c r="BF167"/>
    </row>
    <row r="168" spans="8:58" x14ac:dyDescent="0.3">
      <c r="H168"/>
      <c r="I168"/>
      <c r="J168"/>
      <c r="K168"/>
      <c r="L168"/>
      <c r="M168"/>
      <c r="N168"/>
      <c r="O168"/>
      <c r="P168"/>
      <c r="S168" s="38"/>
      <c r="T168" s="38"/>
      <c r="U168" s="38"/>
      <c r="V168" s="38"/>
      <c r="W168" s="38"/>
      <c r="X168" s="38"/>
      <c r="Y168" s="38"/>
      <c r="Z168" s="38"/>
      <c r="AA168" s="38"/>
      <c r="AC168"/>
      <c r="AD168"/>
      <c r="AE168"/>
      <c r="AF168"/>
      <c r="AG168"/>
      <c r="AH168"/>
      <c r="AI168"/>
      <c r="AS168"/>
      <c r="AT168"/>
      <c r="AU168"/>
      <c r="AV168"/>
      <c r="AW168"/>
      <c r="AX168"/>
      <c r="AY168"/>
      <c r="AZ168"/>
      <c r="BA168"/>
      <c r="BB168"/>
      <c r="BC168"/>
      <c r="BD168"/>
      <c r="BE168"/>
      <c r="BF168"/>
    </row>
    <row r="169" spans="8:58" x14ac:dyDescent="0.3">
      <c r="H169"/>
      <c r="I169"/>
      <c r="J169"/>
      <c r="K169"/>
      <c r="L169"/>
      <c r="M169"/>
      <c r="N169"/>
      <c r="O169"/>
      <c r="P169"/>
      <c r="S169" s="38"/>
      <c r="T169" s="38"/>
      <c r="U169" s="38"/>
      <c r="V169" s="38"/>
      <c r="W169" s="38"/>
      <c r="X169" s="38"/>
      <c r="Y169" s="38"/>
      <c r="Z169" s="38"/>
      <c r="AA169" s="38"/>
      <c r="AC169"/>
      <c r="AD169"/>
      <c r="AE169"/>
      <c r="AF169"/>
      <c r="AG169"/>
      <c r="AH169"/>
      <c r="AI169"/>
      <c r="AS169"/>
      <c r="AT169"/>
      <c r="AU169"/>
      <c r="AV169"/>
      <c r="AW169"/>
      <c r="AX169"/>
      <c r="AY169"/>
      <c r="AZ169"/>
      <c r="BA169"/>
      <c r="BB169"/>
      <c r="BC169"/>
      <c r="BD169"/>
      <c r="BE169"/>
      <c r="BF169"/>
    </row>
    <row r="170" spans="8:58" x14ac:dyDescent="0.3">
      <c r="H170"/>
      <c r="I170"/>
      <c r="J170"/>
      <c r="K170"/>
      <c r="L170"/>
      <c r="M170"/>
      <c r="N170"/>
      <c r="O170"/>
      <c r="P170"/>
      <c r="S170" s="38"/>
      <c r="T170" s="38"/>
      <c r="U170" s="38"/>
      <c r="V170" s="38"/>
      <c r="W170" s="38"/>
      <c r="X170" s="38"/>
      <c r="Y170" s="38"/>
      <c r="Z170" s="38"/>
      <c r="AA170" s="38"/>
      <c r="AC170"/>
      <c r="AD170"/>
      <c r="AE170"/>
      <c r="AF170"/>
      <c r="AG170"/>
      <c r="AH170"/>
      <c r="AI170"/>
      <c r="AS170"/>
      <c r="AT170"/>
      <c r="AU170"/>
      <c r="AV170"/>
      <c r="AW170"/>
      <c r="AX170"/>
      <c r="AY170"/>
      <c r="AZ170"/>
      <c r="BA170"/>
      <c r="BB170"/>
      <c r="BC170"/>
      <c r="BD170"/>
      <c r="BE170"/>
      <c r="BF170"/>
    </row>
    <row r="171" spans="8:58" x14ac:dyDescent="0.3">
      <c r="H171"/>
      <c r="I171"/>
      <c r="J171"/>
      <c r="K171"/>
      <c r="L171"/>
      <c r="M171"/>
      <c r="N171"/>
      <c r="O171"/>
      <c r="P171"/>
      <c r="S171" s="38"/>
      <c r="T171" s="38"/>
      <c r="U171" s="38"/>
      <c r="V171" s="38"/>
      <c r="W171" s="38"/>
      <c r="X171" s="38"/>
      <c r="Y171" s="38"/>
      <c r="Z171" s="38"/>
      <c r="AA171" s="38"/>
      <c r="AC171"/>
      <c r="AD171"/>
      <c r="AE171"/>
      <c r="AF171"/>
      <c r="AG171"/>
      <c r="AH171"/>
      <c r="AI171"/>
      <c r="AS171"/>
      <c r="AT171"/>
      <c r="AU171"/>
      <c r="AV171"/>
      <c r="AW171"/>
      <c r="AX171"/>
      <c r="AY171"/>
      <c r="AZ171"/>
      <c r="BA171"/>
      <c r="BB171"/>
      <c r="BC171"/>
      <c r="BD171"/>
      <c r="BE171"/>
      <c r="BF171"/>
    </row>
    <row r="172" spans="8:58" x14ac:dyDescent="0.3">
      <c r="H172"/>
      <c r="I172"/>
      <c r="J172"/>
      <c r="K172"/>
      <c r="L172"/>
      <c r="M172"/>
      <c r="N172"/>
      <c r="O172"/>
      <c r="P172"/>
      <c r="S172" s="38"/>
      <c r="T172" s="38"/>
      <c r="U172" s="38"/>
      <c r="V172" s="38"/>
      <c r="W172" s="38"/>
      <c r="X172" s="38"/>
      <c r="Y172" s="38"/>
      <c r="Z172" s="38"/>
      <c r="AA172" s="38"/>
      <c r="AC172"/>
      <c r="AD172"/>
      <c r="AE172"/>
      <c r="AF172"/>
      <c r="AG172"/>
      <c r="AH172"/>
      <c r="AI172"/>
      <c r="AS172"/>
      <c r="AT172"/>
      <c r="AU172"/>
      <c r="AV172"/>
      <c r="AW172"/>
      <c r="AX172"/>
      <c r="AY172"/>
      <c r="AZ172"/>
      <c r="BA172"/>
      <c r="BB172"/>
      <c r="BC172"/>
      <c r="BD172"/>
      <c r="BE172"/>
      <c r="BF172"/>
    </row>
    <row r="173" spans="8:58" x14ac:dyDescent="0.3">
      <c r="H173"/>
      <c r="I173"/>
      <c r="J173"/>
      <c r="K173"/>
      <c r="L173"/>
      <c r="M173"/>
      <c r="N173"/>
      <c r="O173"/>
      <c r="P173"/>
      <c r="S173" s="38"/>
      <c r="T173" s="38"/>
      <c r="U173" s="38"/>
      <c r="V173" s="38"/>
      <c r="W173" s="38"/>
      <c r="X173" s="38"/>
      <c r="Y173" s="38"/>
      <c r="Z173" s="38"/>
      <c r="AA173" s="38"/>
      <c r="AC173"/>
      <c r="AD173"/>
      <c r="AE173"/>
      <c r="AF173"/>
      <c r="AG173"/>
      <c r="AH173"/>
      <c r="AI173"/>
      <c r="AS173"/>
      <c r="AT173"/>
      <c r="AU173"/>
      <c r="AV173"/>
      <c r="AW173"/>
      <c r="AX173"/>
      <c r="AY173"/>
      <c r="AZ173"/>
      <c r="BA173"/>
      <c r="BB173"/>
      <c r="BC173"/>
      <c r="BD173"/>
      <c r="BE173"/>
      <c r="BF173"/>
    </row>
    <row r="174" spans="8:58" x14ac:dyDescent="0.3">
      <c r="H174"/>
      <c r="I174"/>
      <c r="J174"/>
      <c r="K174"/>
      <c r="L174"/>
      <c r="M174"/>
      <c r="N174"/>
      <c r="O174"/>
      <c r="P174"/>
      <c r="S174" s="38"/>
      <c r="T174" s="38"/>
      <c r="U174" s="38"/>
      <c r="V174" s="38"/>
      <c r="W174" s="38"/>
      <c r="X174" s="38"/>
      <c r="Y174" s="38"/>
      <c r="Z174" s="38"/>
      <c r="AA174" s="38"/>
      <c r="AC174"/>
      <c r="AD174"/>
      <c r="AE174"/>
      <c r="AF174"/>
      <c r="AG174"/>
      <c r="AH174"/>
      <c r="AI174"/>
      <c r="AS174"/>
      <c r="AT174"/>
      <c r="AU174"/>
      <c r="AV174"/>
      <c r="AW174"/>
      <c r="AX174"/>
      <c r="AY174"/>
      <c r="AZ174"/>
      <c r="BA174"/>
      <c r="BB174"/>
      <c r="BC174"/>
      <c r="BD174"/>
      <c r="BE174"/>
      <c r="BF174"/>
    </row>
    <row r="175" spans="8:58" x14ac:dyDescent="0.3">
      <c r="H175"/>
      <c r="I175"/>
      <c r="J175"/>
      <c r="K175"/>
      <c r="L175"/>
      <c r="M175"/>
      <c r="N175"/>
      <c r="O175"/>
      <c r="P175"/>
      <c r="S175" s="38"/>
      <c r="T175" s="38"/>
      <c r="U175" s="38"/>
      <c r="V175" s="38"/>
      <c r="W175" s="38"/>
      <c r="X175" s="38"/>
      <c r="Y175" s="38"/>
      <c r="Z175" s="38"/>
      <c r="AA175" s="38"/>
      <c r="AC175"/>
      <c r="AD175"/>
      <c r="AE175"/>
      <c r="AF175"/>
      <c r="AG175"/>
      <c r="AH175"/>
      <c r="AI175"/>
      <c r="AS175"/>
      <c r="AT175"/>
      <c r="AU175"/>
      <c r="AV175"/>
      <c r="AW175"/>
      <c r="AX175"/>
      <c r="AY175"/>
      <c r="AZ175"/>
      <c r="BA175"/>
      <c r="BB175"/>
      <c r="BC175"/>
      <c r="BD175"/>
      <c r="BE175"/>
      <c r="BF175"/>
    </row>
    <row r="176" spans="8:58" x14ac:dyDescent="0.3">
      <c r="H176"/>
      <c r="I176"/>
      <c r="J176"/>
      <c r="K176"/>
      <c r="L176"/>
      <c r="M176"/>
      <c r="N176"/>
      <c r="O176"/>
      <c r="P176"/>
      <c r="S176" s="38"/>
      <c r="T176" s="38"/>
      <c r="U176" s="38"/>
      <c r="V176" s="38"/>
      <c r="W176" s="38"/>
      <c r="X176" s="38"/>
      <c r="Y176" s="38"/>
      <c r="Z176" s="38"/>
      <c r="AA176" s="38"/>
      <c r="AC176"/>
      <c r="AD176"/>
      <c r="AE176"/>
      <c r="AF176"/>
      <c r="AG176"/>
      <c r="AH176"/>
      <c r="AI176"/>
      <c r="AS176"/>
      <c r="AT176"/>
      <c r="AU176"/>
      <c r="AV176"/>
      <c r="AW176"/>
      <c r="AX176"/>
      <c r="AY176"/>
      <c r="AZ176"/>
      <c r="BA176"/>
      <c r="BB176"/>
      <c r="BC176"/>
      <c r="BD176"/>
      <c r="BE176"/>
      <c r="BF176"/>
    </row>
    <row r="177" spans="8:58" x14ac:dyDescent="0.3">
      <c r="H177"/>
      <c r="I177"/>
      <c r="J177"/>
      <c r="K177"/>
      <c r="L177"/>
      <c r="M177"/>
      <c r="N177"/>
      <c r="O177"/>
      <c r="P177"/>
      <c r="S177" s="38"/>
      <c r="T177" s="38"/>
      <c r="U177" s="38"/>
      <c r="V177" s="38"/>
      <c r="W177" s="38"/>
      <c r="X177" s="38"/>
      <c r="Y177" s="38"/>
      <c r="Z177" s="38"/>
      <c r="AA177" s="38"/>
      <c r="AC177"/>
      <c r="AD177"/>
      <c r="AE177"/>
      <c r="AF177"/>
      <c r="AG177"/>
      <c r="AH177"/>
      <c r="AI177"/>
      <c r="AS177"/>
      <c r="AT177"/>
      <c r="AU177"/>
      <c r="AV177"/>
      <c r="AW177"/>
      <c r="AX177"/>
      <c r="AY177"/>
      <c r="AZ177"/>
      <c r="BA177"/>
      <c r="BB177"/>
      <c r="BC177"/>
      <c r="BD177"/>
      <c r="BE177"/>
      <c r="BF177"/>
    </row>
    <row r="178" spans="8:58" x14ac:dyDescent="0.3">
      <c r="H178"/>
      <c r="I178"/>
      <c r="J178"/>
      <c r="K178"/>
      <c r="L178"/>
      <c r="M178"/>
      <c r="N178"/>
      <c r="O178"/>
      <c r="P178"/>
      <c r="S178" s="38"/>
      <c r="T178" s="38"/>
      <c r="U178" s="38"/>
      <c r="V178" s="38"/>
      <c r="W178" s="38"/>
      <c r="X178" s="38"/>
      <c r="Y178" s="38"/>
      <c r="Z178" s="38"/>
      <c r="AA178" s="38"/>
      <c r="AC178"/>
      <c r="AD178"/>
      <c r="AE178"/>
      <c r="AF178"/>
      <c r="AG178"/>
      <c r="AH178"/>
      <c r="AI178"/>
      <c r="AS178"/>
      <c r="AT178"/>
      <c r="AU178"/>
      <c r="AV178"/>
      <c r="AW178"/>
      <c r="AX178"/>
      <c r="AY178"/>
      <c r="AZ178"/>
      <c r="BA178"/>
      <c r="BB178"/>
      <c r="BC178"/>
      <c r="BD178"/>
      <c r="BE178"/>
      <c r="BF178"/>
    </row>
    <row r="179" spans="8:58" x14ac:dyDescent="0.3">
      <c r="H179"/>
      <c r="I179"/>
      <c r="J179"/>
      <c r="K179"/>
      <c r="L179"/>
      <c r="M179"/>
      <c r="N179"/>
      <c r="O179"/>
      <c r="P179"/>
      <c r="S179" s="38"/>
      <c r="T179" s="38"/>
      <c r="U179" s="38"/>
      <c r="V179" s="38"/>
      <c r="W179" s="38"/>
      <c r="X179" s="38"/>
      <c r="Y179" s="38"/>
      <c r="Z179" s="38"/>
      <c r="AA179" s="38"/>
      <c r="AC179"/>
      <c r="AD179"/>
      <c r="AE179"/>
      <c r="AF179"/>
      <c r="AG179"/>
      <c r="AH179"/>
      <c r="AI179"/>
      <c r="AS179"/>
      <c r="AT179"/>
      <c r="AU179"/>
      <c r="AV179"/>
      <c r="AW179"/>
      <c r="AX179"/>
      <c r="AY179"/>
      <c r="AZ179"/>
      <c r="BA179"/>
      <c r="BB179"/>
      <c r="BC179"/>
      <c r="BD179"/>
      <c r="BE179"/>
      <c r="BF179"/>
    </row>
    <row r="180" spans="8:58" x14ac:dyDescent="0.3">
      <c r="H180"/>
      <c r="I180"/>
      <c r="J180"/>
      <c r="K180"/>
      <c r="L180"/>
      <c r="M180"/>
      <c r="N180"/>
      <c r="O180"/>
      <c r="P180"/>
      <c r="S180" s="38"/>
      <c r="T180" s="38"/>
      <c r="U180" s="38"/>
      <c r="V180" s="38"/>
      <c r="W180" s="38"/>
      <c r="X180" s="38"/>
      <c r="Y180" s="38"/>
      <c r="Z180" s="38"/>
      <c r="AA180" s="38"/>
      <c r="AC180"/>
      <c r="AD180"/>
      <c r="AE180"/>
      <c r="AF180"/>
      <c r="AG180"/>
      <c r="AH180"/>
      <c r="AI180"/>
      <c r="AS180"/>
      <c r="AT180"/>
      <c r="AU180"/>
      <c r="AV180"/>
      <c r="AW180"/>
      <c r="AX180"/>
      <c r="AY180"/>
      <c r="AZ180"/>
      <c r="BA180"/>
      <c r="BB180"/>
      <c r="BC180"/>
      <c r="BD180"/>
      <c r="BE180"/>
      <c r="BF180"/>
    </row>
    <row r="181" spans="8:58" x14ac:dyDescent="0.3">
      <c r="H181"/>
      <c r="I181"/>
      <c r="J181"/>
      <c r="K181"/>
      <c r="L181"/>
      <c r="M181"/>
      <c r="N181"/>
      <c r="O181"/>
      <c r="P181"/>
      <c r="S181" s="38"/>
      <c r="T181" s="38"/>
      <c r="U181" s="38"/>
      <c r="V181" s="38"/>
      <c r="W181" s="38"/>
      <c r="X181" s="38"/>
      <c r="Y181" s="38"/>
      <c r="Z181" s="38"/>
      <c r="AA181" s="38"/>
      <c r="AC181"/>
      <c r="AD181"/>
      <c r="AE181"/>
      <c r="AF181"/>
      <c r="AG181"/>
      <c r="AH181"/>
      <c r="AI181"/>
      <c r="AS181"/>
      <c r="AT181"/>
      <c r="AU181"/>
      <c r="AV181"/>
      <c r="AW181"/>
      <c r="AX181"/>
      <c r="AY181"/>
      <c r="AZ181"/>
      <c r="BA181"/>
      <c r="BB181"/>
      <c r="BC181"/>
      <c r="BD181"/>
      <c r="BE181"/>
      <c r="BF181"/>
    </row>
    <row r="182" spans="8:58" x14ac:dyDescent="0.3">
      <c r="H182"/>
      <c r="I182"/>
      <c r="J182"/>
      <c r="K182"/>
      <c r="L182"/>
      <c r="M182"/>
      <c r="N182"/>
      <c r="O182"/>
      <c r="P182"/>
      <c r="S182" s="38"/>
      <c r="T182" s="38"/>
      <c r="U182" s="38"/>
      <c r="V182" s="38"/>
      <c r="W182" s="38"/>
      <c r="X182" s="38"/>
      <c r="Y182" s="38"/>
      <c r="Z182" s="38"/>
      <c r="AA182" s="38"/>
      <c r="AC182"/>
      <c r="AD182"/>
      <c r="AE182"/>
      <c r="AF182"/>
      <c r="AG182"/>
      <c r="AH182"/>
      <c r="AI182"/>
      <c r="AS182"/>
      <c r="AT182"/>
      <c r="AU182"/>
      <c r="AV182"/>
      <c r="AW182"/>
      <c r="AX182"/>
      <c r="AY182"/>
      <c r="AZ182"/>
      <c r="BA182"/>
      <c r="BB182"/>
      <c r="BC182"/>
      <c r="BD182"/>
      <c r="BE182"/>
      <c r="BF182"/>
    </row>
    <row r="183" spans="8:58" x14ac:dyDescent="0.3">
      <c r="H183"/>
      <c r="I183"/>
      <c r="J183"/>
      <c r="K183"/>
      <c r="L183"/>
      <c r="M183"/>
      <c r="N183"/>
      <c r="O183"/>
      <c r="P183"/>
      <c r="S183" s="38"/>
      <c r="T183" s="38"/>
      <c r="U183" s="38"/>
      <c r="V183" s="38"/>
      <c r="W183" s="38"/>
      <c r="X183" s="38"/>
      <c r="Y183" s="38"/>
      <c r="Z183" s="38"/>
      <c r="AA183" s="38"/>
      <c r="AC183"/>
      <c r="AD183"/>
      <c r="AE183"/>
      <c r="AF183"/>
      <c r="AG183"/>
      <c r="AH183"/>
      <c r="AI183"/>
      <c r="AS183"/>
      <c r="AT183"/>
      <c r="AU183"/>
      <c r="AV183"/>
      <c r="AW183"/>
      <c r="AX183"/>
      <c r="AY183"/>
      <c r="AZ183"/>
      <c r="BA183"/>
      <c r="BB183"/>
      <c r="BC183"/>
      <c r="BD183"/>
      <c r="BE183"/>
      <c r="BF183"/>
    </row>
    <row r="184" spans="8:58" x14ac:dyDescent="0.3">
      <c r="H184"/>
      <c r="I184"/>
      <c r="J184"/>
      <c r="K184"/>
      <c r="L184"/>
      <c r="M184"/>
      <c r="N184"/>
      <c r="O184"/>
      <c r="P184"/>
      <c r="S184" s="38"/>
      <c r="T184" s="38"/>
      <c r="U184" s="38"/>
      <c r="V184" s="38"/>
      <c r="W184" s="38"/>
      <c r="X184" s="38"/>
      <c r="Y184" s="38"/>
      <c r="Z184" s="38"/>
      <c r="AA184" s="38"/>
      <c r="AC184"/>
      <c r="AD184"/>
      <c r="AE184"/>
      <c r="AF184"/>
      <c r="AG184"/>
      <c r="AH184"/>
      <c r="AI184"/>
      <c r="AS184"/>
      <c r="AT184"/>
      <c r="AU184"/>
      <c r="AV184"/>
      <c r="AW184"/>
      <c r="AX184"/>
      <c r="AY184"/>
      <c r="AZ184"/>
      <c r="BA184"/>
      <c r="BB184"/>
      <c r="BC184"/>
      <c r="BD184"/>
      <c r="BE184"/>
      <c r="BF184"/>
    </row>
    <row r="185" spans="8:58" x14ac:dyDescent="0.3">
      <c r="H185"/>
      <c r="I185"/>
      <c r="J185"/>
      <c r="K185"/>
      <c r="L185"/>
      <c r="M185"/>
      <c r="N185"/>
      <c r="O185"/>
      <c r="P185"/>
      <c r="S185" s="38"/>
      <c r="T185" s="38"/>
      <c r="U185" s="38"/>
      <c r="V185" s="38"/>
      <c r="W185" s="38"/>
      <c r="X185" s="38"/>
      <c r="Y185" s="38"/>
      <c r="Z185" s="38"/>
      <c r="AA185" s="38"/>
      <c r="AC185"/>
      <c r="AD185"/>
      <c r="AE185"/>
      <c r="AF185"/>
      <c r="AG185"/>
      <c r="AH185"/>
      <c r="AI185"/>
      <c r="AS185"/>
      <c r="AT185"/>
      <c r="AU185"/>
      <c r="AV185"/>
      <c r="AW185"/>
      <c r="AX185"/>
      <c r="AY185"/>
      <c r="AZ185"/>
      <c r="BA185"/>
      <c r="BB185"/>
      <c r="BC185"/>
      <c r="BD185"/>
      <c r="BE185"/>
      <c r="BF185"/>
    </row>
    <row r="186" spans="8:58" x14ac:dyDescent="0.3">
      <c r="H186"/>
      <c r="I186"/>
      <c r="J186"/>
      <c r="K186"/>
      <c r="L186"/>
      <c r="M186"/>
      <c r="N186"/>
      <c r="O186"/>
      <c r="P186"/>
      <c r="S186" s="38"/>
      <c r="T186" s="38"/>
      <c r="U186" s="38"/>
      <c r="V186" s="38"/>
      <c r="W186" s="38"/>
      <c r="X186" s="38"/>
      <c r="Y186" s="38"/>
      <c r="Z186" s="38"/>
      <c r="AA186" s="38"/>
      <c r="AC186"/>
      <c r="AD186"/>
      <c r="AE186"/>
      <c r="AF186"/>
      <c r="AG186"/>
      <c r="AH186"/>
      <c r="AI186"/>
      <c r="AS186"/>
      <c r="AT186"/>
      <c r="AU186"/>
      <c r="AV186"/>
      <c r="AW186"/>
      <c r="AX186"/>
      <c r="AY186"/>
      <c r="AZ186"/>
      <c r="BA186"/>
      <c r="BB186"/>
      <c r="BC186"/>
      <c r="BD186"/>
      <c r="BE186"/>
      <c r="BF186"/>
    </row>
    <row r="187" spans="8:58" x14ac:dyDescent="0.3">
      <c r="H187"/>
      <c r="I187"/>
      <c r="J187"/>
      <c r="K187"/>
      <c r="L187"/>
      <c r="M187"/>
      <c r="N187"/>
      <c r="O187"/>
      <c r="P187"/>
      <c r="S187" s="38"/>
      <c r="T187" s="38"/>
      <c r="U187" s="38"/>
      <c r="V187" s="38"/>
      <c r="W187" s="38"/>
      <c r="X187" s="38"/>
      <c r="Y187" s="38"/>
      <c r="Z187" s="38"/>
      <c r="AA187" s="38"/>
      <c r="AC187"/>
      <c r="AD187"/>
      <c r="AE187"/>
      <c r="AF187"/>
      <c r="AG187"/>
      <c r="AH187"/>
      <c r="AI187"/>
      <c r="AS187"/>
      <c r="AT187"/>
      <c r="AU187"/>
      <c r="AV187"/>
      <c r="AW187"/>
      <c r="AX187"/>
      <c r="AY187"/>
      <c r="AZ187"/>
      <c r="BA187"/>
      <c r="BB187"/>
      <c r="BC187"/>
      <c r="BD187"/>
      <c r="BE187"/>
      <c r="BF187"/>
    </row>
    <row r="188" spans="8:58" x14ac:dyDescent="0.3">
      <c r="H188"/>
      <c r="I188"/>
      <c r="J188"/>
      <c r="K188"/>
      <c r="L188"/>
      <c r="M188"/>
      <c r="N188"/>
      <c r="O188"/>
      <c r="P188"/>
      <c r="S188" s="38"/>
      <c r="T188" s="38"/>
      <c r="U188" s="38"/>
      <c r="V188" s="38"/>
      <c r="W188" s="38"/>
      <c r="X188" s="38"/>
      <c r="Y188" s="38"/>
      <c r="Z188" s="38"/>
      <c r="AA188" s="38"/>
      <c r="AC188"/>
      <c r="AD188"/>
      <c r="AE188"/>
      <c r="AF188"/>
      <c r="AG188"/>
      <c r="AH188"/>
      <c r="AI188"/>
      <c r="AS188"/>
      <c r="AT188"/>
      <c r="AU188"/>
      <c r="AV188"/>
      <c r="AW188"/>
      <c r="AX188"/>
      <c r="AY188"/>
      <c r="AZ188"/>
      <c r="BA188"/>
      <c r="BB188"/>
      <c r="BC188"/>
      <c r="BD188"/>
      <c r="BE188"/>
      <c r="BF188"/>
    </row>
    <row r="189" spans="8:58" x14ac:dyDescent="0.3">
      <c r="H189"/>
      <c r="I189"/>
      <c r="J189"/>
      <c r="K189"/>
      <c r="L189"/>
      <c r="M189"/>
      <c r="N189"/>
      <c r="O189"/>
      <c r="P189"/>
      <c r="S189" s="38"/>
      <c r="T189" s="38"/>
      <c r="U189" s="38"/>
      <c r="V189" s="38"/>
      <c r="W189" s="38"/>
      <c r="X189" s="38"/>
      <c r="Y189" s="38"/>
      <c r="Z189" s="38"/>
      <c r="AA189" s="38"/>
      <c r="AC189"/>
      <c r="AD189"/>
      <c r="AE189"/>
      <c r="AF189"/>
      <c r="AG189"/>
      <c r="AH189"/>
      <c r="AI189"/>
      <c r="AS189"/>
      <c r="AT189"/>
      <c r="AU189"/>
      <c r="AV189"/>
      <c r="AW189"/>
      <c r="AX189"/>
      <c r="AY189"/>
      <c r="AZ189"/>
      <c r="BA189"/>
      <c r="BB189"/>
      <c r="BC189"/>
      <c r="BD189"/>
      <c r="BE189"/>
      <c r="BF189"/>
    </row>
    <row r="190" spans="8:58" x14ac:dyDescent="0.3">
      <c r="H190"/>
      <c r="I190"/>
      <c r="J190"/>
      <c r="K190"/>
      <c r="L190"/>
      <c r="M190"/>
      <c r="N190"/>
      <c r="O190"/>
      <c r="P190"/>
      <c r="S190" s="38"/>
      <c r="T190" s="38"/>
      <c r="U190" s="38"/>
      <c r="V190" s="38"/>
      <c r="W190" s="38"/>
      <c r="X190" s="38"/>
      <c r="Y190" s="38"/>
      <c r="Z190" s="38"/>
      <c r="AA190" s="38"/>
      <c r="AC190"/>
      <c r="AD190"/>
      <c r="AE190"/>
      <c r="AF190"/>
      <c r="AG190"/>
      <c r="AH190"/>
      <c r="AI190"/>
      <c r="AS190"/>
      <c r="AT190"/>
      <c r="AU190"/>
      <c r="AV190"/>
      <c r="AW190"/>
      <c r="AX190"/>
      <c r="AY190"/>
      <c r="AZ190"/>
      <c r="BA190"/>
      <c r="BB190"/>
      <c r="BC190"/>
      <c r="BD190"/>
      <c r="BE190"/>
      <c r="BF190"/>
    </row>
    <row r="191" spans="8:58" x14ac:dyDescent="0.3">
      <c r="H191"/>
      <c r="I191"/>
      <c r="J191"/>
      <c r="K191"/>
      <c r="L191"/>
      <c r="M191"/>
      <c r="N191"/>
      <c r="O191"/>
      <c r="P191"/>
      <c r="S191" s="38"/>
      <c r="T191" s="38"/>
      <c r="U191" s="38"/>
      <c r="V191" s="38"/>
      <c r="W191" s="38"/>
      <c r="X191" s="38"/>
      <c r="Y191" s="38"/>
      <c r="Z191" s="38"/>
      <c r="AA191" s="38"/>
      <c r="AC191"/>
      <c r="AD191"/>
      <c r="AE191"/>
      <c r="AF191"/>
      <c r="AG191"/>
      <c r="AH191"/>
      <c r="AI191"/>
      <c r="AS191"/>
      <c r="AT191"/>
      <c r="AU191"/>
      <c r="AV191"/>
      <c r="AW191"/>
      <c r="AX191"/>
      <c r="AY191"/>
      <c r="AZ191"/>
      <c r="BA191"/>
      <c r="BB191"/>
      <c r="BC191"/>
      <c r="BD191"/>
      <c r="BE191"/>
      <c r="BF191"/>
    </row>
    <row r="192" spans="8:58" x14ac:dyDescent="0.3">
      <c r="H192"/>
      <c r="I192"/>
      <c r="J192"/>
      <c r="K192"/>
      <c r="L192"/>
      <c r="M192"/>
      <c r="N192"/>
      <c r="O192"/>
      <c r="P192"/>
      <c r="S192" s="38"/>
      <c r="T192" s="38"/>
      <c r="U192" s="38"/>
      <c r="V192" s="38"/>
      <c r="W192" s="38"/>
      <c r="X192" s="38"/>
      <c r="Y192" s="38"/>
      <c r="Z192" s="38"/>
      <c r="AA192" s="38"/>
      <c r="AC192"/>
      <c r="AD192"/>
      <c r="AE192"/>
      <c r="AF192"/>
      <c r="AG192"/>
      <c r="AH192"/>
      <c r="AI192"/>
      <c r="AS192"/>
      <c r="AT192"/>
      <c r="AU192"/>
      <c r="AV192"/>
      <c r="AW192"/>
      <c r="AX192"/>
      <c r="AY192"/>
      <c r="AZ192"/>
      <c r="BA192"/>
      <c r="BB192"/>
      <c r="BC192"/>
      <c r="BD192"/>
      <c r="BE192"/>
      <c r="BF192"/>
    </row>
    <row r="193" spans="8:58" x14ac:dyDescent="0.3">
      <c r="H193"/>
      <c r="I193"/>
      <c r="J193"/>
      <c r="K193"/>
      <c r="L193"/>
      <c r="M193"/>
      <c r="N193"/>
      <c r="O193"/>
      <c r="P193"/>
      <c r="S193" s="38"/>
      <c r="T193" s="38"/>
      <c r="U193" s="38"/>
      <c r="V193" s="38"/>
      <c r="W193" s="38"/>
      <c r="X193" s="38"/>
      <c r="Y193" s="38"/>
      <c r="Z193" s="38"/>
      <c r="AA193" s="38"/>
      <c r="AC193"/>
      <c r="AD193"/>
      <c r="AE193"/>
      <c r="AF193"/>
      <c r="AG193"/>
      <c r="AH193"/>
      <c r="AI193"/>
      <c r="AS193"/>
      <c r="AT193"/>
      <c r="AU193"/>
      <c r="AV193"/>
      <c r="AW193"/>
      <c r="AX193"/>
      <c r="AY193"/>
      <c r="AZ193"/>
      <c r="BA193"/>
      <c r="BB193"/>
      <c r="BC193"/>
      <c r="BD193"/>
      <c r="BE193"/>
      <c r="BF193"/>
    </row>
    <row r="194" spans="8:58" x14ac:dyDescent="0.3">
      <c r="H194"/>
      <c r="I194"/>
      <c r="J194"/>
      <c r="K194"/>
      <c r="L194"/>
      <c r="M194"/>
      <c r="N194"/>
      <c r="O194"/>
      <c r="P194"/>
      <c r="S194" s="38"/>
      <c r="T194" s="38"/>
      <c r="U194" s="38"/>
      <c r="V194" s="38"/>
      <c r="W194" s="38"/>
      <c r="X194" s="38"/>
      <c r="Y194" s="38"/>
      <c r="Z194" s="38"/>
      <c r="AA194" s="38"/>
      <c r="AC194"/>
      <c r="AD194"/>
      <c r="AE194"/>
      <c r="AF194"/>
      <c r="AG194"/>
      <c r="AH194"/>
      <c r="AI194"/>
      <c r="AS194"/>
      <c r="AT194"/>
      <c r="AU194"/>
      <c r="AV194"/>
      <c r="AW194"/>
      <c r="AX194"/>
      <c r="AY194"/>
      <c r="AZ194"/>
      <c r="BA194"/>
      <c r="BB194"/>
      <c r="BC194"/>
      <c r="BD194"/>
      <c r="BE194"/>
      <c r="BF194"/>
    </row>
    <row r="195" spans="8:58" x14ac:dyDescent="0.3">
      <c r="H195"/>
      <c r="I195"/>
      <c r="J195"/>
      <c r="K195"/>
      <c r="L195"/>
      <c r="M195"/>
      <c r="N195"/>
      <c r="O195"/>
      <c r="P195"/>
      <c r="S195" s="38"/>
      <c r="T195" s="38"/>
      <c r="U195" s="38"/>
      <c r="V195" s="38"/>
      <c r="W195" s="38"/>
      <c r="X195" s="38"/>
      <c r="Y195" s="38"/>
      <c r="Z195" s="38"/>
      <c r="AA195" s="38"/>
      <c r="AC195"/>
      <c r="AD195"/>
      <c r="AE195"/>
      <c r="AF195"/>
      <c r="AG195"/>
      <c r="AH195"/>
      <c r="AI195"/>
      <c r="AS195"/>
      <c r="AT195"/>
      <c r="AU195"/>
      <c r="AV195"/>
      <c r="AW195"/>
      <c r="AX195"/>
      <c r="AY195"/>
      <c r="AZ195"/>
      <c r="BA195"/>
      <c r="BB195"/>
      <c r="BC195"/>
      <c r="BD195"/>
      <c r="BE195"/>
      <c r="BF195"/>
    </row>
    <row r="196" spans="8:58" x14ac:dyDescent="0.3">
      <c r="H196"/>
      <c r="I196"/>
      <c r="J196"/>
      <c r="K196"/>
      <c r="L196"/>
      <c r="M196"/>
      <c r="N196"/>
      <c r="O196"/>
      <c r="P196"/>
      <c r="S196" s="38"/>
      <c r="T196" s="38"/>
      <c r="U196" s="38"/>
      <c r="V196" s="38"/>
      <c r="W196" s="38"/>
      <c r="X196" s="38"/>
      <c r="Y196" s="38"/>
      <c r="Z196" s="38"/>
      <c r="AA196" s="38"/>
      <c r="AC196"/>
      <c r="AD196"/>
      <c r="AE196"/>
      <c r="AF196"/>
      <c r="AG196"/>
      <c r="AH196"/>
      <c r="AI196"/>
      <c r="AS196"/>
      <c r="AT196"/>
      <c r="AU196"/>
      <c r="AV196"/>
      <c r="AW196"/>
      <c r="AX196"/>
      <c r="AY196"/>
      <c r="AZ196"/>
      <c r="BA196"/>
      <c r="BB196"/>
      <c r="BC196"/>
      <c r="BD196"/>
      <c r="BE196"/>
      <c r="BF196"/>
    </row>
    <row r="197" spans="8:58" x14ac:dyDescent="0.3">
      <c r="H197"/>
      <c r="I197"/>
      <c r="J197"/>
      <c r="K197"/>
      <c r="L197"/>
      <c r="M197"/>
      <c r="N197"/>
      <c r="O197"/>
      <c r="P197"/>
      <c r="S197" s="38"/>
      <c r="T197" s="38"/>
      <c r="U197" s="38"/>
      <c r="V197" s="38"/>
      <c r="W197" s="38"/>
      <c r="X197" s="38"/>
      <c r="Y197" s="38"/>
      <c r="Z197" s="38"/>
      <c r="AA197" s="38"/>
      <c r="AC197"/>
      <c r="AD197"/>
      <c r="AE197"/>
      <c r="AF197"/>
      <c r="AG197"/>
      <c r="AH197"/>
      <c r="AI197"/>
      <c r="AS197"/>
      <c r="AT197"/>
      <c r="AU197"/>
      <c r="AV197"/>
      <c r="AW197"/>
      <c r="AX197"/>
      <c r="AY197"/>
      <c r="AZ197"/>
      <c r="BA197"/>
      <c r="BB197"/>
      <c r="BC197"/>
      <c r="BD197"/>
      <c r="BE197"/>
      <c r="BF197"/>
    </row>
    <row r="198" spans="8:58" x14ac:dyDescent="0.3">
      <c r="H198"/>
      <c r="I198"/>
      <c r="J198"/>
      <c r="K198"/>
      <c r="L198"/>
      <c r="M198"/>
      <c r="N198"/>
      <c r="O198"/>
      <c r="P198"/>
      <c r="S198" s="38"/>
      <c r="T198" s="38"/>
      <c r="U198" s="38"/>
      <c r="V198" s="38"/>
      <c r="W198" s="38"/>
      <c r="X198" s="38"/>
      <c r="Y198" s="38"/>
      <c r="Z198" s="38"/>
      <c r="AA198" s="38"/>
      <c r="AC198"/>
      <c r="AD198"/>
      <c r="AE198"/>
      <c r="AF198"/>
      <c r="AG198"/>
      <c r="AH198"/>
      <c r="AI198"/>
      <c r="AS198"/>
      <c r="AT198"/>
      <c r="AU198"/>
      <c r="AV198"/>
      <c r="AW198"/>
      <c r="AX198"/>
      <c r="AY198"/>
      <c r="AZ198"/>
      <c r="BA198"/>
      <c r="BB198"/>
      <c r="BC198"/>
      <c r="BD198"/>
      <c r="BE198"/>
      <c r="BF198"/>
    </row>
    <row r="199" spans="8:58" x14ac:dyDescent="0.3">
      <c r="H199"/>
      <c r="I199"/>
      <c r="J199"/>
      <c r="K199"/>
      <c r="L199"/>
      <c r="M199"/>
      <c r="N199"/>
      <c r="O199"/>
      <c r="P199"/>
      <c r="S199" s="38"/>
      <c r="T199" s="38"/>
      <c r="U199" s="38"/>
      <c r="V199" s="38"/>
      <c r="W199" s="38"/>
      <c r="X199" s="38"/>
      <c r="Y199" s="38"/>
      <c r="Z199" s="38"/>
      <c r="AA199" s="38"/>
      <c r="AC199"/>
      <c r="AD199"/>
      <c r="AE199"/>
      <c r="AF199"/>
      <c r="AG199"/>
      <c r="AH199"/>
      <c r="AI199"/>
      <c r="AS199"/>
      <c r="AT199"/>
      <c r="AU199"/>
      <c r="AV199"/>
      <c r="AW199"/>
      <c r="AX199"/>
      <c r="AY199"/>
      <c r="AZ199"/>
      <c r="BA199"/>
      <c r="BB199"/>
      <c r="BC199"/>
      <c r="BD199"/>
      <c r="BE199"/>
      <c r="BF199"/>
    </row>
    <row r="200" spans="8:58" x14ac:dyDescent="0.3">
      <c r="H200"/>
      <c r="I200"/>
      <c r="J200"/>
      <c r="K200"/>
      <c r="L200"/>
      <c r="M200"/>
      <c r="N200"/>
      <c r="O200"/>
      <c r="P200"/>
      <c r="S200" s="38"/>
      <c r="T200" s="38"/>
      <c r="U200" s="38"/>
      <c r="V200" s="38"/>
      <c r="W200" s="38"/>
      <c r="X200" s="38"/>
      <c r="Y200" s="38"/>
      <c r="Z200" s="38"/>
      <c r="AA200" s="38"/>
      <c r="AC200"/>
      <c r="AD200"/>
      <c r="AE200"/>
      <c r="AF200"/>
      <c r="AG200"/>
      <c r="AH200"/>
      <c r="AI200"/>
      <c r="AS200"/>
      <c r="AT200"/>
      <c r="AU200"/>
      <c r="AV200"/>
      <c r="AW200"/>
      <c r="AX200"/>
      <c r="AY200"/>
      <c r="AZ200"/>
      <c r="BA200"/>
      <c r="BB200"/>
      <c r="BC200"/>
      <c r="BD200"/>
      <c r="BE200"/>
      <c r="BF200"/>
    </row>
    <row r="201" spans="8:58" x14ac:dyDescent="0.3">
      <c r="H201"/>
      <c r="I201"/>
      <c r="J201"/>
      <c r="K201"/>
      <c r="L201"/>
      <c r="M201"/>
      <c r="N201"/>
      <c r="O201"/>
      <c r="P201"/>
      <c r="S201" s="38"/>
      <c r="T201" s="38"/>
      <c r="U201" s="38"/>
      <c r="V201" s="38"/>
      <c r="W201" s="38"/>
      <c r="X201" s="38"/>
      <c r="Y201" s="38"/>
      <c r="Z201" s="38"/>
      <c r="AA201" s="38"/>
      <c r="AC201"/>
      <c r="AD201"/>
      <c r="AE201"/>
      <c r="AF201"/>
      <c r="AG201"/>
      <c r="AH201"/>
      <c r="AI201"/>
      <c r="AS201"/>
      <c r="AT201"/>
      <c r="AU201"/>
      <c r="AV201"/>
      <c r="AW201"/>
      <c r="AX201"/>
      <c r="AY201"/>
      <c r="AZ201"/>
      <c r="BA201"/>
      <c r="BB201"/>
      <c r="BC201"/>
      <c r="BD201"/>
      <c r="BE201"/>
      <c r="BF201"/>
    </row>
    <row r="202" spans="8:58" x14ac:dyDescent="0.3">
      <c r="H202"/>
      <c r="I202"/>
      <c r="J202"/>
      <c r="K202"/>
      <c r="L202"/>
      <c r="M202"/>
      <c r="N202"/>
      <c r="O202"/>
      <c r="P202"/>
      <c r="S202" s="38"/>
      <c r="T202" s="38"/>
      <c r="U202" s="38"/>
      <c r="V202" s="38"/>
      <c r="W202" s="38"/>
      <c r="X202" s="38"/>
      <c r="Y202" s="38"/>
      <c r="Z202" s="38"/>
      <c r="AA202" s="38"/>
      <c r="AC202"/>
      <c r="AD202"/>
      <c r="AE202"/>
      <c r="AF202"/>
      <c r="AG202"/>
      <c r="AH202"/>
      <c r="AI202"/>
      <c r="AS202"/>
      <c r="AT202"/>
      <c r="AU202"/>
      <c r="AV202"/>
      <c r="AW202"/>
      <c r="AX202"/>
      <c r="AY202"/>
      <c r="AZ202"/>
      <c r="BA202"/>
      <c r="BB202"/>
      <c r="BC202"/>
      <c r="BD202"/>
      <c r="BE202"/>
      <c r="BF202"/>
    </row>
    <row r="203" spans="8:58" x14ac:dyDescent="0.3">
      <c r="H203"/>
      <c r="I203"/>
      <c r="J203"/>
      <c r="K203"/>
      <c r="L203"/>
      <c r="M203"/>
      <c r="N203"/>
      <c r="O203"/>
      <c r="P203"/>
      <c r="S203" s="38"/>
      <c r="T203" s="38"/>
      <c r="U203" s="38"/>
      <c r="V203" s="38"/>
      <c r="W203" s="38"/>
      <c r="X203" s="38"/>
      <c r="Y203" s="38"/>
      <c r="Z203" s="38"/>
      <c r="AA203" s="38"/>
      <c r="AC203"/>
      <c r="AD203"/>
      <c r="AE203"/>
      <c r="AF203"/>
      <c r="AG203"/>
      <c r="AH203"/>
      <c r="AI203"/>
      <c r="AS203"/>
      <c r="AT203"/>
      <c r="AU203"/>
      <c r="AV203"/>
      <c r="AW203"/>
      <c r="AX203"/>
      <c r="AY203"/>
      <c r="AZ203"/>
      <c r="BA203"/>
      <c r="BB203"/>
      <c r="BC203"/>
      <c r="BD203"/>
      <c r="BE203"/>
      <c r="BF203"/>
    </row>
    <row r="204" spans="8:58" x14ac:dyDescent="0.3">
      <c r="H204"/>
      <c r="I204"/>
      <c r="J204"/>
      <c r="K204"/>
      <c r="L204"/>
      <c r="M204"/>
      <c r="N204"/>
      <c r="O204"/>
      <c r="P204"/>
      <c r="S204" s="38"/>
      <c r="T204" s="38"/>
      <c r="U204" s="38"/>
      <c r="V204" s="38"/>
      <c r="W204" s="38"/>
      <c r="X204" s="38"/>
      <c r="Y204" s="38"/>
      <c r="Z204" s="38"/>
      <c r="AA204" s="38"/>
      <c r="AC204"/>
      <c r="AD204"/>
      <c r="AE204"/>
      <c r="AF204"/>
      <c r="AG204"/>
      <c r="AH204"/>
      <c r="AI204"/>
      <c r="AS204"/>
      <c r="AT204"/>
      <c r="AU204"/>
      <c r="AV204"/>
      <c r="AW204"/>
      <c r="AX204"/>
      <c r="AY204"/>
      <c r="AZ204"/>
      <c r="BA204"/>
      <c r="BB204"/>
      <c r="BC204"/>
      <c r="BD204"/>
      <c r="BE204"/>
      <c r="BF204"/>
    </row>
    <row r="205" spans="8:58" x14ac:dyDescent="0.3">
      <c r="H205"/>
      <c r="I205"/>
      <c r="J205"/>
      <c r="K205"/>
      <c r="L205"/>
      <c r="M205"/>
      <c r="N205"/>
      <c r="O205"/>
      <c r="P205"/>
      <c r="S205" s="38"/>
      <c r="T205" s="38"/>
      <c r="U205" s="38"/>
      <c r="V205" s="38"/>
      <c r="W205" s="38"/>
      <c r="X205" s="38"/>
      <c r="Y205" s="38"/>
      <c r="Z205" s="38"/>
      <c r="AA205" s="38"/>
      <c r="AC205"/>
      <c r="AD205"/>
      <c r="AE205"/>
      <c r="AF205"/>
      <c r="AG205"/>
      <c r="AH205"/>
      <c r="AI205"/>
      <c r="AS205"/>
      <c r="AT205"/>
      <c r="AU205"/>
      <c r="AV205"/>
      <c r="AW205"/>
      <c r="AX205"/>
      <c r="AY205"/>
      <c r="AZ205"/>
      <c r="BA205"/>
      <c r="BB205"/>
      <c r="BC205"/>
      <c r="BD205"/>
      <c r="BE205"/>
      <c r="BF205"/>
    </row>
    <row r="206" spans="8:58" x14ac:dyDescent="0.3">
      <c r="H206"/>
      <c r="I206"/>
      <c r="J206"/>
      <c r="K206"/>
      <c r="L206"/>
      <c r="M206"/>
      <c r="N206"/>
      <c r="O206"/>
      <c r="P206"/>
      <c r="S206" s="38"/>
      <c r="T206" s="38"/>
      <c r="U206" s="38"/>
      <c r="V206" s="38"/>
      <c r="W206" s="38"/>
      <c r="X206" s="38"/>
      <c r="Y206" s="38"/>
      <c r="Z206" s="38"/>
      <c r="AA206" s="38"/>
      <c r="AC206"/>
      <c r="AD206"/>
      <c r="AE206"/>
      <c r="AF206"/>
      <c r="AG206"/>
      <c r="AH206"/>
      <c r="AI206"/>
      <c r="AS206"/>
      <c r="AT206"/>
      <c r="AU206"/>
      <c r="AV206"/>
      <c r="AW206"/>
      <c r="AX206"/>
      <c r="AY206"/>
      <c r="AZ206"/>
      <c r="BA206"/>
      <c r="BB206"/>
      <c r="BC206"/>
      <c r="BD206"/>
      <c r="BE206"/>
      <c r="BF206"/>
    </row>
    <row r="207" spans="8:58" x14ac:dyDescent="0.3">
      <c r="H207"/>
      <c r="I207"/>
      <c r="J207"/>
      <c r="K207"/>
      <c r="L207"/>
      <c r="M207"/>
      <c r="N207"/>
      <c r="O207"/>
      <c r="P207"/>
      <c r="S207" s="38"/>
      <c r="T207" s="38"/>
      <c r="U207" s="38"/>
      <c r="V207" s="38"/>
      <c r="W207" s="38"/>
      <c r="X207" s="38"/>
      <c r="Y207" s="38"/>
      <c r="Z207" s="38"/>
      <c r="AA207" s="38"/>
      <c r="AC207"/>
      <c r="AD207"/>
      <c r="AE207"/>
      <c r="AF207"/>
      <c r="AG207"/>
      <c r="AH207"/>
      <c r="AI207"/>
      <c r="AS207"/>
      <c r="AT207"/>
      <c r="AU207"/>
      <c r="AV207"/>
      <c r="AW207"/>
      <c r="AX207"/>
      <c r="AY207"/>
      <c r="AZ207"/>
      <c r="BA207"/>
      <c r="BB207"/>
      <c r="BC207"/>
      <c r="BD207"/>
      <c r="BE207"/>
      <c r="BF207"/>
    </row>
    <row r="208" spans="8:58" x14ac:dyDescent="0.3">
      <c r="H208"/>
      <c r="I208"/>
      <c r="J208"/>
      <c r="K208"/>
      <c r="L208"/>
      <c r="M208"/>
      <c r="N208"/>
      <c r="O208"/>
      <c r="P208"/>
      <c r="S208" s="38"/>
      <c r="T208" s="38"/>
      <c r="U208" s="38"/>
      <c r="V208" s="38"/>
      <c r="W208" s="38"/>
      <c r="X208" s="38"/>
      <c r="Y208" s="38"/>
      <c r="Z208" s="38"/>
      <c r="AA208" s="38"/>
      <c r="AC208"/>
      <c r="AD208"/>
      <c r="AE208"/>
      <c r="AF208"/>
      <c r="AG208"/>
      <c r="AH208"/>
      <c r="AI208"/>
      <c r="AS208"/>
      <c r="AT208"/>
      <c r="AU208"/>
      <c r="AV208"/>
      <c r="AW208"/>
      <c r="AX208"/>
      <c r="AY208"/>
      <c r="AZ208"/>
      <c r="BA208"/>
      <c r="BB208"/>
      <c r="BC208"/>
      <c r="BD208"/>
      <c r="BE208"/>
      <c r="BF208"/>
    </row>
    <row r="209" spans="8:58" x14ac:dyDescent="0.3">
      <c r="H209"/>
      <c r="I209"/>
      <c r="J209"/>
      <c r="K209"/>
      <c r="L209"/>
      <c r="M209"/>
      <c r="N209"/>
      <c r="O209"/>
      <c r="P209"/>
      <c r="S209" s="38"/>
      <c r="T209" s="38"/>
      <c r="U209" s="38"/>
      <c r="V209" s="38"/>
      <c r="W209" s="38"/>
      <c r="X209" s="38"/>
      <c r="Y209" s="38"/>
      <c r="Z209" s="38"/>
      <c r="AA209" s="38"/>
      <c r="AC209"/>
      <c r="AD209"/>
      <c r="AE209"/>
      <c r="AF209"/>
      <c r="AG209"/>
      <c r="AH209"/>
      <c r="AI209"/>
      <c r="AS209"/>
      <c r="AT209"/>
      <c r="AU209"/>
      <c r="AV209"/>
      <c r="AW209"/>
      <c r="AX209"/>
      <c r="AY209"/>
      <c r="AZ209"/>
      <c r="BA209"/>
      <c r="BB209"/>
      <c r="BC209"/>
      <c r="BD209"/>
      <c r="BE209"/>
      <c r="BF209"/>
    </row>
    <row r="210" spans="8:58" x14ac:dyDescent="0.3">
      <c r="H210"/>
      <c r="I210"/>
      <c r="J210"/>
      <c r="K210"/>
      <c r="L210"/>
      <c r="M210"/>
      <c r="N210"/>
      <c r="O210"/>
      <c r="P210"/>
      <c r="S210" s="38"/>
      <c r="T210" s="38"/>
      <c r="U210" s="38"/>
      <c r="V210" s="38"/>
      <c r="W210" s="38"/>
      <c r="X210" s="38"/>
      <c r="Y210" s="38"/>
      <c r="Z210" s="38"/>
      <c r="AA210" s="38"/>
      <c r="AC210"/>
      <c r="AD210"/>
      <c r="AE210"/>
      <c r="AF210"/>
      <c r="AG210"/>
      <c r="AH210"/>
      <c r="AI210"/>
      <c r="AS210"/>
      <c r="AT210"/>
      <c r="AU210"/>
      <c r="AV210"/>
      <c r="AW210"/>
      <c r="AX210"/>
      <c r="AY210"/>
      <c r="AZ210"/>
      <c r="BA210"/>
      <c r="BB210"/>
      <c r="BC210"/>
      <c r="BD210"/>
      <c r="BE210"/>
      <c r="BF210"/>
    </row>
    <row r="211" spans="8:58" x14ac:dyDescent="0.3">
      <c r="H211"/>
      <c r="I211"/>
      <c r="J211"/>
      <c r="K211"/>
      <c r="L211"/>
      <c r="M211"/>
      <c r="N211"/>
      <c r="O211"/>
      <c r="P211"/>
      <c r="S211" s="38"/>
      <c r="T211" s="38"/>
      <c r="U211" s="38"/>
      <c r="V211" s="38"/>
      <c r="W211" s="38"/>
      <c r="X211" s="38"/>
      <c r="Y211" s="38"/>
      <c r="Z211" s="38"/>
      <c r="AA211" s="38"/>
      <c r="AC211"/>
      <c r="AD211"/>
      <c r="AE211"/>
      <c r="AF211"/>
      <c r="AG211"/>
      <c r="AH211"/>
      <c r="AI211"/>
      <c r="AS211"/>
      <c r="AT211"/>
      <c r="AU211"/>
      <c r="AV211"/>
      <c r="AW211"/>
      <c r="AX211"/>
      <c r="AY211"/>
      <c r="AZ211"/>
      <c r="BA211"/>
      <c r="BB211"/>
      <c r="BC211"/>
      <c r="BD211"/>
      <c r="BE211"/>
      <c r="BF211"/>
    </row>
    <row r="212" spans="8:58" x14ac:dyDescent="0.3">
      <c r="H212"/>
      <c r="I212"/>
      <c r="J212"/>
      <c r="K212"/>
      <c r="L212"/>
      <c r="M212"/>
      <c r="N212"/>
      <c r="O212"/>
      <c r="P212"/>
      <c r="S212" s="38"/>
      <c r="T212" s="38"/>
      <c r="U212" s="38"/>
      <c r="V212" s="38"/>
      <c r="W212" s="38"/>
      <c r="X212" s="38"/>
      <c r="Y212" s="38"/>
      <c r="Z212" s="38"/>
      <c r="AA212" s="38"/>
      <c r="AC212"/>
      <c r="AD212"/>
      <c r="AE212"/>
      <c r="AF212"/>
      <c r="AG212"/>
      <c r="AH212"/>
      <c r="AI212"/>
      <c r="AS212"/>
      <c r="AT212"/>
      <c r="AU212"/>
      <c r="AV212"/>
      <c r="AW212"/>
      <c r="AX212"/>
      <c r="AY212"/>
      <c r="AZ212"/>
      <c r="BA212"/>
      <c r="BB212"/>
      <c r="BC212"/>
      <c r="BD212"/>
      <c r="BE212"/>
      <c r="BF212"/>
    </row>
    <row r="213" spans="8:58" x14ac:dyDescent="0.3">
      <c r="H213"/>
      <c r="I213"/>
      <c r="J213"/>
      <c r="K213"/>
      <c r="L213"/>
      <c r="M213"/>
      <c r="N213"/>
      <c r="O213"/>
      <c r="P213"/>
      <c r="S213" s="38"/>
      <c r="T213" s="38"/>
      <c r="U213" s="38"/>
      <c r="V213" s="38"/>
      <c r="W213" s="38"/>
      <c r="X213" s="38"/>
      <c r="Y213" s="38"/>
      <c r="Z213" s="38"/>
      <c r="AA213" s="38"/>
      <c r="AC213"/>
      <c r="AD213"/>
      <c r="AE213"/>
      <c r="AF213"/>
      <c r="AG213"/>
      <c r="AH213"/>
      <c r="AI213"/>
      <c r="AS213"/>
      <c r="AT213"/>
      <c r="AU213"/>
      <c r="AV213"/>
      <c r="AW213"/>
      <c r="AX213"/>
      <c r="AY213"/>
      <c r="AZ213"/>
      <c r="BA213"/>
      <c r="BB213"/>
      <c r="BC213"/>
      <c r="BD213"/>
      <c r="BE213"/>
      <c r="BF213"/>
    </row>
    <row r="214" spans="8:58" x14ac:dyDescent="0.3">
      <c r="H214"/>
      <c r="I214"/>
      <c r="J214"/>
      <c r="K214"/>
      <c r="L214"/>
      <c r="M214"/>
      <c r="N214"/>
      <c r="O214"/>
      <c r="P214"/>
      <c r="S214" s="38"/>
      <c r="T214" s="38"/>
      <c r="U214" s="38"/>
      <c r="V214" s="38"/>
      <c r="W214" s="38"/>
      <c r="X214" s="38"/>
      <c r="Y214" s="38"/>
      <c r="Z214" s="38"/>
      <c r="AA214" s="38"/>
      <c r="AC214"/>
      <c r="AD214"/>
      <c r="AE214"/>
      <c r="AF214"/>
      <c r="AG214"/>
      <c r="AH214"/>
      <c r="AI214"/>
      <c r="AS214"/>
      <c r="AT214"/>
      <c r="AU214"/>
      <c r="AV214"/>
      <c r="AW214"/>
      <c r="AX214"/>
      <c r="AY214"/>
      <c r="AZ214"/>
      <c r="BA214"/>
      <c r="BB214"/>
      <c r="BC214"/>
      <c r="BD214"/>
      <c r="BE214"/>
      <c r="BF214"/>
    </row>
    <row r="215" spans="8:58" x14ac:dyDescent="0.3">
      <c r="H215"/>
      <c r="I215"/>
      <c r="J215"/>
      <c r="K215"/>
      <c r="L215"/>
      <c r="M215"/>
      <c r="N215"/>
      <c r="O215"/>
      <c r="P215"/>
      <c r="S215" s="38"/>
      <c r="T215" s="38"/>
      <c r="U215" s="38"/>
      <c r="V215" s="38"/>
      <c r="W215" s="38"/>
      <c r="X215" s="38"/>
      <c r="Y215" s="38"/>
      <c r="Z215" s="38"/>
      <c r="AA215" s="38"/>
      <c r="AC215"/>
      <c r="AD215"/>
      <c r="AE215"/>
      <c r="AF215"/>
      <c r="AG215"/>
      <c r="AH215"/>
      <c r="AI215"/>
      <c r="AS215"/>
      <c r="AT215"/>
      <c r="AU215"/>
      <c r="AV215"/>
      <c r="AW215"/>
      <c r="AX215"/>
      <c r="AY215"/>
      <c r="AZ215"/>
      <c r="BA215"/>
      <c r="BB215"/>
      <c r="BC215"/>
      <c r="BD215"/>
      <c r="BE215"/>
      <c r="BF215"/>
    </row>
    <row r="216" spans="8:58" x14ac:dyDescent="0.3">
      <c r="H216"/>
      <c r="I216"/>
      <c r="J216"/>
      <c r="K216"/>
      <c r="L216"/>
      <c r="M216"/>
      <c r="N216"/>
      <c r="O216"/>
      <c r="P216"/>
      <c r="S216" s="38"/>
      <c r="T216" s="38"/>
      <c r="U216" s="38"/>
      <c r="V216" s="38"/>
      <c r="W216" s="38"/>
      <c r="X216" s="38"/>
      <c r="Y216" s="38"/>
      <c r="Z216" s="38"/>
      <c r="AA216" s="38"/>
      <c r="AC216"/>
      <c r="AD216"/>
      <c r="AE216"/>
      <c r="AF216"/>
      <c r="AG216"/>
      <c r="AH216"/>
      <c r="AI216"/>
      <c r="AS216"/>
      <c r="AT216"/>
      <c r="AU216"/>
      <c r="AV216"/>
      <c r="AW216"/>
      <c r="AX216"/>
      <c r="AY216"/>
      <c r="AZ216"/>
      <c r="BA216"/>
      <c r="BB216"/>
      <c r="BC216"/>
      <c r="BD216"/>
      <c r="BE216"/>
      <c r="BF216"/>
    </row>
    <row r="217" spans="8:58" x14ac:dyDescent="0.3">
      <c r="H217"/>
      <c r="I217"/>
      <c r="J217"/>
      <c r="K217"/>
      <c r="L217"/>
      <c r="M217"/>
      <c r="N217"/>
      <c r="O217"/>
      <c r="P217"/>
      <c r="S217" s="38"/>
      <c r="T217" s="38"/>
      <c r="U217" s="38"/>
      <c r="V217" s="38"/>
      <c r="W217" s="38"/>
      <c r="X217" s="38"/>
      <c r="Y217" s="38"/>
      <c r="Z217" s="38"/>
      <c r="AA217" s="38"/>
      <c r="AC217"/>
      <c r="AD217"/>
      <c r="AE217"/>
      <c r="AF217"/>
      <c r="AG217"/>
      <c r="AH217"/>
      <c r="AI217"/>
      <c r="AS217"/>
      <c r="AT217"/>
      <c r="AU217"/>
      <c r="AV217"/>
      <c r="AW217"/>
      <c r="AX217"/>
      <c r="AY217"/>
      <c r="AZ217"/>
      <c r="BA217"/>
      <c r="BB217"/>
      <c r="BC217"/>
      <c r="BD217"/>
      <c r="BE217"/>
      <c r="BF217"/>
    </row>
    <row r="218" spans="8:58" x14ac:dyDescent="0.3">
      <c r="H218"/>
      <c r="I218"/>
      <c r="J218"/>
      <c r="K218"/>
      <c r="L218"/>
      <c r="M218"/>
      <c r="N218"/>
      <c r="O218"/>
      <c r="P218"/>
      <c r="S218" s="38"/>
      <c r="T218" s="38"/>
      <c r="U218" s="38"/>
      <c r="V218" s="38"/>
      <c r="W218" s="38"/>
      <c r="X218" s="38"/>
      <c r="Y218" s="38"/>
      <c r="Z218" s="38"/>
      <c r="AA218" s="38"/>
      <c r="AC218"/>
      <c r="AD218"/>
      <c r="AE218"/>
      <c r="AF218"/>
      <c r="AG218"/>
      <c r="AH218"/>
      <c r="AI218"/>
      <c r="AS218"/>
      <c r="AT218"/>
      <c r="AU218"/>
      <c r="AV218"/>
      <c r="AW218"/>
      <c r="AX218"/>
      <c r="AY218"/>
      <c r="AZ218"/>
      <c r="BA218"/>
      <c r="BB218"/>
      <c r="BC218"/>
      <c r="BD218"/>
      <c r="BE218"/>
      <c r="BF218"/>
    </row>
    <row r="219" spans="8:58" x14ac:dyDescent="0.3">
      <c r="H219"/>
      <c r="I219"/>
      <c r="J219"/>
      <c r="K219"/>
      <c r="L219"/>
      <c r="M219"/>
      <c r="N219"/>
      <c r="O219"/>
      <c r="P219"/>
      <c r="S219" s="38"/>
      <c r="T219" s="38"/>
      <c r="U219" s="38"/>
      <c r="V219" s="38"/>
      <c r="W219" s="38"/>
      <c r="X219" s="38"/>
      <c r="Y219" s="38"/>
      <c r="Z219" s="38"/>
      <c r="AA219" s="38"/>
      <c r="AC219"/>
      <c r="AD219"/>
      <c r="AE219"/>
      <c r="AF219"/>
      <c r="AG219"/>
      <c r="AH219"/>
      <c r="AI219"/>
      <c r="AS219"/>
      <c r="AT219"/>
      <c r="AU219"/>
      <c r="AV219"/>
      <c r="AW219"/>
      <c r="AX219"/>
      <c r="AY219"/>
      <c r="AZ219"/>
      <c r="BA219"/>
      <c r="BB219"/>
      <c r="BC219"/>
      <c r="BD219"/>
      <c r="BE219"/>
      <c r="BF219"/>
    </row>
    <row r="220" spans="8:58" x14ac:dyDescent="0.3">
      <c r="H220"/>
      <c r="I220"/>
      <c r="J220"/>
      <c r="K220"/>
      <c r="L220"/>
      <c r="M220"/>
      <c r="N220"/>
      <c r="O220"/>
      <c r="P220"/>
      <c r="S220" s="38"/>
      <c r="T220" s="38"/>
      <c r="U220" s="38"/>
      <c r="V220" s="38"/>
      <c r="W220" s="38"/>
      <c r="X220" s="38"/>
      <c r="Y220" s="38"/>
      <c r="Z220" s="38"/>
      <c r="AA220" s="38"/>
      <c r="AC220"/>
      <c r="AD220"/>
      <c r="AE220"/>
      <c r="AF220"/>
      <c r="AG220"/>
      <c r="AH220"/>
      <c r="AI220"/>
      <c r="AS220"/>
      <c r="AT220"/>
      <c r="AU220"/>
      <c r="AV220"/>
      <c r="AW220"/>
      <c r="AX220"/>
      <c r="AY220"/>
      <c r="AZ220"/>
      <c r="BA220"/>
      <c r="BB220"/>
      <c r="BC220"/>
      <c r="BD220"/>
      <c r="BE220"/>
      <c r="BF220"/>
    </row>
    <row r="221" spans="8:58" x14ac:dyDescent="0.3">
      <c r="H221"/>
      <c r="I221"/>
      <c r="J221"/>
      <c r="K221"/>
      <c r="L221"/>
      <c r="M221"/>
      <c r="N221"/>
      <c r="O221"/>
      <c r="P221"/>
      <c r="S221" s="38"/>
      <c r="T221" s="38"/>
      <c r="U221" s="38"/>
      <c r="V221" s="38"/>
      <c r="W221" s="38"/>
      <c r="X221" s="38"/>
      <c r="Y221" s="38"/>
      <c r="Z221" s="38"/>
      <c r="AA221" s="38"/>
      <c r="AC221"/>
      <c r="AD221"/>
      <c r="AE221"/>
      <c r="AF221"/>
      <c r="AG221"/>
      <c r="AH221"/>
      <c r="AI221"/>
      <c r="AS221"/>
      <c r="AT221"/>
      <c r="AU221"/>
      <c r="AV221"/>
      <c r="AW221"/>
      <c r="AX221"/>
      <c r="AY221"/>
      <c r="AZ221"/>
      <c r="BA221"/>
      <c r="BB221"/>
      <c r="BC221"/>
      <c r="BD221"/>
      <c r="BE221"/>
      <c r="BF221"/>
    </row>
    <row r="222" spans="8:58" x14ac:dyDescent="0.3">
      <c r="H222"/>
      <c r="I222"/>
      <c r="J222"/>
      <c r="K222"/>
      <c r="L222"/>
      <c r="M222"/>
      <c r="N222"/>
      <c r="O222"/>
      <c r="P222"/>
      <c r="S222" s="38"/>
      <c r="T222" s="38"/>
      <c r="U222" s="38"/>
      <c r="V222" s="38"/>
      <c r="W222" s="38"/>
      <c r="X222" s="38"/>
      <c r="Y222" s="38"/>
      <c r="Z222" s="38"/>
      <c r="AA222" s="38"/>
      <c r="AC222"/>
      <c r="AD222"/>
      <c r="AE222"/>
      <c r="AF222"/>
      <c r="AG222"/>
      <c r="AH222"/>
      <c r="AI222"/>
      <c r="AS222"/>
      <c r="AT222"/>
      <c r="AU222"/>
      <c r="AV222"/>
      <c r="AW222"/>
      <c r="AX222"/>
      <c r="AY222"/>
      <c r="AZ222"/>
      <c r="BA222"/>
      <c r="BB222"/>
      <c r="BC222"/>
      <c r="BD222"/>
      <c r="BE222"/>
      <c r="BF222"/>
    </row>
    <row r="223" spans="8:58" x14ac:dyDescent="0.3">
      <c r="H223"/>
      <c r="I223"/>
      <c r="J223"/>
      <c r="K223"/>
      <c r="L223"/>
      <c r="M223"/>
      <c r="N223"/>
      <c r="O223"/>
      <c r="P223"/>
      <c r="S223" s="38"/>
      <c r="T223" s="38"/>
      <c r="U223" s="38"/>
      <c r="V223" s="38"/>
      <c r="W223" s="38"/>
      <c r="X223" s="38"/>
      <c r="Y223" s="38"/>
      <c r="Z223" s="38"/>
      <c r="AA223" s="38"/>
      <c r="AC223"/>
      <c r="AD223"/>
      <c r="AE223"/>
      <c r="AF223"/>
      <c r="AG223"/>
      <c r="AH223"/>
      <c r="AI223"/>
      <c r="AS223"/>
      <c r="AT223"/>
      <c r="AU223"/>
      <c r="AV223"/>
      <c r="AW223"/>
      <c r="AX223"/>
      <c r="AY223"/>
      <c r="AZ223"/>
      <c r="BA223"/>
      <c r="BB223"/>
      <c r="BC223"/>
      <c r="BD223"/>
      <c r="BE223"/>
      <c r="BF223"/>
    </row>
    <row r="224" spans="8:58" x14ac:dyDescent="0.3">
      <c r="H224"/>
      <c r="I224"/>
      <c r="J224"/>
      <c r="K224"/>
      <c r="L224"/>
      <c r="M224"/>
      <c r="N224"/>
      <c r="O224"/>
      <c r="P224"/>
      <c r="AS224"/>
      <c r="AT224"/>
      <c r="AU224"/>
      <c r="AV224"/>
      <c r="AW224"/>
      <c r="AX224"/>
      <c r="AY224"/>
      <c r="AZ224"/>
      <c r="BA224"/>
      <c r="BB224"/>
      <c r="BC224"/>
      <c r="BD224"/>
      <c r="BE224"/>
      <c r="BF224"/>
    </row>
    <row r="225" spans="45:58" x14ac:dyDescent="0.3">
      <c r="AS225"/>
      <c r="AT225"/>
      <c r="AU225"/>
      <c r="AV225"/>
      <c r="AW225"/>
      <c r="AX225"/>
      <c r="AY225"/>
      <c r="AZ225"/>
      <c r="BA225"/>
      <c r="BB225"/>
      <c r="BC225"/>
      <c r="BD225"/>
      <c r="BE225"/>
      <c r="BF225"/>
    </row>
    <row r="226" spans="45:58" x14ac:dyDescent="0.3">
      <c r="AS226"/>
      <c r="AT226"/>
      <c r="AU226"/>
      <c r="AV226"/>
      <c r="AW226"/>
      <c r="AX226"/>
      <c r="AY226"/>
      <c r="AZ226"/>
      <c r="BA226"/>
      <c r="BB226"/>
      <c r="BC226"/>
      <c r="BD226"/>
      <c r="BE226"/>
      <c r="BF226"/>
    </row>
    <row r="227" spans="45:58" x14ac:dyDescent="0.3">
      <c r="AS227"/>
      <c r="AT227"/>
      <c r="AU227"/>
      <c r="AV227"/>
      <c r="AW227"/>
      <c r="AX227"/>
      <c r="AY227"/>
      <c r="AZ227"/>
      <c r="BA227"/>
      <c r="BB227"/>
      <c r="BC227"/>
      <c r="BD227"/>
      <c r="BE227"/>
      <c r="BF227"/>
    </row>
  </sheetData>
  <sheetProtection algorithmName="SHA-512" hashValue="n+QrWIRSzMrKJ9EcjaEMIMXYp7j8L7jvQH05RlY6PbM0/bwqgIUBt2nNQHoH4L/m/InbM+mROBE2lORJHvlxfw==" saltValue="u+EYN8mv2Lfl6aSmlIsvlw==" spinCount="100000" sheet="1" scenarios="1" formatCells="0" formatColumns="0" formatRows="0" insertColumns="0" insertRows="0" deleteColumns="0" deleteRows="0" sort="0" autoFilter="0" pivotTables="0"/>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21" r:id="rId10" name="Button 1">
              <controlPr defaultSize="0" print="0" autoFill="0" autoPict="0" macro="[0]!TimeUpdate.TimeUpdate">
                <anchor moveWithCells="1">
                  <from>
                    <xdr:col>59</xdr:col>
                    <xdr:colOff>38100</xdr:colOff>
                    <xdr:row>1</xdr:row>
                    <xdr:rowOff>76200</xdr:rowOff>
                  </from>
                  <to>
                    <xdr:col>59</xdr:col>
                    <xdr:colOff>552450</xdr:colOff>
                    <xdr:row>2</xdr:row>
                    <xdr:rowOff>123825</xdr:rowOff>
                  </to>
                </anchor>
              </controlPr>
            </control>
          </mc:Choice>
        </mc:AlternateContent>
        <mc:AlternateContent xmlns:mc="http://schemas.openxmlformats.org/markup-compatibility/2006">
          <mc:Choice Requires="x14">
            <control shapeId="5122" r:id="rId11" name="Button 2">
              <controlPr defaultSize="0" print="0" autoFill="0" autoPict="0" macro="[0]!RefreshTables">
                <anchor moveWithCells="1">
                  <from>
                    <xdr:col>5</xdr:col>
                    <xdr:colOff>438150</xdr:colOff>
                    <xdr:row>0</xdr:row>
                    <xdr:rowOff>190500</xdr:rowOff>
                  </from>
                  <to>
                    <xdr:col>6</xdr:col>
                    <xdr:colOff>295275</xdr:colOff>
                    <xdr:row>2</xdr:row>
                    <xdr:rowOff>28575</xdr:rowOff>
                  </to>
                </anchor>
              </controlPr>
            </control>
          </mc:Choice>
        </mc:AlternateContent>
      </controls>
    </mc:Choice>
  </mc:AlternateContent>
  <tableParts count="2">
    <tablePart r:id="rId12"/>
    <tablePart r:id="rId1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A1:DG55"/>
  <sheetViews>
    <sheetView showGridLines="0" zoomScale="85" zoomScaleNormal="85" workbookViewId="0">
      <selection activeCell="BB6" sqref="BB6"/>
    </sheetView>
  </sheetViews>
  <sheetFormatPr defaultRowHeight="18" customHeight="1" outlineLevelCol="1" x14ac:dyDescent="0.3"/>
  <cols>
    <col min="1" max="1" width="9.75" style="130" customWidth="1" collapsed="1"/>
    <col min="2" max="4" width="9" style="130" hidden="1" customWidth="1" outlineLevel="1"/>
    <col min="5" max="5" width="9.5" style="130" hidden="1" customWidth="1" outlineLevel="1"/>
    <col min="6" max="6" width="12.25" style="130" hidden="1" customWidth="1" outlineLevel="1"/>
    <col min="7" max="7" width="12.125" style="130" hidden="1" customWidth="1" outlineLevel="1"/>
    <col min="8" max="8" width="9.875" style="130" hidden="1" customWidth="1" outlineLevel="1"/>
    <col min="9" max="9" width="10.875" style="130" hidden="1" customWidth="1" outlineLevel="1"/>
    <col min="10" max="10" width="13.75" style="130" hidden="1" customWidth="1" outlineLevel="1"/>
    <col min="11" max="11" width="13.25" style="130" hidden="1" customWidth="1" outlineLevel="1"/>
    <col min="12" max="12" width="16.375" style="130" hidden="1" customWidth="1" outlineLevel="1"/>
    <col min="13" max="13" width="11.625" style="130" hidden="1" customWidth="1" outlineLevel="1"/>
    <col min="14" max="14" width="12.75" style="130" hidden="1" customWidth="1" outlineLevel="1"/>
    <col min="15" max="15" width="12.5" style="130" hidden="1" customWidth="1" outlineLevel="1"/>
    <col min="16" max="16" width="13" style="130" hidden="1" customWidth="1" outlineLevel="1"/>
    <col min="17" max="17" width="15.625" style="130" hidden="1" customWidth="1" outlineLevel="1"/>
    <col min="18" max="18" width="15.875" style="130" hidden="1" customWidth="1" outlineLevel="1"/>
    <col min="19" max="19" width="13.25" style="130" hidden="1" customWidth="1" outlineLevel="1"/>
    <col min="20" max="20" width="10.5" style="130" hidden="1" customWidth="1" outlineLevel="1"/>
    <col min="21" max="21" width="13.125" style="130" hidden="1" customWidth="1" outlineLevel="1"/>
    <col min="22" max="22" width="15.25" style="130" hidden="1" customWidth="1" outlineLevel="1"/>
    <col min="23" max="23" width="12" style="130" hidden="1" customWidth="1" outlineLevel="1"/>
    <col min="24" max="24" width="10.125" style="130" hidden="1" customWidth="1" outlineLevel="1"/>
    <col min="25" max="25" width="11.375" style="130" hidden="1" customWidth="1" outlineLevel="1"/>
    <col min="26" max="26" width="9.375" style="130" hidden="1" customWidth="1" outlineLevel="1"/>
    <col min="27" max="27" width="11.625" style="130" hidden="1" customWidth="1" outlineLevel="1"/>
    <col min="28" max="28" width="9" style="130" hidden="1" customWidth="1" outlineLevel="1"/>
    <col min="29" max="29" width="17.625" style="130" hidden="1" customWidth="1" outlineLevel="1"/>
    <col min="30" max="31" width="15.75" style="130" hidden="1" customWidth="1" outlineLevel="1"/>
    <col min="32" max="32" width="12.625" style="130" hidden="1" customWidth="1" outlineLevel="1"/>
    <col min="33" max="33" width="9.125" style="130" hidden="1" customWidth="1" outlineLevel="1"/>
    <col min="34" max="34" width="19.25" style="130" hidden="1" customWidth="1" outlineLevel="1"/>
    <col min="35" max="35" width="16.375" style="130" hidden="1" customWidth="1" outlineLevel="1"/>
    <col min="36" max="36" width="17.75" style="130" hidden="1" customWidth="1" outlineLevel="1"/>
    <col min="37" max="37" width="13.25" style="130" hidden="1" customWidth="1" outlineLevel="1"/>
    <col min="38" max="38" width="14.625" style="130" hidden="1" customWidth="1" outlineLevel="1"/>
    <col min="39" max="39" width="19.875" style="130" hidden="1" customWidth="1" outlineLevel="1"/>
    <col min="40" max="40" width="11.625" style="130" hidden="1" customWidth="1" outlineLevel="1"/>
    <col min="41" max="41" width="16.875" style="130" hidden="1" customWidth="1" outlineLevel="1"/>
    <col min="42" max="43" width="14.75" style="130" hidden="1" customWidth="1" outlineLevel="1"/>
    <col min="44" max="44" width="17" style="130" hidden="1" customWidth="1" outlineLevel="1"/>
    <col min="45" max="45" width="17.625" style="130" hidden="1" customWidth="1" outlineLevel="1"/>
    <col min="46" max="46" width="24.125" style="130" hidden="1" customWidth="1" outlineLevel="1"/>
    <col min="47" max="47" width="19.5" style="130" hidden="1" customWidth="1" outlineLevel="1"/>
    <col min="48" max="48" width="12.75" style="130" hidden="1" customWidth="1" outlineLevel="1"/>
    <col min="49" max="49" width="15.125" style="130" hidden="1" customWidth="1" outlineLevel="1"/>
    <col min="50" max="50" width="15.5" style="130" hidden="1" customWidth="1" outlineLevel="1"/>
    <col min="51" max="51" width="14.75" style="130" hidden="1" customWidth="1" outlineLevel="1"/>
    <col min="52" max="52" width="20.625" style="130" hidden="1" customWidth="1" outlineLevel="1"/>
    <col min="53" max="53" width="9.75" style="130" hidden="1" customWidth="1" outlineLevel="1"/>
    <col min="54" max="54" width="16.5" style="130" hidden="1" customWidth="1" outlineLevel="1"/>
    <col min="55" max="55" width="3" style="130" customWidth="1"/>
    <col min="56" max="56" width="9" style="134"/>
    <col min="57" max="62" width="8" style="130" customWidth="1"/>
    <col min="63" max="63" width="9" style="130"/>
    <col min="64" max="64" width="12.375" style="130" bestFit="1" customWidth="1"/>
    <col min="65" max="68" width="9" style="130"/>
    <col min="69" max="69" width="9.375" style="130" bestFit="1" customWidth="1"/>
    <col min="70" max="91" width="9" style="130"/>
    <col min="92" max="92" width="8" style="132" customWidth="1"/>
    <col min="93" max="93" width="6.625" style="132" bestFit="1" customWidth="1"/>
    <col min="94" max="94" width="10.875" style="132" bestFit="1" customWidth="1"/>
    <col min="95" max="95" width="10.25" style="132" bestFit="1" customWidth="1"/>
    <col min="96" max="96" width="9.125" style="132" bestFit="1" customWidth="1"/>
    <col min="97" max="97" width="9" style="132"/>
    <col min="98" max="98" width="8" style="162" customWidth="1"/>
    <col min="99" max="99" width="9" style="138" customWidth="1"/>
    <col min="100" max="102" width="10.25" style="138" customWidth="1"/>
    <col min="103" max="103" width="10" style="138" bestFit="1" customWidth="1"/>
    <col min="104" max="104" width="6.5" style="138" bestFit="1" customWidth="1"/>
    <col min="105" max="106" width="9" style="138" customWidth="1"/>
    <col min="107" max="108" width="9" style="138"/>
    <col min="109" max="109" width="8.25" style="138" bestFit="1" customWidth="1"/>
    <col min="110" max="110" width="9" style="138"/>
    <col min="111" max="111" width="9" style="132"/>
    <col min="112" max="16384" width="9" style="130"/>
  </cols>
  <sheetData>
    <row r="1" spans="2:109" ht="18" customHeight="1" x14ac:dyDescent="0.3">
      <c r="BD1" s="130"/>
    </row>
    <row r="2" spans="2:109" ht="18" customHeight="1" x14ac:dyDescent="0.3">
      <c r="BD2" s="130"/>
      <c r="CS2" s="136"/>
    </row>
    <row r="3" spans="2:109" ht="18" customHeight="1" x14ac:dyDescent="0.3">
      <c r="BD3" s="130"/>
      <c r="CP3" s="136"/>
      <c r="CS3" s="136"/>
    </row>
    <row r="4" spans="2:109" ht="18" customHeight="1" x14ac:dyDescent="0.3">
      <c r="BD4" s="130"/>
      <c r="CO4" s="132" t="s">
        <v>2</v>
      </c>
      <c r="CP4" s="132" t="s">
        <v>66</v>
      </c>
      <c r="CQ4" s="132" t="s">
        <v>67</v>
      </c>
      <c r="CR4" s="132" t="s">
        <v>22</v>
      </c>
      <c r="CS4" s="132" t="s">
        <v>68</v>
      </c>
      <c r="CU4" s="138" t="s">
        <v>21</v>
      </c>
      <c r="CV4" s="138" t="s">
        <v>69</v>
      </c>
      <c r="CW4" s="138" t="s">
        <v>22</v>
      </c>
      <c r="CX4" s="138" t="s">
        <v>68</v>
      </c>
      <c r="CY4" s="138" t="s">
        <v>70</v>
      </c>
      <c r="DA4" s="138" t="s">
        <v>22</v>
      </c>
      <c r="DB4" s="138" t="s">
        <v>71</v>
      </c>
      <c r="DD4" s="138" t="s">
        <v>72</v>
      </c>
    </row>
    <row r="5" spans="2:109" ht="18" customHeight="1" x14ac:dyDescent="0.3">
      <c r="B5" s="132" t="s">
        <v>3</v>
      </c>
      <c r="C5" s="132" t="s">
        <v>2</v>
      </c>
      <c r="D5" s="132" t="s">
        <v>1</v>
      </c>
      <c r="E5" s="132" t="s">
        <v>73</v>
      </c>
      <c r="F5" s="132" t="s">
        <v>74</v>
      </c>
      <c r="G5" s="132" t="s">
        <v>75</v>
      </c>
      <c r="H5" s="132" t="s">
        <v>33</v>
      </c>
      <c r="I5" s="132" t="s">
        <v>76</v>
      </c>
      <c r="J5" s="132" t="s">
        <v>77</v>
      </c>
      <c r="K5" s="132" t="s">
        <v>78</v>
      </c>
      <c r="L5" s="132" t="s">
        <v>79</v>
      </c>
      <c r="M5" s="132" t="s">
        <v>80</v>
      </c>
      <c r="N5" s="132" t="s">
        <v>81</v>
      </c>
      <c r="O5" s="132" t="s">
        <v>82</v>
      </c>
      <c r="P5" s="132" t="s">
        <v>83</v>
      </c>
      <c r="Q5" s="132" t="s">
        <v>84</v>
      </c>
      <c r="R5" s="132" t="s">
        <v>85</v>
      </c>
      <c r="S5" s="132" t="s">
        <v>86</v>
      </c>
      <c r="T5" s="132" t="s">
        <v>87</v>
      </c>
      <c r="U5" s="132" t="s">
        <v>88</v>
      </c>
      <c r="V5" s="132" t="s">
        <v>89</v>
      </c>
      <c r="W5" s="132" t="s">
        <v>90</v>
      </c>
      <c r="X5" s="132" t="s">
        <v>91</v>
      </c>
      <c r="Y5" s="132" t="s">
        <v>92</v>
      </c>
      <c r="Z5" s="132" t="s">
        <v>93</v>
      </c>
      <c r="AA5" s="132" t="s">
        <v>94</v>
      </c>
      <c r="AB5" s="132" t="s">
        <v>95</v>
      </c>
      <c r="AC5" s="132" t="s">
        <v>96</v>
      </c>
      <c r="AD5" s="132" t="s">
        <v>97</v>
      </c>
      <c r="AE5" s="132" t="s">
        <v>98</v>
      </c>
      <c r="AF5" s="132" t="s">
        <v>99</v>
      </c>
      <c r="AG5" s="132" t="s">
        <v>100</v>
      </c>
      <c r="AH5" s="132" t="s">
        <v>101</v>
      </c>
      <c r="AI5" s="132" t="s">
        <v>102</v>
      </c>
      <c r="AJ5" s="132" t="s">
        <v>103</v>
      </c>
      <c r="AK5" s="132" t="s">
        <v>104</v>
      </c>
      <c r="AL5" s="132" t="s">
        <v>105</v>
      </c>
      <c r="AM5" s="132" t="s">
        <v>106</v>
      </c>
      <c r="AN5" s="132" t="s">
        <v>107</v>
      </c>
      <c r="AO5" s="132" t="s">
        <v>108</v>
      </c>
      <c r="AP5" s="132" t="s">
        <v>109</v>
      </c>
      <c r="AQ5" s="132" t="s">
        <v>110</v>
      </c>
      <c r="AR5" s="132" t="s">
        <v>111</v>
      </c>
      <c r="AS5" s="132" t="s">
        <v>112</v>
      </c>
      <c r="AT5" s="132" t="s">
        <v>113</v>
      </c>
      <c r="AU5" s="132" t="s">
        <v>114</v>
      </c>
      <c r="AV5" s="132" t="s">
        <v>115</v>
      </c>
      <c r="AW5" s="132" t="s">
        <v>116</v>
      </c>
      <c r="AX5" s="132" t="s">
        <v>117</v>
      </c>
      <c r="AY5" s="132" t="s">
        <v>118</v>
      </c>
      <c r="AZ5" s="132" t="s">
        <v>119</v>
      </c>
      <c r="BA5" s="132" t="s">
        <v>120</v>
      </c>
      <c r="BB5" s="132" t="s">
        <v>121</v>
      </c>
      <c r="BD5" s="130"/>
      <c r="BE5" s="134"/>
      <c r="BF5" s="134"/>
      <c r="BG5" s="134"/>
      <c r="BH5" s="134"/>
      <c r="BI5" s="134"/>
      <c r="BJ5" s="134"/>
      <c r="CN5" s="197"/>
      <c r="CO5" s="132">
        <v>2023</v>
      </c>
      <c r="CP5" s="19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0</v>
      </c>
      <c r="CQ5" s="148" t="str" cm="1">
        <f t="array" ref="CQ5" xml:space="preserve">
IFERROR(
_xlfn.IFS(
AND($CU$12=1, Dashboard_GiaTriNam[[#This Row],[Hiệu quả]]&gt;=$BL$18),Dashboard_GiaTriNam[[#This Row],[Giá trị gốc]],
AND($CU$12=2, Dashboard_GiaTriNam[[#This Row],[Hiệu quả]]&gt;=0),Dashboard_GiaTriNam[[#This Row],[Giá trị gốc]],
AND($CU$12=3, Dashboard_GiaTriNam[[#This Row],[Hiệu quả]]&gt;=$BL$24),Dashboard_GiaTriNam[[#This Row],[Giá trị gốc]],
AND($CU$12=4, Dashboard_GiaTriNam[[#This Row],[Hiệu quả]]&gt;=$BL$27),Dashboard_GiaTriNam[[#This Row],[Giá trị gốc]]
),"")</f>
        <v/>
      </c>
      <c r="CR5" s="151" t="str">
        <f>IFERROR(TEXT(Dashboard_GiaTriNam[[#This Row],[Giá trị đạt]],LOOKUP(Dashboard_GiaTriNam[[#This Row],[Giá trị đạt]],Pivot!$B$6:$B$12,Pivot!$C$6:$C$12)),"")</f>
        <v/>
      </c>
      <c r="CS5" s="150" t="e"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gốc]]/($BL$21*12)-1,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#DIV/0!</v>
      </c>
      <c r="CT5" s="199"/>
      <c r="CU5" s="138" t="s">
        <v>73</v>
      </c>
      <c r="CV5" s="166" cm="1">
        <f t="array" ref="CV5">IFERROR(SUM(_xlfn._xlws.FILTER(Table_Datafeed[Sản lượng],
(Table_Datafeed[Kỳ] &gt;= Pivot!$E$2)*
(Table_Datafeed[Kỳ]&lt;=Pivot!$E$3)
)),0)</f>
        <v>0</v>
      </c>
      <c r="CX5" s="160" t="e">
        <f>CV5/CV6</f>
        <v>#DIV/0!</v>
      </c>
      <c r="CY5" s="138" cm="1">
        <f t="array" ref="CY5">CV5-
IFERROR(SUM(_xlfn._xlws.FILTER(Table_Datafeed[Sản lượng],
(Table_Datafeed[Kỳ] &gt;= DATE(YEAR(Pivot!$E$2)-1,MONTH(Pivot!$E$2),1))*
(Table_Datafeed[Kỳ]&lt;=DATE(YEAR(Pivot!$E$3)-1,MONTH(Pivot!$E$3),1))
)),0)</f>
        <v>0</v>
      </c>
      <c r="DB5" s="160" t="e">
        <f>CV5/(CV5-CY5)-1</f>
        <v>#DIV/0!</v>
      </c>
      <c r="DD5" s="160"/>
    </row>
    <row r="6" spans="2:109" ht="16.5" x14ac:dyDescent="0.3">
      <c r="B6" s="163">
        <f>DATE(Table_Datafeed[[#This Row],[Năm]],Table_Datafeed[[#This Row],[Tháng]],1)</f>
        <v>44927</v>
      </c>
      <c r="C6" s="130">
        <v>2023</v>
      </c>
      <c r="D6" s="130">
        <v>1</v>
      </c>
      <c r="E6" s="198" cm="1">
        <f t="array" ref="E6">+IFERROR(SUM(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f>
        <v>0</v>
      </c>
      <c r="F6" s="148" t="e">
        <f>-Table_Datafeed[[#This Row],[Chi phí cố định]]/(Table_Datafeed[[#This Row],[Lợi nhuận biến đổi]]/Table_Datafeed[[#This Row],[Sản lượng]])</f>
        <v>#DIV/0!</v>
      </c>
      <c r="G6" s="149" t="e">
        <f>Table_Datafeed[[#This Row],[Sản lượng]]/Table_Datafeed[[#This Row],[Điểm hòa vốn]]-1</f>
        <v>#DIV/0!</v>
      </c>
      <c r="H6" s="198" cm="1">
        <f t="array" ref="H6" xml:space="preserve">
+IFERROR(SUM(
_xlfn._xlws.FILTER(Table_DonBan[Doanh thu ròng],
(ISBLANK(Table_DonBan[Phân bổ từ]))*
(ISBLANK(Table_DonBan[Phân bổ đến]))*
(Table_Main[Ngày lên đơn] &gt;= Table_Datafeed[[#This Row],[Kỳ]])*
(Table_Main[Ngày lên đơn] &lt; DATE(Table_Datafeed[[#This Row],[Năm]],Table_Datafeed[[#This Row],[Tháng]]+1, 1))
)),0)
+IFERROR(SUMPRODUCT(
_xlfn._xlws.FILTER(Table_DonBan[Doanh thu ròng],
(NOT(ISBLANK(Table_DonBan[Phân bổ từ])))*
(NOT(ISBLANK(Table_DonBan[Phân bổ đến])))*
(Table_DonBan[Phân bổ từ]&lt;DATE(Table_Datafeed[[#This Row],[Năm]],Table_Datafeed[[#This Row],[Tháng]]+1, 1))*
(Table_DonBan[Phân bổ đến]&gt;=Table_Datafeed[[#This Row],[Kỳ]])
),
_xlfn._xlws.FILTER(
ROUND((DATE(Table_Datafeed[[#This Row],[Năm]],Table_Datafeed[[#This Row],[Tháng]]+1, 1)- 1 - Table_DonBan[Phân bổ từ]) / (362.25 / 12 ), 0),
(NOT(ISBLANK(Table_DonBan[Phân bổ từ])))*
(NOT(ISBLANK(Table_DonBan[Phân bổ đến])))*
(Table_DonBan[Phân bổ từ]&lt;DATE(Table_Datafeed[[#This Row],[Năm]],Table_Datafeed[[#This Row],[Tháng]]+1, 1))*
(Table_DonBan[Phân bổ đến]&gt;=Table_Datafeed[[#This Row],[Kỳ]])
),
_xlfn._xlws.FILTER(
1/ROUND((Table_DonBan[Phân bổ đến] - Table_DonBan[Phân bổ từ]) / (362.25 / 12 ),0),
(NOT(ISBLANK(Table_DonBan[Phân bổ từ])))*
(NOT(ISBLANK(Table_DonBan[Phân bổ đến])))*
(Table_DonBan[Phân bổ từ]&lt;DATE(Table_Datafeed[[#This Row],[Năm]],Table_Datafeed[[#This Row],[Tháng]]+1, 1))*
(Table_DonBan[Phân bổ đến]&gt;=Table_Datafeed[[#This Row],[Kỳ]])
)),0)</f>
        <v>0</v>
      </c>
      <c r="I6" s="150" t="e">
        <f>(Table_Datafeed[[#This Row],[Doanh thu]]+Table_Datafeed[[#This Row],[Chi phí biến đổi]])/Table_Datafeed[[#This Row],[Doanh thu]]</f>
        <v>#DIV/0!</v>
      </c>
      <c r="J6" s="198">
        <f>SUM(Table_Datafeed[[#This Row],[CP nguyên liệu]:[CP vận chuyển]])</f>
        <v>0</v>
      </c>
      <c r="K6" s="148" cm="1">
        <f t="array" ref="K6">-IFERROR(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f>
        <v>0</v>
      </c>
      <c r="L6" s="454" cm="1">
        <f t="array" ref="L6">-
IFERROR(
SUM(
_xlfn._xlws.FILTER(Table_ChiPhiKD[Phân bổ sản xuất],
(Table_ChiPhiKD[Kỳ] = Table_Datafeed[[#This Row],[Kỳ]]) *
(NOT(ISBLANK(Table_ChiPhiKD[Tháng])))*
(VLOOKUP(Table_ChiPhiKD[Nhóm chi phí],Table_ChiPhiKD_PhanNhom[],Sheet_ChiPhiKD!$J$2,0) = "Chưa phân bổ" )
)),0)
- IFERROR(SUMPRODUCT(
_xlfn._xlws.FILTER(Table_ChiPhiKD[Phân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f>
        <v>0</v>
      </c>
      <c r="M6" s="148" cm="1">
        <f t="array" ref="M6">-IFERROR(SUM(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f>
        <v>0</v>
      </c>
      <c r="N6" s="198" cm="1">
        <f t="array" ref="N6"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f>
        <v>0</v>
      </c>
      <c r="O6" s="198" cm="1">
        <f t="array" ref="O6">-IFERROR(SUM(
_xlfn._xlws.FILTER(Table_ThuChiKD[Phí GD],
(Table_ThuChiKD[Ngày GD] &gt;= Table_Datafeed[[#This Row],[Kỳ]])*
(Table_ThuChiKD[Ngày GD] &lt; DATE(Table_Datafeed[[#This Row],[Năm]],Table_Datafeed[[#This Row],[Tháng]]+1,1))
)),0)</f>
        <v>0</v>
      </c>
      <c r="P6" s="198" cm="1">
        <f t="array" ref="P6">-IFERROR(
SUM(_xlfn._xlws.FILTER(Table_VanDon[Phí ship],
(Table_VanDon[Bên chịu phí] = "Bên bán") *
(Table_VanDon[Ngày lập] &gt;= Table_Datafeed[[#This Row],[Kỳ]]) *
(Table_VanDon[Ngày lập] &lt; DATE(Table_Datafeed[[#This Row],[Năm]],Table_Datafeed[[#This Row],[Tháng]]+1,1))
)),0)</f>
        <v>0</v>
      </c>
      <c r="Q6" s="198">
        <f>+Table_Datafeed[[#This Row],[Doanh thu]]+Table_Datafeed[[#This Row],[Chi phí biến đổi]]</f>
        <v>0</v>
      </c>
      <c r="R6" s="150" t="e">
        <f>Table_Datafeed[[#This Row],[Chi phí cố định]]/(Table_Datafeed[[#This Row],[Chi phí cố định]]+Table_Datafeed[[#This Row],[Chi phí biến đổi]])</f>
        <v>#DIV/0!</v>
      </c>
      <c r="S6" s="198">
        <f>SUM(Table_Datafeed[[#This Row],[CP nhân sự]:[CP khác]])</f>
        <v>0</v>
      </c>
      <c r="T6" s="454" cm="1">
        <f t="array" ref="T6">-IFERROR(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f>
        <v>0</v>
      </c>
      <c r="U6" s="454" cm="1">
        <f t="array" ref="U6">-IFERROR(
SUM(_xlfn._xlws.FILTER(Table_TonKho[Chi phí ghi nhận],
(Table_TonKho[Kỳ] = Table_Datafeed[[#This Row],[Kỳ]]) *
(Table_TonKho[Chức năng] = "Văn phòng")
)),0)
-IFERROR(
SUM(
_xlfn._xlws.FILTER(Table_ChiPhiKD[Giá trị]-Table_ChiPhiKD[Phân bổ sản xuất],
(Table_ChiPhiKD[Kỳ] = Table_Datafeed[[#This Row],[Kỳ]])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f>
        <v>0</v>
      </c>
      <c r="V6" s="162" cm="1">
        <f t="array" ref="V6"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f>
        <v>0</v>
      </c>
      <c r="W6" s="162" cm="1">
        <f t="array" ref="W6"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f>
        <v>0</v>
      </c>
      <c r="X6" s="162" cm="1">
        <f t="array" ref="X6">-IFERROR(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f>
        <v>0</v>
      </c>
      <c r="Y6" s="162" cm="1">
        <f t="array" ref="Y6">-IFERROR(SUM(_xlfn._xlws.FILTER(Table_TSCD_KhauHao[Khấu hao],
(Table_TSCD_KhauHao[Kỳ] = Table_Datafeed[[#This Row],[Kỳ]]))),0)</f>
        <v>0</v>
      </c>
      <c r="Z6" s="198" cm="1">
        <f t="array" ref="Z6"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f>
        <v>0</v>
      </c>
      <c r="AA6" s="162" cm="1">
        <f t="array" ref="AA6">-IFERROR(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f>
        <v>0</v>
      </c>
      <c r="AB6" s="198" cm="1">
        <f t="array" ref="AB6">-IFERROR(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f>
        <v>0</v>
      </c>
      <c r="AC6" s="198">
        <f>+Table_Datafeed[[#This Row],[Lợi nhuận biến đổi]]+Table_Datafeed[[#This Row],[Chi phí cố định]]</f>
        <v>0</v>
      </c>
      <c r="AD6" s="455" t="e">
        <f>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E6" s="198">
        <f>+Table_Datafeed[[#This Row],[Tiền bán hàng]]+Table_Datafeed[[#This Row],[Tiền VAT]]+Table_Datafeed[[#This Row],[Tiền chi kinh doanh]]+Table_Datafeed[[#This Row],[Tiền nộp NN]]</f>
        <v>0</v>
      </c>
      <c r="AF6" s="198" cm="1">
        <f t="array" ref="AF6">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f>
        <v>0</v>
      </c>
      <c r="AG6" s="198" cm="1">
        <f t="array" ref="AG6">IFERROR(
SUM(_xlfn._xlws.FILTER(Table_NopNS[Giá trị tính thuế],
(Table_NopNS[Ngân sách] = "Thuế VAT")*
(Table_NopNS[Năm]=Table_Datafeed[[#This Row],[Năm]])*
(Table_NopNS[Tháng] = Table_Datafeed[[#This Row],[Tháng]])
)),0)</f>
        <v>0</v>
      </c>
      <c r="AH6" s="151" t="e">
        <f>(Table_Datafeed[[#This Row],[Doanh thu]]-Table_Datafeed[[#This Row],[Tiền bán hàng]])/Table_Datafeed[[#This Row],[Doanh thu]]</f>
        <v>#DIV/0!</v>
      </c>
      <c r="AI6" s="198">
        <f>+Table_Datafeed[[#This Row],[Tiền mua nguyên liệu]]+Table_Datafeed[[#This Row],[Tiền trả chi phí]]+Table_Datafeed[[#This Row],[Tiền trả lao động]]</f>
        <v>0</v>
      </c>
      <c r="AJ6" s="198" cm="1">
        <f t="array" ref="AJ6">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f>
        <v>0</v>
      </c>
      <c r="AK6" s="198" cm="1">
        <f t="array" ref="AK6">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f>
        <v>0</v>
      </c>
      <c r="AL6" s="198" cm="1">
        <f t="array" ref="AL6">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f>
        <v>0</v>
      </c>
      <c r="AM6" s="151" t="e">
        <f>(SUM(Table_Datafeed[[#This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f>
        <v>#DIV/0!</v>
      </c>
      <c r="AN6" s="198" cm="1">
        <f t="array" ref="AN6">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f>
        <v>0</v>
      </c>
      <c r="AO6" s="198">
        <f>+Table_Datafeed[[#This Row],[Tiền trả gốc &amp; lãi]]+Table_Datafeed[[#This Row],[Tiền đầu tư TSCĐ]]+Table_Datafeed[[#This Row],[Tiền đầu tư tài chính]]</f>
        <v>0</v>
      </c>
      <c r="AP6" s="198" cm="1">
        <f t="array" ref="AP6"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f>
        <v>0</v>
      </c>
      <c r="AQ6" s="198" cm="1">
        <f t="array" ref="AQ6"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f>
        <v>0</v>
      </c>
      <c r="AR6" s="198" cm="1">
        <f t="array" ref="AR6"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f>
        <v>0</v>
      </c>
      <c r="AS6" s="198">
        <f>+Table_Datafeed[[#This Row],[Dòng tiền kinh doanh]]+Table_Datafeed[[#This Row],[Tiền trả gốc &amp; lãi]]</f>
        <v>0</v>
      </c>
      <c r="AT6" s="151" t="e">
        <f>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U6" s="148" cm="1">
        <f t="array" ref="AU6">Sheet_BaoCaoTaiChinh!$D$74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f>
        <v>0</v>
      </c>
      <c r="AV6" s="198" cm="1">
        <f t="array" ref="AV6"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f>
        <v>0</v>
      </c>
      <c r="AW6" s="198" cm="1">
        <f t="array" ref="AW6">+IFERROR(SUM(_xlfn._xlws.FILTER(Table_ThuChiTC[Giá trị GD],
(Table_ThuChiTC[Loại GD]="THU")*
(Table_ThuChiTC[Nội dung GD]=Sheet_ThuChiTC!$F$9)*
(Table_ThuChiTC[Ngày GD]&gt;=Table_Datafeed[[#This Row],[Kỳ]])*
(Table_ThuChiTC[Ngày GD]&lt;DATE(Table_Datafeed[[#This Row],[Năm]],Table_Datafeed[[#This Row],[Tháng]]+1,1))
)),0)</f>
        <v>0</v>
      </c>
      <c r="AX6" s="198" cm="1">
        <f t="array" ref="AX6"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f>
        <v>0</v>
      </c>
      <c r="AY6" s="151" cm="1">
        <f t="array" ref="AY6" xml:space="preserve">
(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(Sheet_BaoCaoTaiChinh!$D$113+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f>
        <v>1</v>
      </c>
      <c r="AZ6" s="198">
        <f>+Table_Datafeed[[#This Row],[Số dư tiền mặt vận hành]]+
+SUM(Table_Datafeed[[#This Row],[Tiền lời đầu tư]:[Huy động vốn góp]])</f>
        <v>0</v>
      </c>
      <c r="BA6" s="198" cm="1">
        <f t="array" ref="BA6"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f>
        <v>0</v>
      </c>
      <c r="BB6" s="198">
        <f>+Table_Datafeed[[#This Row],[Số dư tiền mặt nguồn vốn]]+Table_Datafeed[[#This Row],[Trả cổ tức]]</f>
        <v>0</v>
      </c>
      <c r="BD6" s="130"/>
      <c r="BE6" s="134"/>
      <c r="BF6" s="134"/>
      <c r="BG6" s="134"/>
      <c r="BH6" s="134"/>
      <c r="BI6" s="134"/>
      <c r="BJ6" s="134"/>
      <c r="CN6" s="197"/>
      <c r="CO6" s="132">
        <v>2024</v>
      </c>
      <c r="CP6" s="162"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0</v>
      </c>
      <c r="CQ6" s="435" t="str" cm="1">
        <f t="array" ref="CQ6" xml:space="preserve">
IFERROR(
_xlfn.IFS(
AND($CU$12=1, Dashboard_GiaTriNam[[#This Row],[Hiệu quả]]&gt;=$BL$18),Dashboard_GiaTriNam[[#This Row],[Giá trị gốc]],
AND($CU$12=2, Dashboard_GiaTriNam[[#This Row],[Hiệu quả]]&gt;=0),Dashboard_GiaTriNam[[#This Row],[Giá trị gốc]],
AND($CU$12=3, Dashboard_GiaTriNam[[#This Row],[Hiệu quả]]&gt;=$BL$24),Dashboard_GiaTriNam[[#This Row],[Giá trị gốc]],
AND($CU$12=4, Dashboard_GiaTriNam[[#This Row],[Hiệu quả]]&gt;=$BL$27),Dashboard_GiaTriNam[[#This Row],[Giá trị gốc]]
),"")</f>
        <v/>
      </c>
      <c r="CR6" s="437" t="str">
        <f>IFERROR(TEXT(Dashboard_GiaTriNam[[#This Row],[Giá trị đạt]],LOOKUP(Dashboard_GiaTriNam[[#This Row],[Giá trị đạt]],Pivot!$B$6:$B$12,Pivot!$C$6:$C$12)),"")</f>
        <v/>
      </c>
      <c r="CS6" s="436" t="e" cm="1" v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gốc]]/($BL$21*12)-1,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#VALUE!</v>
      </c>
      <c r="CT6" s="199"/>
      <c r="CU6" s="138" t="s">
        <v>74</v>
      </c>
      <c r="CV6" s="166" cm="1">
        <f t="array" ref="CV6">IFERROR(SUM(_xlfn._xlws.FILTER(Table_Datafeed[Điểm hòa vốn],
(Table_Datafeed[Kỳ] &gt;= Pivot!$E$2)*
(Table_Datafeed[Kỳ]&lt;=Pivot!$E$3)
)),0)</f>
        <v>0</v>
      </c>
      <c r="DB6" s="160"/>
      <c r="DD6" s="160"/>
      <c r="DE6" s="144"/>
    </row>
    <row r="7" spans="2:109" ht="18" customHeight="1" x14ac:dyDescent="0.3">
      <c r="BD7" s="130"/>
      <c r="BE7" s="134"/>
      <c r="BF7" s="134"/>
      <c r="BG7" s="134"/>
      <c r="BH7" s="134"/>
      <c r="BI7" s="134"/>
      <c r="BJ7" s="134"/>
      <c r="CN7" s="197"/>
      <c r="CT7" s="199"/>
      <c r="CU7" s="138" t="s">
        <v>33</v>
      </c>
      <c r="CV7" s="166" cm="1">
        <f t="array" ref="CV7">IFERROR(SUM(_xlfn._xlws.FILTER(Table_Datafeed[Doanh thu],
(Table_Datafeed[Kỳ] &gt;= Pivot!$E$2)*
(Table_Datafeed[Kỳ]&lt;=Pivot!$E$3)
)),0)</f>
        <v>0</v>
      </c>
      <c r="CW7" s="138" t="str">
        <f>IFERROR(TEXT(CV7,LOOKUP(CV7,Pivot!$B$6:$B$12,Pivot!$C$6:$C$12)),"")</f>
        <v/>
      </c>
      <c r="CY7" s="138" cm="1">
        <f t="array" ref="CY7">CV7-
IFERROR(SUM(_xlfn._xlws.FILTER(Table_Datafeed[Doanh thu],
(Table_Datafeed[Kỳ] &gt;= DATE(YEAR(Pivot!$E$2)-1,MONTH(Pivot!$E$2),1))*
(Table_Datafeed[Kỳ]&lt;=DATE(YEAR(Pivot!$E$3)-1,MONTH(Pivot!$E$3),1))
)),0)</f>
        <v>0</v>
      </c>
      <c r="DA7" s="138" t="str">
        <f>IFERROR(TEXT(CY7,LOOKUP(CY7,Pivot!$B$6:$B$12,Pivot!$C$6:$C$12)),"")</f>
        <v/>
      </c>
      <c r="DB7" s="160" t="e">
        <f>CV7/(CV7-CY7)-1</f>
        <v>#DIV/0!</v>
      </c>
      <c r="DD7" s="160"/>
      <c r="DE7" s="144"/>
    </row>
    <row r="8" spans="2:109" ht="18" customHeight="1" x14ac:dyDescent="0.3">
      <c r="BD8" s="130"/>
      <c r="BE8" s="134"/>
      <c r="BF8" s="134"/>
      <c r="BG8" s="134"/>
      <c r="BH8" s="134"/>
      <c r="BI8" s="134"/>
      <c r="BJ8" s="134"/>
      <c r="CN8" s="197"/>
      <c r="CT8" s="199"/>
      <c r="CU8" s="138" t="s">
        <v>122</v>
      </c>
      <c r="CV8" s="166" cm="1">
        <f t="array" ref="CV8">IFERROR(SUM(_xlfn._xlws.FILTER(Table_Datafeed[Lợi nhuận kinh doanh],
(Table_Datafeed[Kỳ] &gt;= Pivot!$E$2)*
(Table_Datafeed[Kỳ]&lt;=Pivot!$E$3)
)),0)</f>
        <v>0</v>
      </c>
      <c r="CW8" s="138" t="str">
        <f>IFERROR(TEXT(CV8,LOOKUP(CV8,Pivot!$B$6:$B$12,Pivot!$C$6:$C$12)),"")</f>
        <v/>
      </c>
      <c r="CX8" s="179" t="e" cm="1" vm="1">
        <f t="array" ref="CX8">CV8/
(-(
SUM(_xlfn._xlws.FILTER(Table_Datafeed[CP nguyên liệu],
(Table_Datafeed[Kỳ] &gt;= Pivot!$E$2)*
(Table_Datafeed[Kỳ] &lt;= Pivot!$E$3)
))
+SUM(_xlfn._xlws.FILTER(Table_Datafeed[CP tiện ích sản xuất],
(Table_Datafeed[Kỳ] &gt;= Pivot!$E$2)*
(Table_Datafeed[Kỳ] &lt;= Pivot!$E$3)
))
+SUM(_xlfn._xlws.FILTER(Table_Datafeed[Chi phí cố định],
(Table_Datafeed[Kỳ] &gt;= Pivot!$E$2)*
(Table_Datafeed[Kỳ] &lt;= Pivot!$E$3)
))
-SUM(_xlfn._xlws.FILTER(Table_Datafeed[CP khấu hao],
(Table_Datafeed[Kỳ] &gt;= Pivot!$E$2)*
(Table_Datafeed[Kỳ] &lt;= Pivot!$E$3)
))
)
+(Sheet_BaoCaoTaiChinh!$D$92+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+Sheet_BaoCaoTaiChinh!$D$83+
IFERROR(
SUM(_xlfn._xlws.FILTER(Table_TonKho[Giá trị cuối kỳ],
Table_TonKho[Kỳ] = DATE(YEAR(Pivot!$E$2), MONTH(Pivot!$E$2)-1,1)
)), 0)
+Sheet_BaoCaoTaiChinh!$D$77+Sheet_BaoCaoTaiChinh!$D$78+Sheet_BaoCaoTaiChinh!$D$79+Sheet_BaoCaoTaiChinh!$D$88+Sheet_BaoCaoTaiChinh!$D$89+Sheet_BaoCaoTaiChinh!$D$90+
IFERROR(
HLOOKUP(DATE(YEAR(Pivot!$E$2), MONTH(Pivot!$E$2)-1,1),Sheet_PhaiThu!$C$1:$XFD$5,Sheet_PhaiThu!$B$2,0
),0)
+IFERROR(
HLOOKUP(
DATE(YEAR(Pivot!$E$2), MONTH(Pivot!$E$2)-1,1),Sheet_PhaiTra!$B$1:$XFD$9,Sheet_PhaiTra!$A$4,0
),0)
+IFERROR(
HLOOKUP(
DATE(YEAR(Pivot!$E$2), MONTH(Pivot!$E$2)-1,1),Sheet_PhaiTra!$B$1:$XFD$9,Sheet_PhaiTra!$A$8,0
),0))
)</f>
        <v>#VALUE!</v>
      </c>
      <c r="CY8" s="138" cm="1">
        <f t="array" ref="CY8">CV8-
IFERROR(SUM(_xlfn._xlws.FILTER(Table_Datafeed[Lợi nhuận kinh doanh],
(Table_Datafeed[Kỳ] &gt;= DATE(YEAR(Pivot!$E$2)-1,MONTH(Pivot!$E$2),1))*
(Table_Datafeed[Kỳ]&lt;=DATE(YEAR(Pivot!$E$3)-1,MONTH(Pivot!$E$3),1))
)),0)</f>
        <v>0</v>
      </c>
      <c r="CZ8" s="138" t="str" cm="1">
        <f t="array" ref="CZ8">IF(CV8-
IFERROR(SUM(_xlfn._xlws.FILTER(Table_Datafeed[Lợi nhuận kinh doanh],
(Table_Datafeed[Kỳ] &gt;= DATE(YEAR(Pivot!$E$2)-1,MONTH(Pivot!$E$2),1))*
(Table_Datafeed[Kỳ]&lt;=DATE(YEAR(Pivot!$E$3)-1,MONTH(Pivot!$E$3),1))
)),0)&gt;0,"tăng",
IF(CV8-
IFERROR(SUM(_xlfn._xlws.FILTER(Table_Datafeed[Lợi nhuận kinh doanh],
(Table_Datafeed[Kỳ] &gt;= DATE(YEAR(Pivot!$E$2)-1,MONTH(Pivot!$E$2),1))*
(Table_Datafeed[Kỳ]&lt;=DATE(YEAR(Pivot!$E$3)-1,MONTH(Pivot!$E$3),1))
)),0)&lt;0,"giảm","không đổi"))</f>
        <v>không đổi</v>
      </c>
      <c r="DA8" s="138" t="str">
        <f>IFERROR(TEXT(ABS(CY8),LOOKUP(ABS(CY8),Pivot!$B$6:$B$12,Pivot!$C$6:$C$12)),"")</f>
        <v/>
      </c>
      <c r="DB8" s="144" t="e" cm="1" vm="2">
        <f t="array" ref="DB8">ABS(CX8-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f>
        <v>#VALUE!</v>
      </c>
      <c r="DC8" s="138" t="e" cm="1" vm="2">
        <f t="array" ref="DC8">IF(CX8-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)&gt;=0,"tăng","giảm")</f>
        <v>#VALUE!</v>
      </c>
      <c r="DD8" s="144" cm="1">
        <f t="array" ref="DD8">IFERROR(
SUM(_xlfn._xlws.FILTER(Table_Datafeed[Lợi nhuận biến đổi],
(Table_Datafeed[Kỳ] &gt;=Pivot!$E$2)*
(Table_Datafeed[Kỳ] &lt;=Pivot!$E$3)
)) /
SUM(_xlfn._xlws.FILTER(Table_Datafeed[Doanh thu],
(Table_Datafeed[Kỳ] &gt;=Pivot!$E$2)*
(Table_Datafeed[Kỳ] &lt;=Pivot!$E$3)
)),0)</f>
        <v>0</v>
      </c>
      <c r="DE8" s="166" cm="1">
        <f t="array" ref="DE8">ROUND(1000000*(DD8-IFERROR(
SUM(_xlfn._xlws.FILTER(Table_Datafeed[Lợi nhuận biến đổi],
(Table_Datafeed[Kỳ] &gt;=DATE(YEAR(Pivot!$E$2)-1, MONTH(Pivot!$E$2),1))*
(Table_Datafeed[Kỳ] &lt;=DATE(YEAR(Pivot!$E$3)-1, MONTH(Pivot!$E$3),1))
)) /
SUM(_xlfn._xlws.FILTER(Table_Datafeed[Doanh thu],
(Table_Datafeed[Kỳ] &gt;=DATE(YEAR(Pivot!$E$2)-1, MONTH(Pivot!$E$2),1))*
(Table_Datafeed[Kỳ] &lt;=DATE(YEAR(Pivot!$E$3)-1, MONTH(Pivot!$E$3),1))
)),0)),-4)</f>
        <v>0</v>
      </c>
    </row>
    <row r="9" spans="2:109" ht="18" customHeight="1" x14ac:dyDescent="0.3">
      <c r="BD9" s="130"/>
      <c r="BE9" s="134"/>
      <c r="BF9" s="134"/>
      <c r="BG9" s="134"/>
      <c r="BH9" s="134"/>
      <c r="BI9" s="134"/>
      <c r="BJ9" s="134"/>
      <c r="CN9" s="197"/>
      <c r="CT9" s="199"/>
      <c r="CU9" s="138" t="s">
        <v>123</v>
      </c>
      <c r="CV9" s="166" cm="1">
        <f t="array" ref="CV9">IFERROR(SUM(_xlfn._xlws.FILTER(Table_Datafeed[Dòng tiền vận hành],
(Table_Datafeed[Kỳ] &gt;= Pivot!$E$2)*
(Table_Datafeed[Kỳ]&lt;=Pivot!$E$3)
)),0)</f>
        <v>0</v>
      </c>
      <c r="CW9" s="138" t="str">
        <f>IFERROR(TEXT(CV9,LOOKUP(CV9,Pivot!$B$6:$B$12,Pivot!$C$6:$C$12)),"")</f>
        <v/>
      </c>
      <c r="CX9" s="179" cm="1">
        <f t="array" ref="CX9">CV9/
(
-(
IFERROR(SUM(_xlfn._xlws.FILTER(Table_Datafeed[Tiền chi kinh doanh],
(Table_Datafeed[Kỳ] &gt;= Pivot!$E$2)*
(Table_Datafeed[Kỳ] &lt;= Pivot!$E$3)
)),0)
+IFERROR(SUM(_xlfn._xlws.FILTER(Table_Datafeed[Tiền nộp NN],
(Table_Datafeed[Kỳ] &gt;= Pivot!$E$2)*
(Table_Datafeed[Kỳ] &lt;= Pivot!$E$3)
)),0)
+IFERROR(SUM(_xlfn._xlws.FILTER(Table_Datafeed[Tiền trả gốc &amp; lãi],
(Table_Datafeed[Kỳ] &gt;= Pivot!$E$2)*
(Table_Datafeed[Kỳ] &lt;= Pivot!$E$3)
)),0)
)
+(Sheet_BaoCaoTaiChinh!$D$92+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+Sheet_BaoCaoTaiChinh!$D$83+
IFERROR(
SUM(_xlfn._xlws.FILTER(Table_TonKho[Giá trị cuối kỳ],
Table_TonKho[Kỳ] = DATE(YEAR(Pivot!$E$2), MONTH(Pivot!$E$2)-1,1)
)), 0)
+Sheet_BaoCaoTaiChinh!$D$77+Sheet_BaoCaoTaiChinh!$D$78+Sheet_BaoCaoTaiChinh!$D$79+Sheet_BaoCaoTaiChinh!$D$88+Sheet_BaoCaoTaiChinh!$D$89+Sheet_BaoCaoTaiChinh!$D$90+
IFERROR(
HLOOKUP(DATE(YEAR(Pivot!$E$2), MONTH(Pivot!$E$2)-1,1),Sheet_PhaiThu!$C$1:$XFD$5,Sheet_PhaiThu!$B$2,0
),0)
+IFERROR(
HLOOKUP(
DATE(YEAR(Pivot!$E$2), MONTH(Pivot!$E$2)-1,1),Sheet_PhaiTra!$B$1:$XFD$9,Sheet_PhaiTra!$A$4,0
),0)
+IFERROR(
HLOOKUP(
DATE(YEAR(Pivot!$E$2), MONTH(Pivot!$E$2)-1,1),Sheet_PhaiTra!$B$1:$XFD$9,Sheet_PhaiTra!$A$8,0
),0))
)</f>
        <v>0</v>
      </c>
      <c r="CY9" s="138" cm="1">
        <f t="array" ref="CY9">CV9-
IFERROR(SUM(_xlfn._xlws.FILTER(Table_Datafeed[Dòng tiền vận hành],
(Table_Datafeed[Kỳ] &gt;= DATE(YEAR(Pivot!$E$2)-1,MONTH(Pivot!$E$2),1))*
(Table_Datafeed[Kỳ]&lt;=DATE(YEAR(Pivot!$E$3)-1,MONTH(Pivot!$E$3),1))
)),0)</f>
        <v>0</v>
      </c>
      <c r="CZ9" s="138" t="str" cm="1">
        <f t="array" ref="CZ9">IF(CV9-
IFERROR(SUM(_xlfn._xlws.FILTER(Table_Datafeed[Dòng tiền vận hành],
(Table_Datafeed[Kỳ] &gt;= DATE(YEAR(Pivot!$E$2)-1,MONTH(Pivot!$E$2),1))*
(Table_Datafeed[Kỳ]&lt;=DATE(YEAR(Pivot!$E$3)-1,MONTH(Pivot!$E$3),1))
)),0)&gt;0,"tăng",
IF(CV9-
IFERROR(SUM(_xlfn._xlws.FILTER(Table_Datafeed[Dòng tiền vận hành],
(Table_Datafeed[Kỳ] &gt;= DATE(YEAR(Pivot!$E$2)-1,MONTH(Pivot!$E$2),1))*
(Table_Datafeed[Kỳ]&lt;=DATE(YEAR(Pivot!$E$3)-1,MONTH(Pivot!$E$3),1))
)),0)&lt;0,"giảm","không đổi"))</f>
        <v>không đổi</v>
      </c>
      <c r="DA9" s="138" t="str">
        <f>IFERROR(TEXT(ABS(CY9),LOOKUP(ABS(CY9),Pivot!$B$6:$B$12,Pivot!$C$6:$C$12)),"")</f>
        <v/>
      </c>
      <c r="DB9" s="144" cm="1">
        <f t="array" ref="DB9">ABS(CX9-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f>
        <v>0</v>
      </c>
      <c r="DC9" s="138" t="str" cm="1">
        <f t="array" ref="DC9" xml:space="preserve">
IF(CX9-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)&gt;=0,"tăng","giảm")</f>
        <v>tăng</v>
      </c>
      <c r="DD9" s="144" cm="1">
        <f t="array" ref="DD9">IFERROR(
SUM(_xlfn._xlws.FILTER(Table_Datafeed[Tiền bán hàng],
(Table_Datafeed[Kỳ] &gt;=Pivot!$E$2)*
(Table_Datafeed[Kỳ] &lt;=Pivot!$E$3)
)) /
SUM(_xlfn._xlws.FILTER(Table_Datafeed[Doanh thu],
(Table_Datafeed[Kỳ] &gt;=Pivot!$E$2)*
(Table_Datafeed[Kỳ] &lt;=Pivot!$E$3)
)),0)</f>
        <v>0</v>
      </c>
      <c r="DE9" s="166" cm="1">
        <f t="array" ref="DE9">ROUND(1000000*(DD9-IFERROR(
SUM(_xlfn._xlws.FILTER(Table_Datafeed[Tiền bán hàng],
(Table_Datafeed[Kỳ] &gt;=DATE(YEAR(Pivot!$E$2)-1, MONTH(Pivot!$E$2),1))*
(Table_Datafeed[Kỳ] &lt;=DATE(YEAR(Pivot!$E$3)-1, MONTH(Pivot!$E$3),1))
)) /
SUM(_xlfn._xlws.FILTER(Table_Datafeed[Doanh thu],
(Table_Datafeed[Kỳ] &gt;=DATE(YEAR(Pivot!$E$2)-1, MONTH(Pivot!$E$2),1))*
(Table_Datafeed[Kỳ] &lt;=DATE(YEAR(Pivot!$E$3)-1, MONTH(Pivot!$E$3),1))
)),0)),-4)</f>
        <v>0</v>
      </c>
    </row>
    <row r="10" spans="2:109" ht="18" customHeight="1" x14ac:dyDescent="0.3">
      <c r="BD10" s="130"/>
      <c r="BE10" s="134"/>
      <c r="BF10" s="134"/>
      <c r="BG10" s="134"/>
      <c r="BH10" s="134"/>
      <c r="BI10" s="134"/>
      <c r="BJ10" s="134"/>
      <c r="CN10" s="197"/>
      <c r="CT10" s="199"/>
      <c r="CU10" s="142" t="s">
        <v>124</v>
      </c>
      <c r="DC10" s="144"/>
      <c r="DD10" s="144"/>
    </row>
    <row r="11" spans="2:109" ht="18" customHeight="1" x14ac:dyDescent="0.3">
      <c r="BD11" s="130"/>
      <c r="BE11" s="134"/>
      <c r="BF11" s="134"/>
      <c r="BG11" s="134"/>
      <c r="BH11" s="134"/>
      <c r="BI11" s="134"/>
      <c r="BJ11" s="134"/>
      <c r="CN11" s="197"/>
      <c r="CT11" s="199"/>
      <c r="CU11" s="138" t="str" cm="1">
        <f t="array" ref="CU11">_xlfn.IFS(
($CU$12)=1, "sản lượng trong kỳ",
($CU$12)=2, "doanh thu trong kỳ",
($CU$12)=3, "lợi nhuận trong kỳ",
($CU$12)=4, "dòng tiền trong kỳ"
)</f>
        <v>sản lượng trong kỳ</v>
      </c>
      <c r="CW11" s="138">
        <f>COUNTIF(Dashboard_BCQT!$CW$14:$CW$25, "&gt;0")</f>
        <v>0</v>
      </c>
      <c r="DC11" s="144"/>
      <c r="DD11" s="144"/>
    </row>
    <row r="12" spans="2:109" ht="18" customHeight="1" x14ac:dyDescent="0.3">
      <c r="BD12" s="130"/>
      <c r="BE12" s="134"/>
      <c r="BF12" s="134"/>
      <c r="BG12" s="134"/>
      <c r="BH12" s="134"/>
      <c r="BI12" s="134"/>
      <c r="BJ12" s="134"/>
      <c r="CN12" s="197"/>
      <c r="CT12" s="199"/>
      <c r="CU12" s="138">
        <v>1</v>
      </c>
      <c r="CW12" s="144" t="e">
        <f>SUM(Dashboard_BCQT!$CW$14:$CW$25)/SUM(Dashboard_BCQT!$CV$14:$CV$25)</f>
        <v>#DIV/0!</v>
      </c>
      <c r="DC12" s="144"/>
      <c r="DD12" s="144"/>
    </row>
    <row r="13" spans="2:109" ht="18" customHeight="1" x14ac:dyDescent="0.3">
      <c r="BD13" s="130"/>
      <c r="BE13" s="134"/>
      <c r="BF13" s="134"/>
      <c r="BG13" s="134"/>
      <c r="BH13" s="134"/>
      <c r="BI13" s="134"/>
      <c r="BJ13" s="134"/>
      <c r="CN13" s="197"/>
      <c r="CT13" s="199"/>
      <c r="CU13" s="138" t="s">
        <v>1</v>
      </c>
      <c r="CV13" s="138" t="s">
        <v>66</v>
      </c>
      <c r="CW13" s="138" t="s">
        <v>125</v>
      </c>
      <c r="CX13" s="138" t="s">
        <v>126</v>
      </c>
      <c r="CY13" s="138" t="s">
        <v>68</v>
      </c>
      <c r="DC13" s="144"/>
      <c r="DD13" s="144"/>
    </row>
    <row r="14" spans="2:109" ht="18" customHeight="1" x14ac:dyDescent="0.3">
      <c r="BD14" s="130"/>
      <c r="BE14" s="134"/>
      <c r="BF14" s="134"/>
      <c r="BG14" s="134"/>
      <c r="BH14" s="134"/>
      <c r="BI14" s="134"/>
      <c r="BJ14" s="134"/>
      <c r="CN14" s="197"/>
      <c r="CT14" s="199"/>
      <c r="CU14" s="138">
        <v>1</v>
      </c>
      <c r="CV14" s="138" cm="1">
        <f t="array" ref="CV14">IFERROR(
_xlfn.IFS(
($CU$12)=1,
SUM(_xlfn._xlws.FILTER(Table_Datafeed[Sản lượng],
(Table_Datafeed[Kỳ]&gt;=Pivot!$E$2)*
(Table_Datafeed[Kỳ]&lt;=Pivot!$E$3)*
(Table_Datafeed[Tháng] = $CU14))),
($CU$12)=2,
SUM(_xlfn._xlws.FILTER(Table_Datafeed[Doanh thu],
(Table_Datafeed[Kỳ]&gt;=Pivot!$E$2)*
(Table_Datafeed[Kỳ]&lt;=Pivot!$E$3)*
(Table_Datafeed[Tháng] = $CU14))),
($CU$12)=3,
SUM(_xlfn._xlws.FILTER(Table_Datafeed[Lợi nhuận kinh doanh],
(Table_Datafeed[Kỳ]&gt;=Pivot!$E$2)*
(Table_Datafeed[Kỳ]&lt;=Pivot!$E$3)*
(Table_Datafeed[Tháng] =$CU14))),
($CU$12)=4,
SUM(_xlfn._xlws.FILTER(Table_Datafeed[Dòng tiền vận hành],
(Table_Datafeed[Kỳ]&gt;=Pivot!$E$2)*
(Table_Datafeed[Kỳ]&lt;=Pivot!$E$3)*
(Table_Datafeed[Tháng] = $CU14)))
),0)</f>
        <v>0</v>
      </c>
      <c r="CW14" s="138" cm="1">
        <f t="array" ref="CW14" xml:space="preserve">
IFERROR(
_xlfn.IFS(
AND($CU$12=1, $CY14&gt;=$BL$18),$CV14,
AND($CU$12=2, $CY14&gt;=0),$CV14,
AND($CU$12=3, $CY14&gt;=$BL$24),$CV14,
AND($CU$12=4, $CY14&gt;=$BL$27),$CV14
),"")</f>
        <v>0</v>
      </c>
      <c r="CX14" s="138" t="str">
        <f>IFERROR(TEXT($CW14,LOOKUP($CW14,Pivot!$B$6:$B$12,Pivot!$C$6:$C$12)),"")</f>
        <v/>
      </c>
      <c r="CY14" s="138" t="str" cm="1">
        <f t="array" ref="CY14">IFERROR(
_xlfn.IFS(
$CU$12=1,
AVERAGE(_xlfn._xlws.FILTER(Table_Datafeed[Tỷ lệ hòa vốn],
(Table_Datafeed[Kỳ] &gt;= Pivot!$E$2)*
(Table_Datafeed[Kỳ] &lt;= Pivot!$E$3)*
(Table_Datafeed[Tháng] = $CU14))),
$CU$12=2, $CV14/$BL$21-1,
$CU$12=3,
AVERAGE(_xlfn._xlws.FILTER(Table_Datafeed[Hiệu quả lợi nhuận],
(Table_Datafeed[Kỳ] &gt;= Pivot!$E$2)*
(Table_Datafeed[Kỳ] &lt;= Pivot!$E$3)*
(Table_Datafeed[Tháng] = $CU14))),
$CU$12=4,
AVERAGE(_xlfn._xlws.FILTER(Table_Datafeed[Hiệu quả dòng tiền kinh doanh],
(Table_Datafeed[Kỳ] &gt;= Pivot!$E$2)*
(Table_Datafeed[Kỳ] &lt;= Pivot!$E$3)*
(Table_Datafeed[Tháng] = $CU14)))
),"")</f>
        <v/>
      </c>
      <c r="CZ14" s="144"/>
      <c r="DC14" s="144"/>
      <c r="DD14" s="144"/>
    </row>
    <row r="15" spans="2:109" ht="18" customHeight="1" x14ac:dyDescent="0.3">
      <c r="BD15" s="130"/>
      <c r="BE15" s="134"/>
      <c r="BF15" s="134"/>
      <c r="BG15" s="134"/>
      <c r="BH15" s="134"/>
      <c r="BI15" s="134"/>
      <c r="BJ15" s="134"/>
      <c r="BL15" s="152" t="s">
        <v>127</v>
      </c>
      <c r="CN15" s="197"/>
      <c r="CT15" s="199"/>
      <c r="CU15" s="138">
        <v>2</v>
      </c>
      <c r="CV15" s="138" cm="1">
        <f t="array" ref="CV15">IFERROR(
_xlfn.IFS(
($CU$12)=1,
SUM(_xlfn._xlws.FILTER(Table_Datafeed[Sản lượng],
(Table_Datafeed[Kỳ]&gt;=Pivot!$E$2)*
(Table_Datafeed[Kỳ]&lt;=Pivot!$E$3)*
(Table_Datafeed[Tháng] = $CU15))),
($CU$12)=2,
SUM(_xlfn._xlws.FILTER(Table_Datafeed[Doanh thu],
(Table_Datafeed[Kỳ]&gt;=Pivot!$E$2)*
(Table_Datafeed[Kỳ]&lt;=Pivot!$E$3)*
(Table_Datafeed[Tháng] = $CU15))),
($CU$12)=3,
SUM(_xlfn._xlws.FILTER(Table_Datafeed[Lợi nhuận kinh doanh],
(Table_Datafeed[Kỳ]&gt;=Pivot!$E$2)*
(Table_Datafeed[Kỳ]&lt;=Pivot!$E$3)*
(Table_Datafeed[Tháng] =$CU15))),
($CU$12)=4,
SUM(_xlfn._xlws.FILTER(Table_Datafeed[Dòng tiền vận hành],
(Table_Datafeed[Kỳ]&gt;=Pivot!$E$2)*
(Table_Datafeed[Kỳ]&lt;=Pivot!$E$3)*
(Table_Datafeed[Tháng] = $CU15)))
),0)</f>
        <v>0</v>
      </c>
      <c r="CW15" s="138" cm="1">
        <f t="array" ref="CW15" xml:space="preserve">
IFERROR(
_xlfn.IFS(
AND($CU$12=1, $CY15&gt;=$BL$18),$CV15,
AND($CU$12=2, $CY15&gt;=0),$CV15,
AND($CU$12=3, $CY15&gt;=$BL$24),$CV15,
AND($CU$12=4, $CY15&gt;=$BL$27),$CV15
),"")</f>
        <v>0</v>
      </c>
      <c r="CX15" s="138" t="str">
        <f>IFERROR(TEXT($CW15,LOOKUP($CW15,Pivot!$B$6:$B$12,Pivot!$C$6:$C$12)),"")</f>
        <v/>
      </c>
      <c r="CY15" s="138" t="str" cm="1">
        <f t="array" ref="CY15">IFERROR(
_xlfn.IFS(
$CU$12=1,
AVERAGE(_xlfn._xlws.FILTER(Table_Datafeed[Tỷ lệ hòa vốn],
(Table_Datafeed[Kỳ] &gt;= Pivot!$E$2)*
(Table_Datafeed[Kỳ] &lt;= Pivot!$E$3)*
(Table_Datafeed[Tháng] = $CU15))),
$CU$12=2, $CV15/$BL$21-1,
$CU$12=3,
AVERAGE(_xlfn._xlws.FILTER(Table_Datafeed[Hiệu quả lợi nhuận],
(Table_Datafeed[Kỳ] &gt;= Pivot!$E$2)*
(Table_Datafeed[Kỳ] &lt;= Pivot!$E$3)*
(Table_Datafeed[Tháng] = $CU15))),
$CU$12=4,
AVERAGE(_xlfn._xlws.FILTER(Table_Datafeed[Hiệu quả dòng tiền kinh doanh],
(Table_Datafeed[Kỳ] &gt;= Pivot!$E$2)*
(Table_Datafeed[Kỳ] &lt;= Pivot!$E$3)*
(Table_Datafeed[Tháng] = $CU15)))
),"")</f>
        <v/>
      </c>
      <c r="CZ15" s="144"/>
      <c r="DC15" s="144"/>
      <c r="DD15" s="144"/>
    </row>
    <row r="16" spans="2:109" ht="18" customHeight="1" x14ac:dyDescent="0.3">
      <c r="BD16" s="130"/>
      <c r="BE16" s="134"/>
      <c r="BF16" s="134"/>
      <c r="BG16" s="134"/>
      <c r="BH16" s="134"/>
      <c r="BI16" s="134"/>
      <c r="BJ16" s="134"/>
      <c r="BL16" s="200"/>
      <c r="BQ16" s="201"/>
      <c r="BR16" s="201"/>
      <c r="CN16" s="197"/>
      <c r="CT16" s="199"/>
      <c r="CU16" s="138">
        <v>3</v>
      </c>
      <c r="CV16" s="138" cm="1">
        <f t="array" ref="CV16">IFERROR(
_xlfn.IFS(
($CU$12)=1,
SUM(_xlfn._xlws.FILTER(Table_Datafeed[Sản lượng],
(Table_Datafeed[Kỳ]&gt;=Pivot!$E$2)*
(Table_Datafeed[Kỳ]&lt;=Pivot!$E$3)*
(Table_Datafeed[Tháng] = $CU16))),
($CU$12)=2,
SUM(_xlfn._xlws.FILTER(Table_Datafeed[Doanh thu],
(Table_Datafeed[Kỳ]&gt;=Pivot!$E$2)*
(Table_Datafeed[Kỳ]&lt;=Pivot!$E$3)*
(Table_Datafeed[Tháng] = $CU16))),
($CU$12)=3,
SUM(_xlfn._xlws.FILTER(Table_Datafeed[Lợi nhuận kinh doanh],
(Table_Datafeed[Kỳ]&gt;=Pivot!$E$2)*
(Table_Datafeed[Kỳ]&lt;=Pivot!$E$3)*
(Table_Datafeed[Tháng] =$CU16))),
($CU$12)=4,
SUM(_xlfn._xlws.FILTER(Table_Datafeed[Dòng tiền vận hành],
(Table_Datafeed[Kỳ]&gt;=Pivot!$E$2)*
(Table_Datafeed[Kỳ]&lt;=Pivot!$E$3)*
(Table_Datafeed[Tháng] = $CU16)))
),0)</f>
        <v>0</v>
      </c>
      <c r="CW16" s="138" cm="1">
        <f t="array" ref="CW16" xml:space="preserve">
IFERROR(
_xlfn.IFS(
AND($CU$12=1, $CY16&gt;=$BL$18),$CV16,
AND($CU$12=2, $CY16&gt;=0),$CV16,
AND($CU$12=3, $CY16&gt;=$BL$24),$CV16,
AND($CU$12=4, $CY16&gt;=$BL$27),$CV16
),"")</f>
        <v>0</v>
      </c>
      <c r="CX16" s="138" t="str">
        <f>IFERROR(TEXT($CW16,LOOKUP($CW16,Pivot!$B$6:$B$12,Pivot!$C$6:$C$12)),"")</f>
        <v/>
      </c>
      <c r="CY16" s="138" t="str" cm="1">
        <f t="array" ref="CY16">IFERROR(
_xlfn.IFS(
$CU$12=1,
AVERAGE(_xlfn._xlws.FILTER(Table_Datafeed[Tỷ lệ hòa vốn],
(Table_Datafeed[Kỳ] &gt;= Pivot!$E$2)*
(Table_Datafeed[Kỳ] &lt;= Pivot!$E$3)*
(Table_Datafeed[Tháng] = $CU16))),
$CU$12=2, $CV16/$BL$21-1,
$CU$12=3,
AVERAGE(_xlfn._xlws.FILTER(Table_Datafeed[Hiệu quả lợi nhuận],
(Table_Datafeed[Kỳ] &gt;= Pivot!$E$2)*
(Table_Datafeed[Kỳ] &lt;= Pivot!$E$3)*
(Table_Datafeed[Tháng] = $CU16))),
$CU$12=4,
AVERAGE(_xlfn._xlws.FILTER(Table_Datafeed[Hiệu quả dòng tiền kinh doanh],
(Table_Datafeed[Kỳ] &gt;= Pivot!$E$2)*
(Table_Datafeed[Kỳ] &lt;= Pivot!$E$3)*
(Table_Datafeed[Tháng] = $CU16)))
),"")</f>
        <v/>
      </c>
      <c r="CZ16" s="144"/>
      <c r="DC16" s="144"/>
      <c r="DD16" s="144"/>
    </row>
    <row r="17" spans="56:108" ht="18" customHeight="1" x14ac:dyDescent="0.3">
      <c r="BD17" s="130"/>
      <c r="BE17" s="134"/>
      <c r="BF17" s="134"/>
      <c r="BG17" s="134"/>
      <c r="BH17" s="134"/>
      <c r="BI17" s="134"/>
      <c r="BJ17" s="134"/>
      <c r="BL17" s="153" t="s">
        <v>75</v>
      </c>
      <c r="CN17" s="197"/>
      <c r="CT17" s="199"/>
      <c r="CU17" s="138">
        <v>4</v>
      </c>
      <c r="CV17" s="138" cm="1">
        <f t="array" ref="CV17">IFERROR(
_xlfn.IFS(
($CU$12)=1,
SUM(_xlfn._xlws.FILTER(Table_Datafeed[Sản lượng],
(Table_Datafeed[Kỳ]&gt;=Pivot!$E$2)*
(Table_Datafeed[Kỳ]&lt;=Pivot!$E$3)*
(Table_Datafeed[Tháng] = $CU17))),
($CU$12)=2,
SUM(_xlfn._xlws.FILTER(Table_Datafeed[Doanh thu],
(Table_Datafeed[Kỳ]&gt;=Pivot!$E$2)*
(Table_Datafeed[Kỳ]&lt;=Pivot!$E$3)*
(Table_Datafeed[Tháng] = $CU17))),
($CU$12)=3,
SUM(_xlfn._xlws.FILTER(Table_Datafeed[Lợi nhuận kinh doanh],
(Table_Datafeed[Kỳ]&gt;=Pivot!$E$2)*
(Table_Datafeed[Kỳ]&lt;=Pivot!$E$3)*
(Table_Datafeed[Tháng] =$CU17))),
($CU$12)=4,
SUM(_xlfn._xlws.FILTER(Table_Datafeed[Dòng tiền vận hành],
(Table_Datafeed[Kỳ]&gt;=Pivot!$E$2)*
(Table_Datafeed[Kỳ]&lt;=Pivot!$E$3)*
(Table_Datafeed[Tháng] = $CU17)))
),0)</f>
        <v>0</v>
      </c>
      <c r="CW17" s="138" cm="1">
        <f t="array" ref="CW17" xml:space="preserve">
IFERROR(
_xlfn.IFS(
AND($CU$12=1, $CY17&gt;=$BL$18),$CV17,
AND($CU$12=2, $CY17&gt;=0),$CV17,
AND($CU$12=3, $CY17&gt;=$BL$24),$CV17,
AND($CU$12=4, $CY17&gt;=$BL$27),$CV17
),"")</f>
        <v>0</v>
      </c>
      <c r="CX17" s="138" t="str">
        <f>IFERROR(TEXT($CW17,LOOKUP($CW17,Pivot!$B$6:$B$12,Pivot!$C$6:$C$12)),"")</f>
        <v/>
      </c>
      <c r="CY17" s="138" t="str" cm="1">
        <f t="array" ref="CY17">IFERROR(
_xlfn.IFS(
$CU$12=1,
AVERAGE(_xlfn._xlws.FILTER(Table_Datafeed[Tỷ lệ hòa vốn],
(Table_Datafeed[Kỳ] &gt;= Pivot!$E$2)*
(Table_Datafeed[Kỳ] &lt;= Pivot!$E$3)*
(Table_Datafeed[Tháng] = $CU17))),
$CU$12=2, $CV17/$BL$21-1,
$CU$12=3,
AVERAGE(_xlfn._xlws.FILTER(Table_Datafeed[Hiệu quả lợi nhuận],
(Table_Datafeed[Kỳ] &gt;= Pivot!$E$2)*
(Table_Datafeed[Kỳ] &lt;= Pivot!$E$3)*
(Table_Datafeed[Tháng] = $CU17))),
$CU$12=4,
AVERAGE(_xlfn._xlws.FILTER(Table_Datafeed[Hiệu quả dòng tiền kinh doanh],
(Table_Datafeed[Kỳ] &gt;= Pivot!$E$2)*
(Table_Datafeed[Kỳ] &lt;= Pivot!$E$3)*
(Table_Datafeed[Tháng] = $CU17)))
),"")</f>
        <v/>
      </c>
      <c r="CZ17" s="144"/>
      <c r="DC17" s="144"/>
      <c r="DD17" s="144"/>
    </row>
    <row r="18" spans="56:108" ht="18" customHeight="1" x14ac:dyDescent="0.3">
      <c r="BD18" s="130"/>
      <c r="BE18" s="134"/>
      <c r="BF18" s="134"/>
      <c r="BG18" s="134"/>
      <c r="BH18" s="134"/>
      <c r="BI18" s="134"/>
      <c r="BJ18" s="134"/>
      <c r="BL18" s="154">
        <v>0.05</v>
      </c>
      <c r="CN18" s="197"/>
      <c r="CT18" s="199"/>
      <c r="CU18" s="138">
        <v>5</v>
      </c>
      <c r="CV18" s="138" cm="1">
        <f t="array" ref="CV18">IFERROR(
_xlfn.IFS(
($CU$12)=1,
SUM(_xlfn._xlws.FILTER(Table_Datafeed[Sản lượng],
(Table_Datafeed[Kỳ]&gt;=Pivot!$E$2)*
(Table_Datafeed[Kỳ]&lt;=Pivot!$E$3)*
(Table_Datafeed[Tháng] = $CU18))),
($CU$12)=2,
SUM(_xlfn._xlws.FILTER(Table_Datafeed[Doanh thu],
(Table_Datafeed[Kỳ]&gt;=Pivot!$E$2)*
(Table_Datafeed[Kỳ]&lt;=Pivot!$E$3)*
(Table_Datafeed[Tháng] = $CU18))),
($CU$12)=3,
SUM(_xlfn._xlws.FILTER(Table_Datafeed[Lợi nhuận kinh doanh],
(Table_Datafeed[Kỳ]&gt;=Pivot!$E$2)*
(Table_Datafeed[Kỳ]&lt;=Pivot!$E$3)*
(Table_Datafeed[Tháng] =$CU18))),
($CU$12)=4,
SUM(_xlfn._xlws.FILTER(Table_Datafeed[Dòng tiền vận hành],
(Table_Datafeed[Kỳ]&gt;=Pivot!$E$2)*
(Table_Datafeed[Kỳ]&lt;=Pivot!$E$3)*
(Table_Datafeed[Tháng] = $CU18)))
),0)</f>
        <v>0</v>
      </c>
      <c r="CW18" s="138" cm="1">
        <f t="array" ref="CW18" xml:space="preserve">
IFERROR(
_xlfn.IFS(
AND($CU$12=1, $CY18&gt;=$BL$18),$CV18,
AND($CU$12=2, $CY18&gt;=0),$CV18,
AND($CU$12=3, $CY18&gt;=$BL$24),$CV18,
AND($CU$12=4, $CY18&gt;=$BL$27),$CV18
),"")</f>
        <v>0</v>
      </c>
      <c r="CX18" s="138" t="str">
        <f>IFERROR(TEXT($CW18,LOOKUP($CW18,Pivot!$B$6:$B$12,Pivot!$C$6:$C$12)),"")</f>
        <v/>
      </c>
      <c r="CY18" s="138" t="str" cm="1">
        <f t="array" ref="CY18">IFERROR(
_xlfn.IFS(
$CU$12=1,
AVERAGE(_xlfn._xlws.FILTER(Table_Datafeed[Tỷ lệ hòa vốn],
(Table_Datafeed[Kỳ] &gt;= Pivot!$E$2)*
(Table_Datafeed[Kỳ] &lt;= Pivot!$E$3)*
(Table_Datafeed[Tháng] = $CU18))),
$CU$12=2, $CV18/$BL$21-1,
$CU$12=3,
AVERAGE(_xlfn._xlws.FILTER(Table_Datafeed[Hiệu quả lợi nhuận],
(Table_Datafeed[Kỳ] &gt;= Pivot!$E$2)*
(Table_Datafeed[Kỳ] &lt;= Pivot!$E$3)*
(Table_Datafeed[Tháng] = $CU18))),
$CU$12=4,
AVERAGE(_xlfn._xlws.FILTER(Table_Datafeed[Hiệu quả dòng tiền kinh doanh],
(Table_Datafeed[Kỳ] &gt;= Pivot!$E$2)*
(Table_Datafeed[Kỳ] &lt;= Pivot!$E$3)*
(Table_Datafeed[Tháng] = $CU18)))
),"")</f>
        <v/>
      </c>
      <c r="CZ18" s="144"/>
    </row>
    <row r="19" spans="56:108" ht="18" customHeight="1" x14ac:dyDescent="0.3">
      <c r="BD19" s="130"/>
      <c r="BE19" s="134"/>
      <c r="BF19" s="134"/>
      <c r="BG19" s="134"/>
      <c r="BH19" s="134"/>
      <c r="BI19" s="134"/>
      <c r="BJ19" s="134"/>
      <c r="BL19" s="200"/>
      <c r="CN19" s="197"/>
      <c r="CT19" s="199"/>
      <c r="CU19" s="138">
        <v>6</v>
      </c>
      <c r="CV19" s="138" cm="1">
        <f t="array" ref="CV19">IFERROR(
_xlfn.IFS(
($CU$12)=1,
SUM(_xlfn._xlws.FILTER(Table_Datafeed[Sản lượng],
(Table_Datafeed[Kỳ]&gt;=Pivot!$E$2)*
(Table_Datafeed[Kỳ]&lt;=Pivot!$E$3)*
(Table_Datafeed[Tháng] = $CU19))),
($CU$12)=2,
SUM(_xlfn._xlws.FILTER(Table_Datafeed[Doanh thu],
(Table_Datafeed[Kỳ]&gt;=Pivot!$E$2)*
(Table_Datafeed[Kỳ]&lt;=Pivot!$E$3)*
(Table_Datafeed[Tháng] = $CU19))),
($CU$12)=3,
SUM(_xlfn._xlws.FILTER(Table_Datafeed[Lợi nhuận kinh doanh],
(Table_Datafeed[Kỳ]&gt;=Pivot!$E$2)*
(Table_Datafeed[Kỳ]&lt;=Pivot!$E$3)*
(Table_Datafeed[Tháng] =$CU19))),
($CU$12)=4,
SUM(_xlfn._xlws.FILTER(Table_Datafeed[Dòng tiền vận hành],
(Table_Datafeed[Kỳ]&gt;=Pivot!$E$2)*
(Table_Datafeed[Kỳ]&lt;=Pivot!$E$3)*
(Table_Datafeed[Tháng] = $CU19)))
),0)</f>
        <v>0</v>
      </c>
      <c r="CW19" s="138" cm="1">
        <f t="array" ref="CW19" xml:space="preserve">
IFERROR(
_xlfn.IFS(
AND($CU$12=1, $CY19&gt;=$BL$18),$CV19,
AND($CU$12=2, $CY19&gt;=0),$CV19,
AND($CU$12=3, $CY19&gt;=$BL$24),$CV19,
AND($CU$12=4, $CY19&gt;=$BL$27),$CV19
),"")</f>
        <v>0</v>
      </c>
      <c r="CX19" s="138" t="str">
        <f>IFERROR(TEXT($CW19,LOOKUP($CW19,Pivot!$B$6:$B$12,Pivot!$C$6:$C$12)),"")</f>
        <v/>
      </c>
      <c r="CY19" s="138" t="str" cm="1">
        <f t="array" ref="CY19">IFERROR(
_xlfn.IFS(
$CU$12=1,
AVERAGE(_xlfn._xlws.FILTER(Table_Datafeed[Tỷ lệ hòa vốn],
(Table_Datafeed[Kỳ] &gt;= Pivot!$E$2)*
(Table_Datafeed[Kỳ] &lt;= Pivot!$E$3)*
(Table_Datafeed[Tháng] = $CU19))),
$CU$12=2, $CV19/$BL$21-1,
$CU$12=3,
AVERAGE(_xlfn._xlws.FILTER(Table_Datafeed[Hiệu quả lợi nhuận],
(Table_Datafeed[Kỳ] &gt;= Pivot!$E$2)*
(Table_Datafeed[Kỳ] &lt;= Pivot!$E$3)*
(Table_Datafeed[Tháng] = $CU19))),
$CU$12=4,
AVERAGE(_xlfn._xlws.FILTER(Table_Datafeed[Hiệu quả dòng tiền kinh doanh],
(Table_Datafeed[Kỳ] &gt;= Pivot!$E$2)*
(Table_Datafeed[Kỳ] &lt;= Pivot!$E$3)*
(Table_Datafeed[Tháng] = $CU19)))
),"")</f>
        <v/>
      </c>
      <c r="CZ19" s="144"/>
    </row>
    <row r="20" spans="56:108" ht="18" customHeight="1" x14ac:dyDescent="0.3">
      <c r="BD20" s="130"/>
      <c r="BE20" s="134"/>
      <c r="BF20" s="134"/>
      <c r="BG20" s="134"/>
      <c r="BH20" s="134"/>
      <c r="BI20" s="134"/>
      <c r="BJ20" s="134"/>
      <c r="BL20" s="153" t="s">
        <v>33</v>
      </c>
      <c r="CN20" s="197"/>
      <c r="CT20" s="199"/>
      <c r="CU20" s="138">
        <v>7</v>
      </c>
      <c r="CV20" s="138" cm="1">
        <f t="array" ref="CV20">IFERROR(
_xlfn.IFS(
($CU$12)=1,
SUM(_xlfn._xlws.FILTER(Table_Datafeed[Sản lượng],
(Table_Datafeed[Kỳ]&gt;=Pivot!$E$2)*
(Table_Datafeed[Kỳ]&lt;=Pivot!$E$3)*
(Table_Datafeed[Tháng] = $CU20))),
($CU$12)=2,
SUM(_xlfn._xlws.FILTER(Table_Datafeed[Doanh thu],
(Table_Datafeed[Kỳ]&gt;=Pivot!$E$2)*
(Table_Datafeed[Kỳ]&lt;=Pivot!$E$3)*
(Table_Datafeed[Tháng] = $CU20))),
($CU$12)=3,
SUM(_xlfn._xlws.FILTER(Table_Datafeed[Lợi nhuận kinh doanh],
(Table_Datafeed[Kỳ]&gt;=Pivot!$E$2)*
(Table_Datafeed[Kỳ]&lt;=Pivot!$E$3)*
(Table_Datafeed[Tháng] =$CU20))),
($CU$12)=4,
SUM(_xlfn._xlws.FILTER(Table_Datafeed[Dòng tiền vận hành],
(Table_Datafeed[Kỳ]&gt;=Pivot!$E$2)*
(Table_Datafeed[Kỳ]&lt;=Pivot!$E$3)*
(Table_Datafeed[Tháng] = $CU20)))
),0)</f>
        <v>0</v>
      </c>
      <c r="CW20" s="138" cm="1">
        <f t="array" ref="CW20" xml:space="preserve">
IFERROR(
_xlfn.IFS(
AND($CU$12=1, $CY20&gt;=$BL$18),$CV20,
AND($CU$12=2, $CY20&gt;=0),$CV20,
AND($CU$12=3, $CY20&gt;=$BL$24),$CV20,
AND($CU$12=4, $CY20&gt;=$BL$27),$CV20
),"")</f>
        <v>0</v>
      </c>
      <c r="CX20" s="138" t="str">
        <f>IFERROR(TEXT($CW20,LOOKUP($CW20,Pivot!$B$6:$B$12,Pivot!$C$6:$C$12)),"")</f>
        <v/>
      </c>
      <c r="CY20" s="138" t="str" cm="1">
        <f t="array" ref="CY20">IFERROR(
_xlfn.IFS(
$CU$12=1,
AVERAGE(_xlfn._xlws.FILTER(Table_Datafeed[Tỷ lệ hòa vốn],
(Table_Datafeed[Kỳ] &gt;= Pivot!$E$2)*
(Table_Datafeed[Kỳ] &lt;= Pivot!$E$3)*
(Table_Datafeed[Tháng] = $CU20))),
$CU$12=2, $CV20/$BL$21-1,
$CU$12=3,
AVERAGE(_xlfn._xlws.FILTER(Table_Datafeed[Hiệu quả lợi nhuận],
(Table_Datafeed[Kỳ] &gt;= Pivot!$E$2)*
(Table_Datafeed[Kỳ] &lt;= Pivot!$E$3)*
(Table_Datafeed[Tháng] = $CU20))),
$CU$12=4,
AVERAGE(_xlfn._xlws.FILTER(Table_Datafeed[Hiệu quả dòng tiền kinh doanh],
(Table_Datafeed[Kỳ] &gt;= Pivot!$E$2)*
(Table_Datafeed[Kỳ] &lt;= Pivot!$E$3)*
(Table_Datafeed[Tháng] = $CU20)))
),"")</f>
        <v/>
      </c>
      <c r="CZ20" s="144"/>
      <c r="DC20" s="144"/>
      <c r="DD20" s="144"/>
    </row>
    <row r="21" spans="56:108" ht="18" customHeight="1" x14ac:dyDescent="0.3">
      <c r="BD21" s="130"/>
      <c r="BE21" s="134"/>
      <c r="BF21" s="134"/>
      <c r="BG21" s="134"/>
      <c r="BH21" s="134"/>
      <c r="BI21" s="134"/>
      <c r="BJ21" s="134"/>
      <c r="BL21" s="202">
        <v>400000000</v>
      </c>
      <c r="CN21" s="197"/>
      <c r="CT21" s="199"/>
      <c r="CU21" s="138">
        <v>8</v>
      </c>
      <c r="CV21" s="138" cm="1">
        <f t="array" ref="CV21">IFERROR(
_xlfn.IFS(
($CU$12)=1,
SUM(_xlfn._xlws.FILTER(Table_Datafeed[Sản lượng],
(Table_Datafeed[Kỳ]&gt;=Pivot!$E$2)*
(Table_Datafeed[Kỳ]&lt;=Pivot!$E$3)*
(Table_Datafeed[Tháng] = $CU21))),
($CU$12)=2,
SUM(_xlfn._xlws.FILTER(Table_Datafeed[Doanh thu],
(Table_Datafeed[Kỳ]&gt;=Pivot!$E$2)*
(Table_Datafeed[Kỳ]&lt;=Pivot!$E$3)*
(Table_Datafeed[Tháng] = $CU21))),
($CU$12)=3,
SUM(_xlfn._xlws.FILTER(Table_Datafeed[Lợi nhuận kinh doanh],
(Table_Datafeed[Kỳ]&gt;=Pivot!$E$2)*
(Table_Datafeed[Kỳ]&lt;=Pivot!$E$3)*
(Table_Datafeed[Tháng] =$CU21))),
($CU$12)=4,
SUM(_xlfn._xlws.FILTER(Table_Datafeed[Dòng tiền vận hành],
(Table_Datafeed[Kỳ]&gt;=Pivot!$E$2)*
(Table_Datafeed[Kỳ]&lt;=Pivot!$E$3)*
(Table_Datafeed[Tháng] = $CU21)))
),0)</f>
        <v>0</v>
      </c>
      <c r="CW21" s="138" cm="1">
        <f t="array" ref="CW21" xml:space="preserve">
IFERROR(
_xlfn.IFS(
AND($CU$12=1, $CY21&gt;=$BL$18),$CV21,
AND($CU$12=2, $CY21&gt;=0),$CV21,
AND($CU$12=3, $CY21&gt;=$BL$24),$CV21,
AND($CU$12=4, $CY21&gt;=$BL$27),$CV21
),"")</f>
        <v>0</v>
      </c>
      <c r="CX21" s="138" t="str">
        <f>IFERROR(TEXT($CW21,LOOKUP($CW21,Pivot!$B$6:$B$12,Pivot!$C$6:$C$12)),"")</f>
        <v/>
      </c>
      <c r="CY21" s="138" t="str" cm="1">
        <f t="array" ref="CY21">IFERROR(
_xlfn.IFS(
$CU$12=1,
AVERAGE(_xlfn._xlws.FILTER(Table_Datafeed[Tỷ lệ hòa vốn],
(Table_Datafeed[Kỳ] &gt;= Pivot!$E$2)*
(Table_Datafeed[Kỳ] &lt;= Pivot!$E$3)*
(Table_Datafeed[Tháng] = $CU21))),
$CU$12=2, $CV21/$BL$21-1,
$CU$12=3,
AVERAGE(_xlfn._xlws.FILTER(Table_Datafeed[Hiệu quả lợi nhuận],
(Table_Datafeed[Kỳ] &gt;= Pivot!$E$2)*
(Table_Datafeed[Kỳ] &lt;= Pivot!$E$3)*
(Table_Datafeed[Tháng] = $CU21))),
$CU$12=4,
AVERAGE(_xlfn._xlws.FILTER(Table_Datafeed[Hiệu quả dòng tiền kinh doanh],
(Table_Datafeed[Kỳ] &gt;= Pivot!$E$2)*
(Table_Datafeed[Kỳ] &lt;= Pivot!$E$3)*
(Table_Datafeed[Tháng] = $CU21)))
),"")</f>
        <v/>
      </c>
      <c r="CZ21" s="144"/>
      <c r="DC21" s="144"/>
      <c r="DD21" s="144"/>
    </row>
    <row r="22" spans="56:108" ht="18" customHeight="1" x14ac:dyDescent="0.3">
      <c r="BD22" s="130"/>
      <c r="BE22" s="134"/>
      <c r="BF22" s="134"/>
      <c r="BG22" s="134"/>
      <c r="BH22" s="134"/>
      <c r="BI22" s="134"/>
      <c r="BJ22" s="134"/>
      <c r="BL22" s="200"/>
      <c r="CN22" s="197"/>
      <c r="CT22" s="199"/>
      <c r="CU22" s="138">
        <v>9</v>
      </c>
      <c r="CV22" s="138" cm="1">
        <f t="array" ref="CV22">IFERROR(
_xlfn.IFS(
($CU$12)=1,
SUM(_xlfn._xlws.FILTER(Table_Datafeed[Sản lượng],
(Table_Datafeed[Kỳ]&gt;=Pivot!$E$2)*
(Table_Datafeed[Kỳ]&lt;=Pivot!$E$3)*
(Table_Datafeed[Tháng] = $CU22))),
($CU$12)=2,
SUM(_xlfn._xlws.FILTER(Table_Datafeed[Doanh thu],
(Table_Datafeed[Kỳ]&gt;=Pivot!$E$2)*
(Table_Datafeed[Kỳ]&lt;=Pivot!$E$3)*
(Table_Datafeed[Tháng] = $CU22))),
($CU$12)=3,
SUM(_xlfn._xlws.FILTER(Table_Datafeed[Lợi nhuận kinh doanh],
(Table_Datafeed[Kỳ]&gt;=Pivot!$E$2)*
(Table_Datafeed[Kỳ]&lt;=Pivot!$E$3)*
(Table_Datafeed[Tháng] =$CU22))),
($CU$12)=4,
SUM(_xlfn._xlws.FILTER(Table_Datafeed[Dòng tiền vận hành],
(Table_Datafeed[Kỳ]&gt;=Pivot!$E$2)*
(Table_Datafeed[Kỳ]&lt;=Pivot!$E$3)*
(Table_Datafeed[Tháng] = $CU22)))
),0)</f>
        <v>0</v>
      </c>
      <c r="CW22" s="138" cm="1">
        <f t="array" ref="CW22" xml:space="preserve">
IFERROR(
_xlfn.IFS(
AND($CU$12=1, $CY22&gt;=$BL$18),$CV22,
AND($CU$12=2, $CY22&gt;=0),$CV22,
AND($CU$12=3, $CY22&gt;=$BL$24),$CV22,
AND($CU$12=4, $CY22&gt;=$BL$27),$CV22
),"")</f>
        <v>0</v>
      </c>
      <c r="CX22" s="138" t="str">
        <f>IFERROR(TEXT($CW22,LOOKUP($CW22,Pivot!$B$6:$B$12,Pivot!$C$6:$C$12)),"")</f>
        <v/>
      </c>
      <c r="CY22" s="138" t="str" cm="1">
        <f t="array" ref="CY22">IFERROR(
_xlfn.IFS(
$CU$12=1,
AVERAGE(_xlfn._xlws.FILTER(Table_Datafeed[Tỷ lệ hòa vốn],
(Table_Datafeed[Kỳ] &gt;= Pivot!$E$2)*
(Table_Datafeed[Kỳ] &lt;= Pivot!$E$3)*
(Table_Datafeed[Tháng] = $CU22))),
$CU$12=2, $CV22/$BL$21-1,
$CU$12=3,
AVERAGE(_xlfn._xlws.FILTER(Table_Datafeed[Hiệu quả lợi nhuận],
(Table_Datafeed[Kỳ] &gt;= Pivot!$E$2)*
(Table_Datafeed[Kỳ] &lt;= Pivot!$E$3)*
(Table_Datafeed[Tháng] = $CU22))),
$CU$12=4,
AVERAGE(_xlfn._xlws.FILTER(Table_Datafeed[Hiệu quả dòng tiền kinh doanh],
(Table_Datafeed[Kỳ] &gt;= Pivot!$E$2)*
(Table_Datafeed[Kỳ] &lt;= Pivot!$E$3)*
(Table_Datafeed[Tháng] = $CU22)))
),"")</f>
        <v/>
      </c>
      <c r="CZ22" s="144"/>
    </row>
    <row r="23" spans="56:108" ht="18" customHeight="1" x14ac:dyDescent="0.3">
      <c r="BD23" s="130"/>
      <c r="BE23" s="134"/>
      <c r="BF23" s="134"/>
      <c r="BG23" s="134"/>
      <c r="BH23" s="134"/>
      <c r="BI23" s="134"/>
      <c r="BJ23" s="134"/>
      <c r="BL23" s="153" t="s">
        <v>97</v>
      </c>
      <c r="CN23" s="197"/>
      <c r="CT23" s="199"/>
      <c r="CU23" s="138">
        <v>10</v>
      </c>
      <c r="CV23" s="138" cm="1">
        <f t="array" ref="CV23">IFERROR(
_xlfn.IFS(
($CU$12)=1,
SUM(_xlfn._xlws.FILTER(Table_Datafeed[Sản lượng],
(Table_Datafeed[Kỳ]&gt;=Pivot!$E$2)*
(Table_Datafeed[Kỳ]&lt;=Pivot!$E$3)*
(Table_Datafeed[Tháng] = $CU23))),
($CU$12)=2,
SUM(_xlfn._xlws.FILTER(Table_Datafeed[Doanh thu],
(Table_Datafeed[Kỳ]&gt;=Pivot!$E$2)*
(Table_Datafeed[Kỳ]&lt;=Pivot!$E$3)*
(Table_Datafeed[Tháng] = $CU23))),
($CU$12)=3,
SUM(_xlfn._xlws.FILTER(Table_Datafeed[Lợi nhuận kinh doanh],
(Table_Datafeed[Kỳ]&gt;=Pivot!$E$2)*
(Table_Datafeed[Kỳ]&lt;=Pivot!$E$3)*
(Table_Datafeed[Tháng] =$CU23))),
($CU$12)=4,
SUM(_xlfn._xlws.FILTER(Table_Datafeed[Dòng tiền vận hành],
(Table_Datafeed[Kỳ]&gt;=Pivot!$E$2)*
(Table_Datafeed[Kỳ]&lt;=Pivot!$E$3)*
(Table_Datafeed[Tháng] = $CU23)))
),0)</f>
        <v>0</v>
      </c>
      <c r="CW23" s="138" cm="1">
        <f t="array" ref="CW23" xml:space="preserve">
IFERROR(
_xlfn.IFS(
AND($CU$12=1, $CY23&gt;=$BL$18),$CV23,
AND($CU$12=2, $CY23&gt;=0),$CV23,
AND($CU$12=3, $CY23&gt;=$BL$24),$CV23,
AND($CU$12=4, $CY23&gt;=$BL$27),$CV23
),"")</f>
        <v>0</v>
      </c>
      <c r="CX23" s="138" t="str">
        <f>IFERROR(TEXT($CW23,LOOKUP($CW23,Pivot!$B$6:$B$12,Pivot!$C$6:$C$12)),"")</f>
        <v/>
      </c>
      <c r="CY23" s="138" t="str" cm="1">
        <f t="array" ref="CY23">IFERROR(
_xlfn.IFS(
$CU$12=1,
AVERAGE(_xlfn._xlws.FILTER(Table_Datafeed[Tỷ lệ hòa vốn],
(Table_Datafeed[Kỳ] &gt;= Pivot!$E$2)*
(Table_Datafeed[Kỳ] &lt;= Pivot!$E$3)*
(Table_Datafeed[Tháng] = $CU23))),
$CU$12=2, $CV23/$BL$21-1,
$CU$12=3,
AVERAGE(_xlfn._xlws.FILTER(Table_Datafeed[Hiệu quả lợi nhuận],
(Table_Datafeed[Kỳ] &gt;= Pivot!$E$2)*
(Table_Datafeed[Kỳ] &lt;= Pivot!$E$3)*
(Table_Datafeed[Tháng] = $CU23))),
$CU$12=4,
AVERAGE(_xlfn._xlws.FILTER(Table_Datafeed[Hiệu quả dòng tiền kinh doanh],
(Table_Datafeed[Kỳ] &gt;= Pivot!$E$2)*
(Table_Datafeed[Kỳ] &lt;= Pivot!$E$3)*
(Table_Datafeed[Tháng] = $CU23)))
),"")</f>
        <v/>
      </c>
      <c r="CZ23" s="144"/>
      <c r="DC23" s="144"/>
      <c r="DD23" s="144"/>
    </row>
    <row r="24" spans="56:108" ht="18" customHeight="1" x14ac:dyDescent="0.3">
      <c r="BD24" s="130"/>
      <c r="BE24" s="134"/>
      <c r="BF24" s="134"/>
      <c r="BG24" s="134"/>
      <c r="BH24" s="134"/>
      <c r="BI24" s="134"/>
      <c r="BJ24" s="134"/>
      <c r="BL24" s="155">
        <v>5.0000000000000001E-3</v>
      </c>
      <c r="BQ24" s="134"/>
      <c r="BR24" s="134"/>
      <c r="BS24" s="134"/>
      <c r="BT24" s="134"/>
      <c r="BU24" s="134"/>
      <c r="BV24" s="134"/>
      <c r="BW24" s="134"/>
      <c r="CN24" s="197"/>
      <c r="CT24" s="199"/>
      <c r="CU24" s="138">
        <v>11</v>
      </c>
      <c r="CV24" s="138" cm="1">
        <f t="array" ref="CV24">IFERROR(
_xlfn.IFS(
($CU$12)=1,
SUM(_xlfn._xlws.FILTER(Table_Datafeed[Sản lượng],
(Table_Datafeed[Kỳ]&gt;=Pivot!$E$2)*
(Table_Datafeed[Kỳ]&lt;=Pivot!$E$3)*
(Table_Datafeed[Tháng] = $CU24))),
($CU$12)=2,
SUM(_xlfn._xlws.FILTER(Table_Datafeed[Doanh thu],
(Table_Datafeed[Kỳ]&gt;=Pivot!$E$2)*
(Table_Datafeed[Kỳ]&lt;=Pivot!$E$3)*
(Table_Datafeed[Tháng] = $CU24))),
($CU$12)=3,
SUM(_xlfn._xlws.FILTER(Table_Datafeed[Lợi nhuận kinh doanh],
(Table_Datafeed[Kỳ]&gt;=Pivot!$E$2)*
(Table_Datafeed[Kỳ]&lt;=Pivot!$E$3)*
(Table_Datafeed[Tháng] =$CU24))),
($CU$12)=4,
SUM(_xlfn._xlws.FILTER(Table_Datafeed[Dòng tiền vận hành],
(Table_Datafeed[Kỳ]&gt;=Pivot!$E$2)*
(Table_Datafeed[Kỳ]&lt;=Pivot!$E$3)*
(Table_Datafeed[Tháng] = $CU24)))
),0)</f>
        <v>0</v>
      </c>
      <c r="CW24" s="138" cm="1">
        <f t="array" ref="CW24" xml:space="preserve">
IFERROR(
_xlfn.IFS(
AND($CU$12=1, $CY24&gt;=$BL$18),$CV24,
AND($CU$12=2, $CY24&gt;=0),$CV24,
AND($CU$12=3, $CY24&gt;=$BL$24),$CV24,
AND($CU$12=4, $CY24&gt;=$BL$27),$CV24
),"")</f>
        <v>0</v>
      </c>
      <c r="CX24" s="138" t="str">
        <f>IFERROR(TEXT($CW24,LOOKUP($CW24,Pivot!$B$6:$B$12,Pivot!$C$6:$C$12)),"")</f>
        <v/>
      </c>
      <c r="CY24" s="138" t="str" cm="1">
        <f t="array" ref="CY24">IFERROR(
_xlfn.IFS(
$CU$12=1,
AVERAGE(_xlfn._xlws.FILTER(Table_Datafeed[Tỷ lệ hòa vốn],
(Table_Datafeed[Kỳ] &gt;= Pivot!$E$2)*
(Table_Datafeed[Kỳ] &lt;= Pivot!$E$3)*
(Table_Datafeed[Tháng] = $CU24))),
$CU$12=2, $CV24/$BL$21-1,
$CU$12=3,
AVERAGE(_xlfn._xlws.FILTER(Table_Datafeed[Hiệu quả lợi nhuận],
(Table_Datafeed[Kỳ] &gt;= Pivot!$E$2)*
(Table_Datafeed[Kỳ] &lt;= Pivot!$E$3)*
(Table_Datafeed[Tháng] = $CU24))),
$CU$12=4,
AVERAGE(_xlfn._xlws.FILTER(Table_Datafeed[Hiệu quả dòng tiền kinh doanh],
(Table_Datafeed[Kỳ] &gt;= Pivot!$E$2)*
(Table_Datafeed[Kỳ] &lt;= Pivot!$E$3)*
(Table_Datafeed[Tháng] = $CU24)))
),"")</f>
        <v/>
      </c>
      <c r="CZ24" s="144"/>
      <c r="DC24" s="144"/>
      <c r="DD24" s="144"/>
    </row>
    <row r="25" spans="56:108" ht="18" customHeight="1" x14ac:dyDescent="0.3">
      <c r="BD25" s="130"/>
      <c r="BE25" s="134"/>
      <c r="BF25" s="134"/>
      <c r="BG25" s="134"/>
      <c r="BH25" s="134"/>
      <c r="BI25" s="134"/>
      <c r="BJ25" s="134"/>
      <c r="BL25" s="200"/>
      <c r="BQ25" s="134"/>
      <c r="BR25" s="134"/>
      <c r="BS25" s="134"/>
      <c r="BT25" s="134"/>
      <c r="BU25" s="134"/>
      <c r="BV25" s="134"/>
      <c r="BW25" s="134"/>
      <c r="CN25" s="197"/>
      <c r="CT25" s="199"/>
      <c r="CU25" s="138">
        <v>12</v>
      </c>
      <c r="CV25" s="138" cm="1">
        <f t="array" ref="CV25">IFERROR(
_xlfn.IFS(
($CU$12)=1,
SUM(_xlfn._xlws.FILTER(Table_Datafeed[Sản lượng],
(Table_Datafeed[Kỳ]&gt;=Pivot!$E$2)*
(Table_Datafeed[Kỳ]&lt;=Pivot!$E$3)*
(Table_Datafeed[Tháng] = $CU25))),
($CU$12)=2,
SUM(_xlfn._xlws.FILTER(Table_Datafeed[Doanh thu],
(Table_Datafeed[Kỳ]&gt;=Pivot!$E$2)*
(Table_Datafeed[Kỳ]&lt;=Pivot!$E$3)*
(Table_Datafeed[Tháng] = $CU25))),
($CU$12)=3,
SUM(_xlfn._xlws.FILTER(Table_Datafeed[Lợi nhuận kinh doanh],
(Table_Datafeed[Kỳ]&gt;=Pivot!$E$2)*
(Table_Datafeed[Kỳ]&lt;=Pivot!$E$3)*
(Table_Datafeed[Tháng] =$CU25))),
($CU$12)=4,
SUM(_xlfn._xlws.FILTER(Table_Datafeed[Dòng tiền vận hành],
(Table_Datafeed[Kỳ]&gt;=Pivot!$E$2)*
(Table_Datafeed[Kỳ]&lt;=Pivot!$E$3)*
(Table_Datafeed[Tháng] = $CU25)))
),0)</f>
        <v>0</v>
      </c>
      <c r="CW25" s="138" cm="1">
        <f t="array" ref="CW25" xml:space="preserve">
IFERROR(
_xlfn.IFS(
AND($CU$12=1, $CY25&gt;=$BL$18),$CV25,
AND($CU$12=2, $CY25&gt;=0),$CV25,
AND($CU$12=3, $CY25&gt;=$BL$24),$CV25,
AND($CU$12=4, $CY25&gt;=$BL$27),$CV25
),"")</f>
        <v>0</v>
      </c>
      <c r="CX25" s="138" t="str">
        <f>IFERROR(TEXT($CW25,LOOKUP($CW25,Pivot!$B$6:$B$12,Pivot!$C$6:$C$12)),"")</f>
        <v/>
      </c>
      <c r="CY25" s="138" t="str" cm="1">
        <f t="array" ref="CY25">IFERROR(
_xlfn.IFS(
$CU$12=1,
AVERAGE(_xlfn._xlws.FILTER(Table_Datafeed[Tỷ lệ hòa vốn],
(Table_Datafeed[Kỳ] &gt;= Pivot!$E$2)*
(Table_Datafeed[Kỳ] &lt;= Pivot!$E$3)*
(Table_Datafeed[Tháng] = $CU25))),
$CU$12=2, $CV25/$BL$21-1,
$CU$12=3,
AVERAGE(_xlfn._xlws.FILTER(Table_Datafeed[Hiệu quả lợi nhuận],
(Table_Datafeed[Kỳ] &gt;= Pivot!$E$2)*
(Table_Datafeed[Kỳ] &lt;= Pivot!$E$3)*
(Table_Datafeed[Tháng] = $CU25))),
$CU$12=4,
AVERAGE(_xlfn._xlws.FILTER(Table_Datafeed[Hiệu quả dòng tiền kinh doanh],
(Table_Datafeed[Kỳ] &gt;= Pivot!$E$2)*
(Table_Datafeed[Kỳ] &lt;= Pivot!$E$3)*
(Table_Datafeed[Tháng] = $CU25)))
),"")</f>
        <v/>
      </c>
      <c r="CZ25" s="144"/>
    </row>
    <row r="26" spans="56:108" ht="18" customHeight="1" x14ac:dyDescent="0.3">
      <c r="BD26" s="130"/>
      <c r="BE26" s="134"/>
      <c r="BF26" s="134"/>
      <c r="BG26" s="134"/>
      <c r="BH26" s="134"/>
      <c r="BI26" s="134"/>
      <c r="BJ26" s="134"/>
      <c r="BL26" s="153" t="s">
        <v>128</v>
      </c>
      <c r="CN26" s="197"/>
      <c r="CT26" s="199"/>
      <c r="CU26" s="142" t="s">
        <v>124</v>
      </c>
    </row>
    <row r="27" spans="56:108" ht="18" customHeight="1" x14ac:dyDescent="0.3">
      <c r="BD27" s="130"/>
      <c r="BE27" s="134"/>
      <c r="BF27" s="134"/>
      <c r="BG27" s="134"/>
      <c r="BH27" s="134"/>
      <c r="BI27" s="134"/>
      <c r="BJ27" s="134"/>
      <c r="BL27" s="154">
        <v>0.04</v>
      </c>
      <c r="CN27" s="197"/>
      <c r="CT27" s="199"/>
      <c r="CU27" s="138" t="s">
        <v>129</v>
      </c>
      <c r="CV27" s="138" t="s">
        <v>21</v>
      </c>
      <c r="CW27" s="138" t="s">
        <v>130</v>
      </c>
    </row>
    <row r="28" spans="56:108" ht="18" customHeight="1" x14ac:dyDescent="0.3">
      <c r="BD28" s="130"/>
      <c r="BE28" s="134"/>
      <c r="BF28" s="134"/>
      <c r="BG28" s="134"/>
      <c r="BH28" s="134"/>
      <c r="BI28" s="134"/>
      <c r="BJ28" s="134"/>
      <c r="CN28" s="197"/>
      <c r="CT28" s="199"/>
      <c r="CU28" s="138" t="s">
        <v>131</v>
      </c>
      <c r="CV28" s="138">
        <f>SUM(CV34:CV41)</f>
        <v>0</v>
      </c>
      <c r="CW28" s="138" t="str">
        <f>IFERROR(TEXT(CV28,LOOKUP(CV28,Pivot!$B$6:$B$12,Pivot!$C$6:$C$12)),"")</f>
        <v/>
      </c>
    </row>
    <row r="29" spans="56:108" ht="18" customHeight="1" x14ac:dyDescent="0.3">
      <c r="BD29" s="130"/>
      <c r="BE29" s="134"/>
      <c r="BF29" s="134"/>
      <c r="BG29" s="134"/>
      <c r="BH29" s="134"/>
      <c r="BI29" s="134"/>
      <c r="BJ29" s="134"/>
      <c r="CN29" s="197"/>
      <c r="CT29" s="199"/>
      <c r="CU29" s="138" t="s">
        <v>132</v>
      </c>
      <c r="CV29" s="138">
        <f>SUM(CV42:CV49)</f>
        <v>0</v>
      </c>
      <c r="CW29" s="138" t="str">
        <f>IFERROR(TEXT(CV29,LOOKUP(CV29,Pivot!$B$6:$B$12,Pivot!$C$6:$C$12)),"")</f>
        <v/>
      </c>
    </row>
    <row r="30" spans="56:108" ht="18" customHeight="1" x14ac:dyDescent="0.3">
      <c r="BD30" s="130"/>
      <c r="CU30" s="142" t="s">
        <v>124</v>
      </c>
    </row>
    <row r="31" spans="56:108" ht="18" customHeight="1" x14ac:dyDescent="0.3">
      <c r="BD31" s="130"/>
      <c r="CU31" s="138" t="b">
        <v>1</v>
      </c>
    </row>
    <row r="32" spans="56:108" ht="18" customHeight="1" x14ac:dyDescent="0.3">
      <c r="BD32" s="130"/>
      <c r="CU32" s="138">
        <v>3</v>
      </c>
      <c r="CW32" s="144" t="e">
        <f>SUM(CW34:CW50)/SUM(CV34:CV50)</f>
        <v>#DIV/0!</v>
      </c>
      <c r="CY32" s="144" t="e">
        <f>SUM(CY34:CY50)/SUM(CX34:CX50)</f>
        <v>#DIV/0!</v>
      </c>
    </row>
    <row r="33" spans="56:106" ht="18" customHeight="1" x14ac:dyDescent="0.3">
      <c r="BD33" s="130"/>
      <c r="CU33" s="138" t="s">
        <v>133</v>
      </c>
      <c r="CV33" s="138" t="s">
        <v>21</v>
      </c>
      <c r="CW33" s="138" t="s">
        <v>134</v>
      </c>
      <c r="CX33" s="138" t="str">
        <f>IF(CU31=FALSE,"tăng", "giảm")</f>
        <v>giảm</v>
      </c>
      <c r="CY33" s="138" t="s">
        <v>135</v>
      </c>
      <c r="CZ33" s="138" t="s">
        <v>136</v>
      </c>
    </row>
    <row r="34" spans="56:106" ht="18" customHeight="1" x14ac:dyDescent="0.3">
      <c r="BD34" s="130"/>
      <c r="CU34" s="138" t="s">
        <v>137</v>
      </c>
      <c r="CV34" s="166" cm="1">
        <f t="array" ref="CV34">-IFERROR(SUM(_xlfn._xlws.FILTER(#REF!,
(Table_Datafeed[Kỳ]&gt;=Pivot!$E$2)*
(Table_Datafeed[Kỳ]&lt;=Pivot!$E$3)
)),0)</f>
        <v>0</v>
      </c>
      <c r="CW34" s="166">
        <f t="shared" ref="CW34:CW50" si="0">IF(_xlfn.RANK.EQ(CV34,$CV$34:$CV$50,0)&lt;=$CU$32,CV34,0)</f>
        <v>0</v>
      </c>
      <c r="CX34" s="138" cm="1">
        <f t="array" ref="CX34" xml:space="preserve">
IF($CU$31=FALSE,
MAX(0,
CV34+IFERROR(SUM(_xlfn._xlws.FILTER(#REF!,
(Table_Datafeed[Kỳ]&gt;=DATE(YEAR(Pivot!$E$2)-1, MONTH(Pivot!$E$2),1))*
(Table_Datafeed[Kỳ]&lt;=DATE(YEAR(Pivot!$E$3)-1,MONTH(Pivot!$E$3),1))
)),0)),
MIN(0,
CV34+IFERROR(SUM(_xlfn._xlws.FILTER(#REF!,
(Table_Datafeed[Kỳ]&gt;=DATE(YEAR(Pivot!$E$2)-1, MONTH(Pivot!$E$2),1))*
(Table_Datafeed[Kỳ]&lt;=DATE(YEAR(Pivot!$E$3)-1,MONTH(Pivot!$E$3),1))
)),0)))</f>
        <v>0</v>
      </c>
      <c r="CY34" s="166">
        <f t="shared" ref="CY34:CY50" si="1">IF($CU$31=FALSE,
IF(_xlfn.RANK.EQ(CX34,$CX$34:$CX$50,0)&lt;=$CU$32,CX34,0),
IF(_xlfn.RANK.EQ(CX34,$CX$34:$CX$50,1)&lt;=$CU$32,CX34,0)
)</f>
        <v>0</v>
      </c>
      <c r="CZ34" s="160">
        <f>IFERROR(CV34/(CV34-CX34)-1,0)</f>
        <v>0</v>
      </c>
      <c r="DA34" s="144"/>
      <c r="DB34" s="144"/>
    </row>
    <row r="35" spans="56:106" ht="18" customHeight="1" x14ac:dyDescent="0.3">
      <c r="BD35" s="130"/>
      <c r="CU35" s="138" t="s">
        <v>138</v>
      </c>
      <c r="CV35" s="166" cm="1">
        <f t="array" ref="CV35">-IFERROR(SUM(_xlfn._xlws.FILTER(Table_Datafeed[CP nguyên liệu],
(Table_Datafeed[Kỳ]&gt;=Pivot!$E$2)*
(Table_Datafeed[Kỳ]&lt;=Pivot!$E$3)
)),0)</f>
        <v>0</v>
      </c>
      <c r="CW35" s="166">
        <f t="shared" si="0"/>
        <v>0</v>
      </c>
      <c r="CX35" s="138" cm="1">
        <f t="array" ref="CX35" xml:space="preserve">
IF($CU$31=FALSE,
MAX(0,
CV35+IFERROR(SUM(_xlfn._xlws.FILTER(Table_Datafeed[CP nguyên liệu],
(Table_Datafeed[Kỳ]&gt;=DATE(YEAR(Pivot!$E$2)-1, MONTH(Pivot!$E$2),1))*
(Table_Datafeed[Kỳ]&lt;=DATE(YEAR(Pivot!$E$3)-1,MONTH(Pivot!$E$3),1))
)),0)),
MIN(0,
CV35+IFERROR(SUM(_xlfn._xlws.FILTER(Table_Datafeed[CP nguyên liệu],
(Table_Datafeed[Kỳ]&gt;=DATE(YEAR(Pivot!$E$2)-1, MONTH(Pivot!$E$2),1))*
(Table_Datafeed[Kỳ]&lt;=DATE(YEAR(Pivot!$E$3)-1,MONTH(Pivot!$E$3),1))
)),0)))</f>
        <v>0</v>
      </c>
      <c r="CY35" s="166">
        <f t="shared" si="1"/>
        <v>0</v>
      </c>
      <c r="CZ35" s="160">
        <f t="shared" ref="CZ35:CZ50" si="2">IFERROR(CV35/(CV35-CX35)-1,0)</f>
        <v>0</v>
      </c>
      <c r="DA35" s="144"/>
      <c r="DB35" s="144"/>
    </row>
    <row r="36" spans="56:106" ht="18" customHeight="1" x14ac:dyDescent="0.3">
      <c r="BD36" s="130"/>
      <c r="CU36" s="138" t="s">
        <v>139</v>
      </c>
      <c r="CV36" s="166" cm="1">
        <f t="array" ref="CV36">-IFERROR(SUM(_xlfn._xlws.FILTER(Table_Datafeed[CP tiện ích sản xuất],
(Table_Datafeed[Kỳ]&gt;=Pivot!$E$2)*
(Table_Datafeed[Kỳ]&lt;=Pivot!$E$3)
)),0)</f>
        <v>0</v>
      </c>
      <c r="CW36" s="166">
        <f t="shared" si="0"/>
        <v>0</v>
      </c>
      <c r="CX36" s="138" cm="1">
        <f t="array" ref="CX36" xml:space="preserve">
IF($CU$31=FALSE,
MAX(0,
CV36+IFERROR(SUM(_xlfn._xlws.FILTER(Table_Datafeed[CP tiện ích sản xuất],
(Table_Datafeed[Kỳ]&gt;=DATE(YEAR(Pivot!$E$2)-1, MONTH(Pivot!$E$2),1))*
(Table_Datafeed[Kỳ]&lt;=DATE(YEAR(Pivot!$E$3)-1,MONTH(Pivot!$E$3),1))
)),0)),
MIN(0,
CV36+IFERROR(SUM(_xlfn._xlws.FILTER(Table_Datafeed[CP tiện ích sản xuất],
(Table_Datafeed[Kỳ]&gt;=DATE(YEAR(Pivot!$E$2)-1, MONTH(Pivot!$E$2),1))*
(Table_Datafeed[Kỳ]&lt;=DATE(YEAR(Pivot!$E$3)-1,MONTH(Pivot!$E$3),1))
)),0)))</f>
        <v>0</v>
      </c>
      <c r="CY36" s="166">
        <f t="shared" si="1"/>
        <v>0</v>
      </c>
      <c r="CZ36" s="160">
        <f t="shared" si="2"/>
        <v>0</v>
      </c>
      <c r="DA36" s="144"/>
      <c r="DB36" s="144"/>
    </row>
    <row r="37" spans="56:106" ht="18" customHeight="1" x14ac:dyDescent="0.3">
      <c r="BD37" s="130"/>
      <c r="CU37" s="138" t="s">
        <v>140</v>
      </c>
      <c r="CV37" s="166" cm="1">
        <f t="array" ref="CV37">-IFERROR(SUM(_xlfn._xlws.FILTER(Table_Datafeed[CP hoa hồng],
(Table_Datafeed[Kỳ]&gt;=Pivot!$E$2)*
(Table_Datafeed[Kỳ]&lt;=Pivot!$E$3)
)),0)</f>
        <v>0</v>
      </c>
      <c r="CW37" s="166">
        <f t="shared" si="0"/>
        <v>0</v>
      </c>
      <c r="CX37" s="138" cm="1">
        <f t="array" ref="CX37" xml:space="preserve">
IF($CU$31=FALSE,
MAX(0,
CV37+IFERROR(SUM(_xlfn._xlws.FILTER(Table_Datafeed[CP hoa hồng],
(Table_Datafeed[Kỳ]&gt;=DATE(YEAR(Pivot!$E$2)-1, MONTH(Pivot!$E$2),1))*
(Table_Datafeed[Kỳ]&lt;=DATE(YEAR(Pivot!$E$3)-1,MONTH(Pivot!$E$3),1))
)),0)),
MIN(0,
CV37+IFERROR(SUM(_xlfn._xlws.FILTER(Table_Datafeed[CP hoa hồng],
(Table_Datafeed[Kỳ]&gt;=DATE(YEAR(Pivot!$E$2)-1, MONTH(Pivot!$E$2),1))*
(Table_Datafeed[Kỳ]&lt;=DATE(YEAR(Pivot!$E$3)-1,MONTH(Pivot!$E$3),1))
)),0)))</f>
        <v>0</v>
      </c>
      <c r="CY37" s="166">
        <f t="shared" si="1"/>
        <v>0</v>
      </c>
      <c r="CZ37" s="160">
        <f t="shared" si="2"/>
        <v>0</v>
      </c>
      <c r="DA37" s="144"/>
      <c r="DB37" s="144"/>
    </row>
    <row r="38" spans="56:106" ht="18" customHeight="1" x14ac:dyDescent="0.3">
      <c r="BD38" s="130"/>
      <c r="CU38" s="138" t="s">
        <v>141</v>
      </c>
      <c r="CV38" s="166" cm="1">
        <f t="array" ref="CV38">-IFERROR(SUM(_xlfn._xlws.FILTER(#REF!,
(Table_Datafeed[Kỳ]&gt;=Pivot!$E$2)*
(Table_Datafeed[Kỳ]&lt;=Pivot!$E$3)
)),0)</f>
        <v>0</v>
      </c>
      <c r="CW38" s="166">
        <f t="shared" si="0"/>
        <v>0</v>
      </c>
      <c r="CX38" s="138" cm="1">
        <f t="array" ref="CX38" xml:space="preserve">
IF($CU$31=FALSE,
MAX(0,
CV38+IFERROR(SUM(_xlfn._xlws.FILTER(#REF!,
(Table_Datafeed[Kỳ]&gt;=DATE(YEAR(Pivot!$E$2)-1, MONTH(Pivot!$E$2),1))*
(Table_Datafeed[Kỳ]&lt;=DATE(YEAR(Pivot!$E$3)-1,MONTH(Pivot!$E$3),1))
)),0)),
MIN(0,
CV38+IFERROR(SUM(_xlfn._xlws.FILTER(#REF!,
(Table_Datafeed[Kỳ]&gt;=DATE(YEAR(Pivot!$E$2)-1, MONTH(Pivot!$E$2),1))*
(Table_Datafeed[Kỳ]&lt;=DATE(YEAR(Pivot!$E$3)-1,MONTH(Pivot!$E$3),1))
)),0)))</f>
        <v>0</v>
      </c>
      <c r="CY38" s="166">
        <f t="shared" si="1"/>
        <v>0</v>
      </c>
      <c r="CZ38" s="160">
        <f t="shared" si="2"/>
        <v>0</v>
      </c>
      <c r="DA38" s="144"/>
      <c r="DB38" s="144"/>
    </row>
    <row r="39" spans="56:106" ht="18" customHeight="1" x14ac:dyDescent="0.3">
      <c r="BD39" s="130"/>
      <c r="CU39" s="138" t="s">
        <v>142</v>
      </c>
      <c r="CV39" s="166" cm="1">
        <f t="array" ref="CV39">-IFERROR(SUM(_xlfn._xlws.FILTER(Table_Datafeed[CP thưởng KPI],
(Table_Datafeed[Kỳ]&gt;=Pivot!$E$2)*
(Table_Datafeed[Kỳ]&lt;=Pivot!$E$3)
)),0)</f>
        <v>0</v>
      </c>
      <c r="CW39" s="166">
        <f t="shared" si="0"/>
        <v>0</v>
      </c>
      <c r="CX39" s="138" cm="1">
        <f t="array" ref="CX39" xml:space="preserve">
IF($CU$31=FALSE,
MAX(0,
CV39+IFERROR(SUM(_xlfn._xlws.FILTER(Table_Datafeed[CP thưởng KPI],
(Table_Datafeed[Kỳ]&gt;=DATE(YEAR(Pivot!$E$2)-1, MONTH(Pivot!$E$2),1))*
(Table_Datafeed[Kỳ]&lt;=DATE(YEAR(Pivot!$E$3)-1,MONTH(Pivot!$E$3),1))
)),0)),
MIN(0,
CV39+IFERROR(SUM(_xlfn._xlws.FILTER(Table_Datafeed[CP thưởng KPI],
(Table_Datafeed[Kỳ]&gt;=DATE(YEAR(Pivot!$E$2)-1, MONTH(Pivot!$E$2),1))*
(Table_Datafeed[Kỳ]&lt;=DATE(YEAR(Pivot!$E$3)-1,MONTH(Pivot!$E$3),1))
)),0)))</f>
        <v>0</v>
      </c>
      <c r="CY39" s="166">
        <f t="shared" si="1"/>
        <v>0</v>
      </c>
      <c r="CZ39" s="160">
        <f t="shared" si="2"/>
        <v>0</v>
      </c>
      <c r="DA39" s="144"/>
      <c r="DB39" s="144"/>
    </row>
    <row r="40" spans="56:106" ht="18" customHeight="1" x14ac:dyDescent="0.3">
      <c r="BD40" s="130"/>
      <c r="CU40" s="138" t="s">
        <v>143</v>
      </c>
      <c r="CV40" s="166" cm="1">
        <f t="array" ref="CV40">-IFERROR(SUM(_xlfn._xlws.FILTER(Table_Datafeed[CP thanh toán],
(Table_Datafeed[Kỳ]&gt;=Pivot!$E$2)*
(Table_Datafeed[Kỳ]&lt;=Pivot!$E$3)
)),0)</f>
        <v>0</v>
      </c>
      <c r="CW40" s="166">
        <f t="shared" si="0"/>
        <v>0</v>
      </c>
      <c r="CX40" s="138" cm="1">
        <f t="array" ref="CX40" xml:space="preserve">
IF($CU$31=FALSE,
MAX(0,
CV40+IFERROR(SUM(_xlfn._xlws.FILTER(Table_Datafeed[CP thanh toán],
(Table_Datafeed[Kỳ]&gt;=DATE(YEAR(Pivot!$E$2)-1, MONTH(Pivot!$E$2),1))*
(Table_Datafeed[Kỳ]&lt;=DATE(YEAR(Pivot!$E$3)-1,MONTH(Pivot!$E$3),1))
)),0)),
MIN(0,
CV40+IFERROR(SUM(_xlfn._xlws.FILTER(Table_Datafeed[CP thanh toán],
(Table_Datafeed[Kỳ]&gt;=DATE(YEAR(Pivot!$E$2)-1, MONTH(Pivot!$E$2),1))*
(Table_Datafeed[Kỳ]&lt;=DATE(YEAR(Pivot!$E$3)-1,MONTH(Pivot!$E$3),1))
)),0)))</f>
        <v>0</v>
      </c>
      <c r="CY40" s="166">
        <f t="shared" si="1"/>
        <v>0</v>
      </c>
      <c r="CZ40" s="160">
        <f t="shared" si="2"/>
        <v>0</v>
      </c>
      <c r="DA40" s="144"/>
      <c r="DB40" s="144"/>
    </row>
    <row r="41" spans="56:106" ht="18" customHeight="1" x14ac:dyDescent="0.3">
      <c r="BD41" s="130"/>
      <c r="CU41" s="138" t="s">
        <v>144</v>
      </c>
      <c r="CV41" s="166" cm="1">
        <f t="array" ref="CV41">-IFERROR(SUM(_xlfn._xlws.FILTER(Table_Datafeed[CP vận chuyển],
(Table_Datafeed[Kỳ]&gt;=Pivot!$E$2)*
(Table_Datafeed[Kỳ]&lt;=Pivot!$E$3)
)),0)</f>
        <v>0</v>
      </c>
      <c r="CW41" s="166">
        <f t="shared" si="0"/>
        <v>0</v>
      </c>
      <c r="CX41" s="138" cm="1">
        <f t="array" ref="CX41" xml:space="preserve">
IF($CU$31=FALSE,
MAX(0,
CV41+IFERROR(SUM(_xlfn._xlws.FILTER(Table_Datafeed[CP vận chuyển],
(Table_Datafeed[Kỳ]&gt;=DATE(YEAR(Pivot!$E$2)-1, MONTH(Pivot!$E$2),1))*
(Table_Datafeed[Kỳ]&lt;=DATE(YEAR(Pivot!$E$3)-1,MONTH(Pivot!$E$3),1))
)),0)),
MIN(0,
CV41+IFERROR(SUM(_xlfn._xlws.FILTER(Table_Datafeed[CP vận chuyển],
(Table_Datafeed[Kỳ]&gt;=DATE(YEAR(Pivot!$E$2)-1, MONTH(Pivot!$E$2),1))*
(Table_Datafeed[Kỳ]&lt;=DATE(YEAR(Pivot!$E$3)-1,MONTH(Pivot!$E$3),1))
)),0)))</f>
        <v>0</v>
      </c>
      <c r="CY41" s="166">
        <f t="shared" si="1"/>
        <v>0</v>
      </c>
      <c r="CZ41" s="160">
        <f t="shared" si="2"/>
        <v>0</v>
      </c>
      <c r="DA41" s="144"/>
      <c r="DB41" s="144"/>
    </row>
    <row r="42" spans="56:106" ht="18" customHeight="1" x14ac:dyDescent="0.3">
      <c r="BD42" s="130"/>
      <c r="CU42" s="138" t="s">
        <v>145</v>
      </c>
      <c r="CV42" s="166" cm="1">
        <f t="array" ref="CV42">-IFERROR(SUM(_xlfn._xlws.FILTER(Table_Datafeed[CP nhân sự],
(Table_Datafeed[Kỳ]&gt;=Pivot!$E$2)*
(Table_Datafeed[Kỳ]&lt;=Pivot!$E$3)
)),0)</f>
        <v>0</v>
      </c>
      <c r="CW42" s="166">
        <f t="shared" si="0"/>
        <v>0</v>
      </c>
      <c r="CX42" s="138" cm="1">
        <f t="array" ref="CX42" xml:space="preserve">
IF($CU$31=FALSE,
MAX(0,
CV42+IFERROR(SUM(_xlfn._xlws.FILTER(Table_Datafeed[CP nhân sự],
(Table_Datafeed[Kỳ]&gt;=DATE(YEAR(Pivot!$E$2)-1, MONTH(Pivot!$E$2),1))*
(Table_Datafeed[Kỳ]&lt;=DATE(YEAR(Pivot!$E$3)-1,MONTH(Pivot!$E$3),1))
)),0)),
MIN(0,
CV42+IFERROR(SUM(_xlfn._xlws.FILTER(Table_Datafeed[CP nhân sự],
(Table_Datafeed[Kỳ]&gt;=DATE(YEAR(Pivot!$E$2)-1, MONTH(Pivot!$E$2),1))*
(Table_Datafeed[Kỳ]&lt;=DATE(YEAR(Pivot!$E$3)-1,MONTH(Pivot!$E$3),1))
)),0)))</f>
        <v>0</v>
      </c>
      <c r="CY42" s="166">
        <f t="shared" si="1"/>
        <v>0</v>
      </c>
      <c r="CZ42" s="160">
        <f t="shared" si="2"/>
        <v>0</v>
      </c>
      <c r="DA42" s="144"/>
      <c r="DB42" s="144"/>
    </row>
    <row r="43" spans="56:106" ht="18" customHeight="1" x14ac:dyDescent="0.3">
      <c r="BD43" s="130"/>
      <c r="CU43" s="138" t="s">
        <v>146</v>
      </c>
      <c r="CV43" s="166" cm="1">
        <f t="array" ref="CV43">-IFERROR(SUM(_xlfn._xlws.FILTER(Table_Datafeed[CP tiêu hao VP],
(Table_Datafeed[Kỳ]&gt;=Pivot!$E$2)*
(Table_Datafeed[Kỳ]&lt;=Pivot!$E$3)
)),0)</f>
        <v>0</v>
      </c>
      <c r="CW43" s="166">
        <f t="shared" si="0"/>
        <v>0</v>
      </c>
      <c r="CX43" s="138" cm="1">
        <f t="array" ref="CX43" xml:space="preserve">
IF($CU$31=FALSE,
MAX(0,
CV43+IFERROR(SUM(_xlfn._xlws.FILTER(Table_Datafeed[CP tiêu hao VP],
(Table_Datafeed[Kỳ]&gt;=DATE(YEAR(Pivot!$E$2)-1, MONTH(Pivot!$E$2),1))*
(Table_Datafeed[Kỳ]&lt;=DATE(YEAR(Pivot!$E$3)-1,MONTH(Pivot!$E$3),1))
)),0)),
MIN(0,
CV43+IFERROR(SUM(_xlfn._xlws.FILTER(Table_Datafeed[CP tiêu hao VP],
(Table_Datafeed[Kỳ]&gt;=DATE(YEAR(Pivot!$E$2)-1, MONTH(Pivot!$E$2),1))*
(Table_Datafeed[Kỳ]&lt;=DATE(YEAR(Pivot!$E$3)-1,MONTH(Pivot!$E$3),1))
)),0)))</f>
        <v>0</v>
      </c>
      <c r="CY43" s="166">
        <f t="shared" si="1"/>
        <v>0</v>
      </c>
      <c r="CZ43" s="160">
        <f t="shared" si="2"/>
        <v>0</v>
      </c>
      <c r="DA43" s="144"/>
      <c r="DB43" s="144"/>
    </row>
    <row r="44" spans="56:106" ht="18" customHeight="1" x14ac:dyDescent="0.3">
      <c r="BD44" s="130"/>
      <c r="CU44" s="138" t="s">
        <v>147</v>
      </c>
      <c r="CV44" s="166" cm="1">
        <f t="array" ref="CV44">-IFERROR(SUM(_xlfn._xlws.FILTER(Table_Datafeed[CP vận hành kênh],
(Table_Datafeed[Kỳ]&gt;=Pivot!$E$2)*
(Table_Datafeed[Kỳ]&lt;=Pivot!$E$3)
)),0)</f>
        <v>0</v>
      </c>
      <c r="CW44" s="166">
        <f t="shared" si="0"/>
        <v>0</v>
      </c>
      <c r="CX44" s="138" cm="1">
        <f t="array" ref="CX44" xml:space="preserve">
IF($CU$31=FALSE,
MAX(0,
CV44+IFERROR(SUM(_xlfn._xlws.FILTER(Table_Datafeed[CP vận hành kênh],
(Table_Datafeed[Kỳ]&gt;=DATE(YEAR(Pivot!$E$2)-1, MONTH(Pivot!$E$2),1))*
(Table_Datafeed[Kỳ]&lt;=DATE(YEAR(Pivot!$E$3)-1,MONTH(Pivot!$E$3),1))
)),0)),
MIN(0,
CV44+IFERROR(SUM(_xlfn._xlws.FILTER(Table_Datafeed[CP vận hành kênh],
(Table_Datafeed[Kỳ]&gt;=DATE(YEAR(Pivot!$E$2)-1, MONTH(Pivot!$E$2),1))*
(Table_Datafeed[Kỳ]&lt;=DATE(YEAR(Pivot!$E$3)-1,MONTH(Pivot!$E$3),1))
)),0)))</f>
        <v>0</v>
      </c>
      <c r="CY44" s="166">
        <f t="shared" si="1"/>
        <v>0</v>
      </c>
      <c r="CZ44" s="160">
        <f t="shared" si="2"/>
        <v>0</v>
      </c>
      <c r="DA44" s="144"/>
      <c r="DB44" s="144"/>
    </row>
    <row r="45" spans="56:106" ht="18" customHeight="1" x14ac:dyDescent="0.3">
      <c r="BD45" s="130"/>
      <c r="CU45" s="138" t="s">
        <v>148</v>
      </c>
      <c r="CV45" s="166" cm="1">
        <f t="array" ref="CV45">-IFERROR(SUM(_xlfn._xlws.FILTER(Table_Datafeed[CP marketing],
(Table_Datafeed[Kỳ]&gt;=Pivot!$E$2)*
(Table_Datafeed[Kỳ]&lt;=Pivot!$E$3)
)),0)</f>
        <v>0</v>
      </c>
      <c r="CW45" s="166">
        <f t="shared" si="0"/>
        <v>0</v>
      </c>
      <c r="CX45" s="138" cm="1">
        <f t="array" ref="CX45" xml:space="preserve">
IF($CU$31=FALSE,
MAX(0,
CV45+IFERROR(SUM(_xlfn._xlws.FILTER(Table_Datafeed[CP marketing],
(Table_Datafeed[Kỳ]&gt;=DATE(YEAR(Pivot!$E$2)-1, MONTH(Pivot!$E$2),1))*
(Table_Datafeed[Kỳ]&lt;=DATE(YEAR(Pivot!$E$3)-1,MONTH(Pivot!$E$3),1))
)),0)),
MIN(0,
CV45+IFERROR(SUM(_xlfn._xlws.FILTER(Table_Datafeed[CP marketing],
(Table_Datafeed[Kỳ]&gt;=DATE(YEAR(Pivot!$E$2)-1, MONTH(Pivot!$E$2),1))*
(Table_Datafeed[Kỳ]&lt;=DATE(YEAR(Pivot!$E$3)-1,MONTH(Pivot!$E$3),1))
)),0)))</f>
        <v>0</v>
      </c>
      <c r="CY45" s="166">
        <f t="shared" si="1"/>
        <v>0</v>
      </c>
      <c r="CZ45" s="160">
        <f t="shared" si="2"/>
        <v>0</v>
      </c>
      <c r="DA45" s="144"/>
      <c r="DB45" s="144"/>
    </row>
    <row r="46" spans="56:106" ht="18" customHeight="1" x14ac:dyDescent="0.3">
      <c r="BD46" s="130"/>
      <c r="CU46" s="138" t="s">
        <v>149</v>
      </c>
      <c r="CV46" s="166" cm="1">
        <f t="array" ref="CV46">-IFERROR(SUM(_xlfn._xlws.FILTER(Table_Datafeed[CP dịch vụ],
(Table_Datafeed[Kỳ]&gt;=Pivot!$E$2)*
(Table_Datafeed[Kỳ]&lt;=Pivot!$E$3)
)),0)</f>
        <v>0</v>
      </c>
      <c r="CW46" s="166">
        <f t="shared" si="0"/>
        <v>0</v>
      </c>
      <c r="CX46" s="138" cm="1">
        <f t="array" ref="CX46" xml:space="preserve">
IF($CU$31=FALSE,
MAX(0,
CV46+IFERROR(SUM(_xlfn._xlws.FILTER(Table_Datafeed[CP dịch vụ],
(Table_Datafeed[Kỳ]&gt;=DATE(YEAR(Pivot!$E$2)-1, MONTH(Pivot!$E$2),1))*
(Table_Datafeed[Kỳ]&lt;=DATE(YEAR(Pivot!$E$3)-1,MONTH(Pivot!$E$3),1))
)),0)),
MIN(0,
CV46+IFERROR(SUM(_xlfn._xlws.FILTER(Table_Datafeed[CP dịch vụ],
(Table_Datafeed[Kỳ]&gt;=DATE(YEAR(Pivot!$E$2)-1, MONTH(Pivot!$E$2),1))*
(Table_Datafeed[Kỳ]&lt;=DATE(YEAR(Pivot!$E$3)-1,MONTH(Pivot!$E$3),1))
)),0)))</f>
        <v>0</v>
      </c>
      <c r="CY46" s="166">
        <f t="shared" si="1"/>
        <v>0</v>
      </c>
      <c r="CZ46" s="160">
        <f t="shared" si="2"/>
        <v>0</v>
      </c>
    </row>
    <row r="47" spans="56:106" ht="18" customHeight="1" x14ac:dyDescent="0.3">
      <c r="BD47" s="130"/>
      <c r="CU47" s="138" t="s">
        <v>150</v>
      </c>
      <c r="CV47" s="166" cm="1">
        <f t="array" ref="CV47">-IFERROR(SUM(_xlfn._xlws.FILTER(Table_Datafeed[CP khấu hao],
(Table_Datafeed[Kỳ]&gt;=Pivot!$E$2)*
(Table_Datafeed[Kỳ]&lt;=Pivot!$E$3)
)),0)</f>
        <v>0</v>
      </c>
      <c r="CW47" s="166">
        <f t="shared" si="0"/>
        <v>0</v>
      </c>
      <c r="CX47" s="138" cm="1">
        <f t="array" ref="CX47" xml:space="preserve">
IF($CU$31=FALSE,
MAX(0,
CV47+IFERROR(SUM(_xlfn._xlws.FILTER(Table_Datafeed[CP khấu hao],
(Table_Datafeed[Kỳ]&gt;=DATE(YEAR(Pivot!$E$2)-1, MONTH(Pivot!$E$2),1))*
(Table_Datafeed[Kỳ]&lt;=DATE(YEAR(Pivot!$E$3)-1,MONTH(Pivot!$E$3),1))
)),0)),
MIN(0,
CV47+IFERROR(SUM(_xlfn._xlws.FILTER(Table_Datafeed[CP khấu hao],
(Table_Datafeed[Kỳ]&gt;=DATE(YEAR(Pivot!$E$2)-1, MONTH(Pivot!$E$2),1))*
(Table_Datafeed[Kỳ]&lt;=DATE(YEAR(Pivot!$E$3)-1,MONTH(Pivot!$E$3),1))
)),0)))</f>
        <v>0</v>
      </c>
      <c r="CY47" s="166">
        <f t="shared" si="1"/>
        <v>0</v>
      </c>
      <c r="CZ47" s="160">
        <f t="shared" si="2"/>
        <v>0</v>
      </c>
    </row>
    <row r="48" spans="56:106" ht="18" customHeight="1" x14ac:dyDescent="0.3">
      <c r="BD48" s="130"/>
      <c r="CU48" s="138" t="s">
        <v>151</v>
      </c>
      <c r="CV48" s="166" cm="1">
        <f t="array" ref="CV48">-IFERROR(SUM(_xlfn._xlws.FILTER(Table_Datafeed[CP lãi vay],
(Table_Datafeed[Kỳ]&gt;=Pivot!$E$2)*
(Table_Datafeed[Kỳ]&lt;=Pivot!$E$3)
)),0)</f>
        <v>0</v>
      </c>
      <c r="CW48" s="166">
        <f t="shared" si="0"/>
        <v>0</v>
      </c>
      <c r="CX48" s="138" cm="1">
        <f t="array" ref="CX48" xml:space="preserve">
IF($CU$31=FALSE,
MAX(0,
CV48+IFERROR(SUM(_xlfn._xlws.FILTER(Table_Datafeed[CP lãi vay],
(Table_Datafeed[Kỳ]&gt;=DATE(YEAR(Pivot!$E$2)-1, MONTH(Pivot!$E$2),1))*
(Table_Datafeed[Kỳ]&lt;=DATE(YEAR(Pivot!$E$3)-1,MONTH(Pivot!$E$3),1))
)),0)),
MIN(0,
CV48+IFERROR(SUM(_xlfn._xlws.FILTER(Table_Datafeed[CP lãi vay],
(Table_Datafeed[Kỳ]&gt;=DATE(YEAR(Pivot!$E$2)-1, MONTH(Pivot!$E$2),1))*
(Table_Datafeed[Kỳ]&lt;=DATE(YEAR(Pivot!$E$3)-1,MONTH(Pivot!$E$3),1))
)),0)))</f>
        <v>0</v>
      </c>
      <c r="CY48" s="166">
        <f t="shared" si="1"/>
        <v>0</v>
      </c>
      <c r="CZ48" s="160">
        <f t="shared" si="2"/>
        <v>0</v>
      </c>
    </row>
    <row r="49" spans="56:104" ht="18" customHeight="1" x14ac:dyDescent="0.3">
      <c r="BD49" s="130"/>
      <c r="CU49" s="138" t="s">
        <v>4</v>
      </c>
      <c r="CV49" s="166" cm="1">
        <f t="array" ref="CV49">-IFERROR(SUM(_xlfn._xlws.FILTER(Table_Datafeed[Thuế phí NN],
(Table_Datafeed[Kỳ]&gt;=Pivot!$E$2)*
(Table_Datafeed[Kỳ]&lt;=Pivot!$E$3)
)),0)</f>
        <v>0</v>
      </c>
      <c r="CW49" s="166">
        <f t="shared" si="0"/>
        <v>0</v>
      </c>
      <c r="CX49" s="138" cm="1">
        <f t="array" ref="CX49" xml:space="preserve">
IF($CU$31=FALSE,
MAX(0,
CV49+IFERROR(SUM(_xlfn._xlws.FILTER(Table_Datafeed[Thuế phí NN],
(Table_Datafeed[Kỳ]&gt;=DATE(YEAR(Pivot!$E$2)-1, MONTH(Pivot!$E$2),1))*
(Table_Datafeed[Kỳ]&lt;=DATE(YEAR(Pivot!$E$3)-1,MONTH(Pivot!$E$3),1))
)),0)),
MIN(0,
CV49+IFERROR(SUM(_xlfn._xlws.FILTER(Table_Datafeed[Thuế phí NN],
(Table_Datafeed[Kỳ]&gt;=DATE(YEAR(Pivot!$E$2)-1, MONTH(Pivot!$E$2),1))*
(Table_Datafeed[Kỳ]&lt;=DATE(YEAR(Pivot!$E$3)-1,MONTH(Pivot!$E$3),1))
)),0)))</f>
        <v>0</v>
      </c>
      <c r="CY49" s="166">
        <f t="shared" si="1"/>
        <v>0</v>
      </c>
      <c r="CZ49" s="160">
        <f t="shared" si="2"/>
        <v>0</v>
      </c>
    </row>
    <row r="50" spans="56:104" ht="18" customHeight="1" x14ac:dyDescent="0.3">
      <c r="BD50" s="130"/>
      <c r="CU50" s="138" t="s">
        <v>152</v>
      </c>
      <c r="CV50" s="166" cm="1">
        <f t="array" ref="CV50">-IFERROR(SUM(_xlfn._xlws.FILTER(Table_Datafeed[CP khác],
(Table_Datafeed[Kỳ]&gt;=Pivot!$E$2)*
(Table_Datafeed[Kỳ]&lt;=Pivot!$E$3)
)),0)</f>
        <v>0</v>
      </c>
      <c r="CW50" s="166">
        <f t="shared" si="0"/>
        <v>0</v>
      </c>
      <c r="CX50" s="138" cm="1">
        <f t="array" ref="CX50" xml:space="preserve">
IF($CU$31=FALSE,
MAX(0,
CV50+IFERROR(SUM(_xlfn._xlws.FILTER(Table_Datafeed[CP khác],
(Table_Datafeed[Kỳ]&gt;=DATE(YEAR(Pivot!$E$2)-1, MONTH(Pivot!$E$2),1))*
(Table_Datafeed[Kỳ]&lt;=DATE(YEAR(Pivot!$E$3)-1,MONTH(Pivot!$E$3),1))
)),0)),
MIN(0,
CV50+IFERROR(SUM(_xlfn._xlws.FILTER(Table_Datafeed[CP khác],
(Table_Datafeed[Kỳ]&gt;=DATE(YEAR(Pivot!$E$2)-1, MONTH(Pivot!$E$2),1))*
(Table_Datafeed[Kỳ]&lt;=DATE(YEAR(Pivot!$E$3)-1,MONTH(Pivot!$E$3),1))
)),0)))</f>
        <v>0</v>
      </c>
      <c r="CY50" s="166">
        <f t="shared" si="1"/>
        <v>0</v>
      </c>
      <c r="CZ50" s="160">
        <f t="shared" si="2"/>
        <v>0</v>
      </c>
    </row>
    <row r="51" spans="56:104" ht="18" customHeight="1" x14ac:dyDescent="0.3">
      <c r="BD51" s="130"/>
      <c r="CU51" s="142" t="s">
        <v>124</v>
      </c>
    </row>
    <row r="52" spans="56:104" ht="18" customHeight="1" x14ac:dyDescent="0.3">
      <c r="BD52" s="130"/>
      <c r="CU52" s="138" t="s">
        <v>153</v>
      </c>
      <c r="CV52" s="138" t="s">
        <v>154</v>
      </c>
      <c r="CW52" s="138" t="s">
        <v>135</v>
      </c>
      <c r="CX52" s="138" t="s">
        <v>155</v>
      </c>
      <c r="CY52" s="138" t="s">
        <v>156</v>
      </c>
    </row>
    <row r="53" spans="56:104" ht="18" customHeight="1" x14ac:dyDescent="0.3">
      <c r="BD53" s="130"/>
      <c r="CU53" s="138">
        <v>1</v>
      </c>
      <c r="CV53" s="138" t="str" cm="1">
        <f t="array" ref="CV53">INDEX($CU$34:$CZ$50,MATCH(CU53,_xlfn.RANK.EQ($CV$34:$CV$50,$CV$34:$CV$50,0),0),1)</f>
        <v>Giảm giá</v>
      </c>
      <c r="CW53" s="138" t="str" cm="1">
        <f t="array" ref="CW53" xml:space="preserve">
IF($CU$31=FALSE,
INDEX($CU$34:$CZ$50,MATCH(CU53,_xlfn.RANK.EQ($CX$34:$CX$50,$CX$34:$CX$50,0),0),1),
INDEX($CU$34:$CZ$50,MATCH(CU53,_xlfn.RANK.EQ($CX$34:$CX$50,$CX$34:$CX$50,1),0),1)
)</f>
        <v>Giảm giá</v>
      </c>
      <c r="CX53" s="138" t="str" cm="1">
        <f t="array" ref="CX53" xml:space="preserve">
IF($CU$31=FALSE,
INDEX($CU$34:$CZ$50,MATCH(CU53,_xlfn.RANK.EQ($CZ$34:$CZ$50,$CZ$34:$CZ$50,0),0),1),
INDEX($CU$34:$CZ$50,MATCH(CU53,_xlfn.RANK.EQ($CZ$34:$CZ$50,$CZ$34:$CZ$50,1),0),1))</f>
        <v>Giảm giá</v>
      </c>
      <c r="CY53" s="160" cm="1">
        <f t="array" ref="CY53">INDEX($CU$34:$CZ$50,MATCH(CX53,$CU$34:$CU$50,0),
COUNTA($CU$33:$CZ$33))</f>
        <v>0</v>
      </c>
    </row>
    <row r="54" spans="56:104" ht="18" customHeight="1" x14ac:dyDescent="0.3">
      <c r="BD54" s="130"/>
      <c r="CU54" s="138">
        <v>2</v>
      </c>
      <c r="CV54" s="138" t="e" cm="1">
        <f t="array" ref="CV54">INDEX($CU$34:$CZ$50,MATCH(CU54,_xlfn.RANK.EQ($CV$34:$CV$50,$CV$34:$CV$50,0),0),1)</f>
        <v>#N/A</v>
      </c>
      <c r="CW54" s="138" t="e" cm="1">
        <f t="array" ref="CW54" xml:space="preserve">
IF($CU$31=FALSE,
INDEX($CU$34:$CZ$50,MATCH(CU54,_xlfn.RANK.EQ($CX$34:$CX$50,$CX$34:$CX$50,0),0),1),
INDEX($CU$34:$CZ$50,MATCH(CU54,_xlfn.RANK.EQ($CX$34:$CX$50,$CX$34:$CX$50,1),0),1)
)</f>
        <v>#N/A</v>
      </c>
      <c r="CX54" s="138" t="e" cm="1">
        <f t="array" ref="CX54" xml:space="preserve">
IF($CU$31=FALSE,
INDEX($CU$34:$CZ$50,MATCH(CU54,_xlfn.RANK.EQ($CZ$34:$CZ$50,$CZ$34:$CZ$50,0),0),1),
INDEX($CU$34:$CZ$50,MATCH(CU54,_xlfn.RANK.EQ($CZ$34:$CZ$50,$CZ$34:$CZ$50,1),0),1))</f>
        <v>#N/A</v>
      </c>
      <c r="CY54" s="160" t="e" cm="1">
        <f t="array" ref="CY54">INDEX($CU$34:$CZ$50,MATCH(CX54,$CU$34:$CU$50,0),
COUNTA($CU$33:$CZ$33))</f>
        <v>#N/A</v>
      </c>
    </row>
    <row r="55" spans="56:104" ht="18" customHeight="1" x14ac:dyDescent="0.3">
      <c r="BD55" s="130"/>
      <c r="CU55" s="138">
        <v>3</v>
      </c>
      <c r="CV55" s="138" t="e" cm="1">
        <f t="array" ref="CV55">INDEX($CU$34:$CZ$50,MATCH(CU55,_xlfn.RANK.EQ($CV$34:$CV$50,$CV$34:$CV$50,0),0),1)</f>
        <v>#N/A</v>
      </c>
      <c r="CW55" s="138" t="e" cm="1">
        <f t="array" ref="CW55" xml:space="preserve">
IF($CU$31=FALSE,
INDEX($CU$34:$CZ$50,MATCH(CU55,_xlfn.RANK.EQ($CX$34:$CX$50,$CX$34:$CX$50,0),0),1),
INDEX($CU$34:$CZ$50,MATCH(CU55,_xlfn.RANK.EQ($CX$34:$CX$50,$CX$34:$CX$50,1),0),1)
)</f>
        <v>#N/A</v>
      </c>
      <c r="CX55" s="138" t="e" cm="1">
        <f t="array" ref="CX55" xml:space="preserve">
IF($CU$31=FALSE,
INDEX($CU$34:$CZ$50,MATCH(CU55,_xlfn.RANK.EQ($CZ$34:$CZ$50,$CZ$34:$CZ$50,0),0),1),
INDEX($CU$34:$CZ$50,MATCH(CU55,_xlfn.RANK.EQ($CZ$34:$CZ$50,$CZ$34:$CZ$50,1),0),1))</f>
        <v>#N/A</v>
      </c>
      <c r="CY55" s="160" t="e" cm="1">
        <f t="array" ref="CY55">INDEX($CU$34:$CZ$50,MATCH(CX55,$CU$34:$CU$50,0),
COUNTA($CU$33:$CZ$33))</f>
        <v>#N/A</v>
      </c>
    </row>
  </sheetData>
  <sheetProtection algorithmName="SHA-512" hashValue="G19bNfRIz9qWph6ZnhXLoaw8NS918J5qRFxMZDoK53nQs8mkHpqzCJk7jbRMbBWq7I1ba+8lGqNfsII2dQ3xYA==" saltValue="6nmYGyyGTsXI3dUG6O0xXg==" spinCount="100000" sheet="1" scenarios="1" formatCells="0" formatColumns="0" formatRows="0" insertColumns="0" insertRows="0" deleteColumns="0" deleteRows="0" sort="0" autoFilter="0" pivotTables="0"/>
  <dataConsolidate link="1"/>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82</xdr:col>
                    <xdr:colOff>266700</xdr:colOff>
                    <xdr:row>1</xdr:row>
                    <xdr:rowOff>171450</xdr:rowOff>
                  </from>
                  <to>
                    <xdr:col>83</xdr:col>
                    <xdr:colOff>295275</xdr:colOff>
                    <xdr:row>2</xdr:row>
                    <xdr:rowOff>123825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83</xdr:col>
                    <xdr:colOff>409575</xdr:colOff>
                    <xdr:row>1</xdr:row>
                    <xdr:rowOff>171450</xdr:rowOff>
                  </from>
                  <to>
                    <xdr:col>84</xdr:col>
                    <xdr:colOff>438150</xdr:colOff>
                    <xdr:row>2</xdr:row>
                    <xdr:rowOff>123825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84</xdr:col>
                    <xdr:colOff>552450</xdr:colOff>
                    <xdr:row>1</xdr:row>
                    <xdr:rowOff>171450</xdr:rowOff>
                  </from>
                  <to>
                    <xdr:col>85</xdr:col>
                    <xdr:colOff>581025</xdr:colOff>
                    <xdr:row>2</xdr:row>
                    <xdr:rowOff>123825</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86</xdr:col>
                    <xdr:colOff>9525</xdr:colOff>
                    <xdr:row>1</xdr:row>
                    <xdr:rowOff>171450</xdr:rowOff>
                  </from>
                  <to>
                    <xdr:col>87</xdr:col>
                    <xdr:colOff>38100</xdr:colOff>
                    <xdr:row>2</xdr:row>
                    <xdr:rowOff>123825</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82</xdr:col>
                    <xdr:colOff>295275</xdr:colOff>
                    <xdr:row>29</xdr:row>
                    <xdr:rowOff>38100</xdr:rowOff>
                  </from>
                  <to>
                    <xdr:col>83</xdr:col>
                    <xdr:colOff>428625</xdr:colOff>
                    <xdr:row>30</xdr:row>
                    <xdr:rowOff>38100</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1</xdr:row>
                    <xdr:rowOff>19050</xdr:rowOff>
                  </from>
                  <to>
                    <xdr:col>0</xdr:col>
                    <xdr:colOff>609600</xdr:colOff>
                    <xdr:row>1</xdr:row>
                    <xdr:rowOff>200025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1</xdr:row>
                    <xdr:rowOff>219075</xdr:rowOff>
                  </from>
                  <to>
                    <xdr:col>0</xdr:col>
                    <xdr:colOff>609600</xdr:colOff>
                    <xdr:row>2</xdr:row>
                    <xdr:rowOff>171450</xdr:rowOff>
                  </to>
                </anchor>
              </controlPr>
            </control>
          </mc:Choice>
        </mc:AlternateContent>
      </controls>
    </mc:Choice>
  </mc:AlternateContent>
  <tableParts count="2">
    <tablePart r:id="rId11"/>
    <tablePart r:id="rId12"/>
  </tableParts>
  <extLst>
    <ext xmlns:x15="http://schemas.microsoft.com/office/spreadsheetml/2010/11/main" uri="{7E03D99C-DC04-49d9-9315-930204A7B6E9}">
      <x15:timelineRefs>
        <x15:timelineRef r:id="rId1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C89-A6CE-4A4C-8F91-5263639D8A22}">
  <sheetPr codeName="Sheet47">
    <tabColor theme="9" tint="0.39997558519241921"/>
    <outlinePr summaryBelow="0" summaryRight="0"/>
  </sheetPr>
  <dimension ref="A1:DD50"/>
  <sheetViews>
    <sheetView showGridLines="0" topLeftCell="I23" zoomScaleNormal="100" workbookViewId="0">
      <selection activeCell="P48" sqref="P48"/>
    </sheetView>
  </sheetViews>
  <sheetFormatPr defaultRowHeight="18" customHeight="1" outlineLevelCol="1" x14ac:dyDescent="0.15"/>
  <cols>
    <col min="1" max="1" width="3" style="130" customWidth="1"/>
    <col min="2" max="2" width="8.875" style="131" customWidth="1"/>
    <col min="3" max="3" width="15.75" style="131" bestFit="1" customWidth="1"/>
    <col min="4" max="43" width="9" style="131"/>
    <col min="44" max="47" width="11.5" style="131" customWidth="1"/>
    <col min="48" max="49" width="9" style="131"/>
    <col min="50" max="64" width="10.75" style="131" customWidth="1"/>
    <col min="65" max="65" width="10.75" style="135" customWidth="1"/>
    <col min="66" max="66" width="13.625" style="137" bestFit="1" customWidth="1"/>
    <col min="67" max="67" width="14.375" style="137" bestFit="1" customWidth="1"/>
    <col min="68" max="68" width="11.125" style="137" bestFit="1" customWidth="1"/>
    <col min="69" max="69" width="11.125" style="137" customWidth="1"/>
    <col min="70" max="70" width="11.625" style="137" bestFit="1" customWidth="1"/>
    <col min="71" max="71" width="11.375" style="137" customWidth="1"/>
    <col min="72" max="72" width="9" style="137"/>
    <col min="73" max="77" width="9" style="137" customWidth="1" outlineLevel="1"/>
    <col min="78" max="82" width="11.125" style="137" customWidth="1" outlineLevel="1"/>
    <col min="83" max="86" width="9" style="137" customWidth="1" outlineLevel="1"/>
    <col min="87" max="87" width="9" style="137" customWidth="1"/>
    <col min="88" max="93" width="9" style="137" customWidth="1" outlineLevel="1"/>
    <col min="94" max="94" width="13" style="137" customWidth="1" outlineLevel="1"/>
    <col min="95" max="95" width="9" style="137" customWidth="1" outlineLevel="1"/>
    <col min="96" max="96" width="9" style="137" customWidth="1"/>
    <col min="97" max="99" width="9" style="137" customWidth="1" outlineLevel="1"/>
    <col min="100" max="100" width="9" style="137"/>
    <col min="101" max="103" width="9" style="137" customWidth="1" outlineLevel="1"/>
    <col min="104" max="108" width="9" style="137"/>
    <col min="109" max="16384" width="9" style="131"/>
  </cols>
  <sheetData>
    <row r="1" spans="2:72" ht="18" customHeight="1" x14ac:dyDescent="0.15">
      <c r="AP1" s="137"/>
      <c r="AQ1" s="137" t="str" cm="1">
        <f t="array" aca="1" ref="AQ1:AW1" ca="1">TRANSPOSE(_xlfn._xlws.SORT(_xlfn.UNIQUE(Pivot_ThiTruong_MaKhach)))</f>
        <v>KH01</v>
      </c>
      <c r="AR1" s="137" t="str">
        <f ca="1"/>
        <v>KH02</v>
      </c>
      <c r="AS1" s="137" t="str">
        <f ca="1"/>
        <v>KH03</v>
      </c>
      <c r="AT1" s="137" t="str">
        <f ca="1"/>
        <v>KH04</v>
      </c>
      <c r="AU1" s="137" t="str">
        <f ca="1"/>
        <v>KH05</v>
      </c>
      <c r="AV1" s="137" t="str">
        <f ca="1"/>
        <v>KH06</v>
      </c>
      <c r="AW1" s="137" t="str">
        <f ca="1"/>
        <v>KH07</v>
      </c>
      <c r="AX1" s="137"/>
      <c r="AY1" s="137"/>
      <c r="AZ1" s="137"/>
      <c r="BA1" s="137"/>
      <c r="BB1" s="137"/>
      <c r="BC1" s="137"/>
      <c r="BD1" s="137"/>
      <c r="BE1" s="137"/>
      <c r="BF1" s="137"/>
      <c r="BG1" s="137"/>
      <c r="BH1" s="137"/>
      <c r="BI1" s="137"/>
      <c r="BJ1" s="137"/>
      <c r="BK1" s="137"/>
      <c r="BL1" s="137"/>
    </row>
    <row r="2" spans="2:72" ht="18" customHeight="1" x14ac:dyDescent="0.15">
      <c r="AP2" s="137"/>
      <c r="AQ2" s="137"/>
      <c r="AR2" s="137" t="s">
        <v>157</v>
      </c>
      <c r="AS2" s="137" t="s">
        <v>158</v>
      </c>
      <c r="AT2" s="137" t="s">
        <v>33</v>
      </c>
      <c r="AU2" s="137" t="s">
        <v>22</v>
      </c>
      <c r="AV2" s="137" t="s">
        <v>159</v>
      </c>
      <c r="AW2" s="137" t="s">
        <v>160</v>
      </c>
      <c r="AX2" s="137" t="s">
        <v>161</v>
      </c>
      <c r="AY2" s="137" t="s">
        <v>22</v>
      </c>
      <c r="AZ2" s="137" t="s">
        <v>162</v>
      </c>
      <c r="BA2" s="137" t="s">
        <v>160</v>
      </c>
      <c r="BB2" s="137" t="s">
        <v>163</v>
      </c>
      <c r="BC2" s="137" t="s">
        <v>164</v>
      </c>
      <c r="BD2" s="137" t="s">
        <v>160</v>
      </c>
      <c r="BE2" s="137" t="s">
        <v>165</v>
      </c>
      <c r="BF2" s="137" t="s">
        <v>166</v>
      </c>
      <c r="BG2" s="137" t="s">
        <v>167</v>
      </c>
      <c r="BH2" s="137" t="s">
        <v>168</v>
      </c>
      <c r="BI2" s="137" t="s">
        <v>22</v>
      </c>
      <c r="BJ2" s="137" t="s">
        <v>169</v>
      </c>
      <c r="BK2" s="137" t="s">
        <v>170</v>
      </c>
      <c r="BL2" s="137"/>
    </row>
    <row r="3" spans="2:72" ht="18" customHeight="1" x14ac:dyDescent="0.15">
      <c r="AP3" s="137"/>
      <c r="AQ3" s="137" t="str">
        <f>AA4</f>
        <v>KH01</v>
      </c>
      <c r="AR3" s="137" t="e">
        <f>IF(NOT(ISBLANK($AA$4)),
VLOOKUP($AQ$3,Table_KhachHang[Mã KH]:Table_KhachHang[Tên KH],2,0),"")</f>
        <v>#N/A</v>
      </c>
      <c r="AS3" s="137" t="e">
        <f ca="1">IF(NOT(ISBLANK($AA$4)),
VLOOKUP($AQ$3,Dashboard_ThiTruong_KhachHang[[Khách hàng]:[Nhóm khách]],5,0),"")</f>
        <v>#N/A</v>
      </c>
      <c r="AT3" s="137" t="e">
        <f ca="1">IF(NOT(ISBLANK($AA$4)),
VLOOKUP($AQ$3,_xlfn.ANCHORARRAY(BO31):_xlfn.ANCHORARRAY(BX31),10,0),"")</f>
        <v>#N/A</v>
      </c>
      <c r="AU3" s="138" t="str">
        <f ca="1">IFERROR(TEXT(AT3,LOOKUP(AT3,Pivot!$B$6:$B$12,Pivot!$C$6:$C$12)),"")</f>
        <v/>
      </c>
      <c r="AV3" s="137" t="e">
        <f ca="1">_xlfn.RANK.EQ(AT3,_xlfn.ANCHORARRAY(BX31),0)</f>
        <v>#N/A</v>
      </c>
      <c r="AW3" s="139" t="e" cm="1">
        <f t="array" aca="1" ref="AW3" ca="1">AV3/(COUNT(_xlfn._xlws.FILTER(Dashboard_ThiTruong_KhachHang[Doanh thu],Dashboard_ThiTruong_KhachHang[Doanh thu]&gt;0)))</f>
        <v>#N/A</v>
      </c>
      <c r="AX3" s="137" t="e">
        <f ca="1">IF(NOT(ISBLANK($AA$4)),
VLOOKUP($AQ$3,Dashboard_ThiTruong_KhachHang[[Khách hàng]:[Doanh thu / ngày]],3,0),"")</f>
        <v>#N/A</v>
      </c>
      <c r="AY3" s="138" t="str">
        <f ca="1">IFERROR(TEXT(AX3,LOOKUP(AX3,Pivot!$B$6:$B$12,Pivot!$C$6:$C$12)),"")</f>
        <v/>
      </c>
      <c r="AZ3" s="137" t="e">
        <f ca="1">_xlfn.RANK.EQ(AX3,Dashboard_ThiTruong_KhachHang[Doanh thu / ngày],0)</f>
        <v>#N/A</v>
      </c>
      <c r="BA3" s="139" t="e" cm="1">
        <f t="array" aca="1" ref="BA3" ca="1">AZ3/(COUNT(_xlfn._xlws.FILTER(Dashboard_ThiTruong_KhachHang[Doanh thu],Dashboard_ThiTruong_KhachHang[Doanh thu]&gt;0)))</f>
        <v>#N/A</v>
      </c>
      <c r="BB3" s="140" t="e">
        <f>IF(NOT(ISBLANK($AA$4)),
VLOOKUP($AQ$3,_xlfn.ANCHORARRAY(BO31):_xlfn.ANCHORARRAY(CD31),16,0),"")</f>
        <v>#N/A</v>
      </c>
      <c r="BC3" s="137" t="e">
        <f>_xlfn.RANK.EQ(BB3,_xlfn.ANCHORARRAY(CD31),1)</f>
        <v>#N/A</v>
      </c>
      <c r="BD3" s="139" t="e">
        <f ca="1">BC3/(COUNT(Dashboard_ThiTruong_KhachHang[Doanh thu]))</f>
        <v>#N/A</v>
      </c>
      <c r="BE3" s="137" t="e">
        <f ca="1">IF(NOT(ISBLANK($AA$4)),
VLOOKUP($AQ$3,Dashboard_ThiTruong_KhachHang[[Khách hàng]:[Số ngày chưa mua]],4,0),"")</f>
        <v>#N/A</v>
      </c>
      <c r="BF3" s="137" t="e">
        <f ca="1">IF(BE3&lt;=BB3,"trong tần suất mua hàng trung bình",BG3)</f>
        <v>#N/A</v>
      </c>
      <c r="BG3" s="137" t="e">
        <f ca="1">CONCATENATE("đã vượt ",ROUND((BE3/BB3-1)*100,1),"% so lịch sử mua hàng")</f>
        <v>#N/A</v>
      </c>
      <c r="BH3" s="137" t="e">
        <f>VLOOKUP($AQ$3,_xlfn.ANCHORARRAY($BO$31):_xlfn.ANCHORARRAY($CH$31),20,0)</f>
        <v>#N/A</v>
      </c>
      <c r="BI3" s="138" t="str">
        <f>IFERROR(TEXT(BH3,LOOKUP(BH3,Pivot!$B$6:$B$12,Pivot!$C$6:$C$12)),"")</f>
        <v/>
      </c>
      <c r="BJ3" s="137" t="e">
        <f>IF(BH3&lt;0, "không có dư nợ",BK3)</f>
        <v>#N/A</v>
      </c>
      <c r="BK3" s="137" t="e">
        <f>CONCATENATE("chiếm ",ROUND(BH3/SUMIFS(_xlfn.ANCHORARRAY(CH31),_xlfn.ANCHORARRAY(CH31),"&gt;0")*100,1)," % nợ phải thu")</f>
        <v>#N/A</v>
      </c>
      <c r="BL3" s="137"/>
    </row>
    <row r="4" spans="2:72" ht="18" customHeight="1" x14ac:dyDescent="0.15">
      <c r="AA4" s="556" t="s">
        <v>929</v>
      </c>
      <c r="AB4" s="556"/>
      <c r="AC4" s="556"/>
      <c r="AP4" s="137"/>
      <c r="AQ4" s="137"/>
      <c r="AR4" s="137"/>
      <c r="AS4" s="137"/>
      <c r="AT4" s="137"/>
      <c r="AU4" s="137"/>
      <c r="AV4" s="137"/>
      <c r="AW4" s="137"/>
      <c r="AX4" s="137"/>
      <c r="AY4" s="137"/>
      <c r="AZ4" s="137"/>
      <c r="BA4" s="137"/>
      <c r="BB4" s="137"/>
      <c r="BC4" s="137"/>
      <c r="BD4" s="137"/>
      <c r="BE4" s="137"/>
      <c r="BF4" s="137"/>
      <c r="BG4" s="137"/>
      <c r="BH4" s="137"/>
      <c r="BI4" s="137"/>
      <c r="BJ4" s="137"/>
      <c r="BK4" s="137"/>
      <c r="BL4" s="137"/>
    </row>
    <row r="5" spans="2:72" ht="16.5" x14ac:dyDescent="0.3">
      <c r="B5" s="134"/>
      <c r="AP5" s="137"/>
      <c r="AQ5" s="137"/>
      <c r="AR5" s="137">
        <f ca="1">_xlfn.MINIFS(Dashboard_ThiTruong_KhachHang[Doanh thu / ngày],Dashboard_ThiTruong_KhachHang[Doanh thu / ngày],"&gt;0")</f>
        <v>0</v>
      </c>
      <c r="AS5" s="137">
        <f ca="1">_xlfn.MINIFS(Dashboard_ThiTruong_KhachHang[Số ngày chưa mua],Dashboard_ThiTruong_KhachHang[Số ngày chưa mua],"&gt;0")</f>
        <v>0</v>
      </c>
      <c r="AT5" s="137" t="e">
        <f ca="1">AVERAGEIF(Dashboard_ThiTruong_KhachHang[Doanh thu / ngày],"&gt;0",Dashboard_ThiTruong_KhachHang[Doanh thu / ngày])</f>
        <v>#DIV/0!</v>
      </c>
      <c r="AU5" s="137" t="e">
        <f ca="1">AVERAGEIF(Dashboard_ThiTruong_KhachHang[Số ngày chưa mua],"&gt;0",Dashboard_ThiTruong_KhachHang[Số ngày chưa mua])</f>
        <v>#DIV/0!</v>
      </c>
      <c r="AV5" s="137"/>
      <c r="AW5" s="137"/>
      <c r="AX5" s="137"/>
      <c r="AY5" s="137"/>
      <c r="AZ5" s="137"/>
      <c r="BA5" s="137"/>
      <c r="BB5" s="137"/>
      <c r="BC5" s="137"/>
      <c r="BD5" s="137"/>
      <c r="BE5" s="137"/>
      <c r="BF5" s="137"/>
      <c r="BG5" s="137"/>
      <c r="BH5" s="137"/>
      <c r="BI5" s="137"/>
      <c r="BJ5" s="137"/>
      <c r="BK5" s="137"/>
      <c r="BL5" s="137"/>
      <c r="BO5" s="137" t="s">
        <v>21</v>
      </c>
      <c r="BP5" s="137" t="s">
        <v>21</v>
      </c>
      <c r="BQ5" s="137" t="s">
        <v>22</v>
      </c>
      <c r="BR5" s="137" t="s">
        <v>71</v>
      </c>
      <c r="BS5" s="137" t="s">
        <v>22</v>
      </c>
    </row>
    <row r="6" spans="2:72" ht="16.5" x14ac:dyDescent="0.3">
      <c r="B6" s="134"/>
      <c r="AP6" s="137"/>
      <c r="AQ6" s="137"/>
      <c r="AR6" s="137" t="e">
        <f ca="1">MAX(Dashboard_ThiTruong_KhachHang[Doanh thu / ngày])</f>
        <v>#N/A</v>
      </c>
      <c r="AS6" s="137" t="e">
        <f ca="1">MAX(Dashboard_ThiTruong_KhachHang[Số ngày chưa mua])</f>
        <v>#N/A</v>
      </c>
      <c r="AT6" s="137" t="e">
        <f ca="1">AVERAGEIF(Dashboard_ThiTruong_KhachHang[Doanh thu / ngày],"&gt;0",Dashboard_ThiTruong_KhachHang[Doanh thu / ngày])</f>
        <v>#DIV/0!</v>
      </c>
      <c r="AU6" s="137" t="e">
        <f ca="1">AVERAGEIF(Dashboard_ThiTruong_KhachHang[Số ngày chưa mua],"&gt;0",Dashboard_ThiTruong_KhachHang[Số ngày chưa mua])</f>
        <v>#DIV/0!</v>
      </c>
      <c r="AV6" s="137"/>
      <c r="AW6" s="137"/>
      <c r="AX6" s="137"/>
      <c r="AY6" s="137"/>
      <c r="AZ6" s="137"/>
      <c r="BA6" s="137"/>
      <c r="BB6" s="137"/>
      <c r="BC6" s="137"/>
      <c r="BD6" s="137"/>
      <c r="BE6" s="137"/>
      <c r="BF6" s="137"/>
      <c r="BG6" s="137"/>
      <c r="BH6" s="137"/>
      <c r="BI6" s="137"/>
      <c r="BJ6" s="137"/>
      <c r="BK6" s="137"/>
      <c r="BL6" s="137"/>
      <c r="BO6" s="137" t="s">
        <v>171</v>
      </c>
      <c r="BP6" s="137" cm="1">
        <f t="array" ref="BP6">IFERROR(ROWS(
_xlfn.UNIQUE(_xlfn._xlws.FILTER(Table_DonBan[Mã Khách],
(Table_DonBan[Ngày lập] &gt;=Pivot!$H$2)*
(Table_DonBan[Ngày lập] &lt;=Pivot!$H$3)
))),0)</f>
        <v>0</v>
      </c>
      <c r="BQ6" s="138" t="str">
        <f>IFERROR(TEXT(BP6,LOOKUP(BP6,Pivot!$B$6:$B$12,Pivot!$C$6:$C$12)),"")</f>
        <v/>
      </c>
      <c r="BR6" s="137" cm="1">
        <f t="array" ref="BR6">IFERROR(ABS(BP6-ROWS(
_xlfn.UNIQUE(_xlfn._xlws.FILTER(Table_DonBan[Mã Khách],
(Table_DonBan[Ngày lập] &gt;= DATE(YEAR(Pivot!$H$2)-1,MONTH(Pivot!$H$2),1))*
(Table_DonBan[Ngày lập] &lt;= DATE(YEAR(Pivot!$H$3)-1,MONTH(Pivot!$H$3),1))
)))),0)</f>
        <v>0</v>
      </c>
      <c r="BS6" s="138" t="str">
        <f>IFERROR(TEXT(BR6,LOOKUP(BR6,Pivot!$B$6:$B$12,Pivot!$C$6:$C$12)),"")</f>
        <v/>
      </c>
      <c r="BT6" s="137" t="str" cm="1">
        <f t="array" ref="BT6">IFERROR(IF(BP6-ROWS(
_xlfn.UNIQUE(_xlfn._xlws.FILTER(Table_DonBan[Mã Khách],
(Table_DonBan[Ngày lập] &gt;= DATE(YEAR(Pivot!$H$2)-1,MONTH(Pivot!$H$2),1))*
(Table_DonBan[Ngày lập] &lt;= DATE(YEAR(Pivot!$H$3)-1,MONTH(Pivot!$H$3),1))
)))&gt;=0,"tăng","giảm"),"")</f>
        <v/>
      </c>
    </row>
    <row r="7" spans="2:72" ht="16.5" x14ac:dyDescent="0.3">
      <c r="B7" s="134"/>
      <c r="AR7" s="135" t="s">
        <v>172</v>
      </c>
      <c r="AS7" s="135" t="s">
        <v>33</v>
      </c>
      <c r="AT7" s="135" t="s">
        <v>173</v>
      </c>
      <c r="AU7" s="135" t="s">
        <v>174</v>
      </c>
      <c r="AV7" s="135" t="s">
        <v>175</v>
      </c>
      <c r="AY7" s="135" t="s">
        <v>25</v>
      </c>
      <c r="AZ7" s="135" t="s">
        <v>21</v>
      </c>
      <c r="BA7" s="135" t="s">
        <v>156</v>
      </c>
      <c r="BB7" s="135" t="s">
        <v>71</v>
      </c>
      <c r="BC7" s="135" t="s">
        <v>176</v>
      </c>
      <c r="BD7" s="135"/>
      <c r="BE7" s="135"/>
      <c r="BF7" s="135" t="s">
        <v>26</v>
      </c>
      <c r="BG7" s="135" t="s">
        <v>177</v>
      </c>
      <c r="BH7" s="135"/>
      <c r="BI7" s="135"/>
      <c r="BJ7" s="135" t="s">
        <v>158</v>
      </c>
      <c r="BK7" s="135" t="s">
        <v>21</v>
      </c>
      <c r="BL7" s="135" t="s">
        <v>178</v>
      </c>
      <c r="BO7" s="137" t="s">
        <v>179</v>
      </c>
      <c r="BP7" s="137" cm="1">
        <f t="array" ref="BP7">IFERROR(ROWS(
_xlfn.UNIQUE(_xlfn._xlws.FILTER(Table_DonBan[Mã Khách],
(Table_DonBan[Ngày lập] &gt;=Pivot!$H$2)*
(Table_DonBan[Ngày lập] &lt;=Pivot!$H$3)*
(Table_DonBan[STT đơn của khách]=1)
))),0)</f>
        <v>0</v>
      </c>
      <c r="BQ7" s="138" t="str">
        <f>IFERROR(TEXT(BP7,LOOKUP(BP7,Pivot!$B$6:$B$12,Pivot!$C$6:$C$12)),"")</f>
        <v/>
      </c>
      <c r="BR7" s="137" cm="1">
        <f t="array" ref="BR7">IFERROR(ABS(BP7-ROWS(
_xlfn.UNIQUE(_xlfn._xlws.FILTER(Table_DonBan[Mã Khách],
(Table_DonBan[Ngày lập] &gt;= DATE(YEAR(Pivot!$H$2)-1,MONTH(Pivot!$H$2),1))*
(Table_DonBan[Ngày lập] &lt;= DATE(YEAR(Pivot!$H$3)-1,MONTH(Pivot!$H$3),1))*
(Table_DonBan[STT đơn của khách]=1)
)))),0)</f>
        <v>0</v>
      </c>
      <c r="BS7" s="138" t="str">
        <f>IFERROR(TEXT(BR7,LOOKUP(BR7,Pivot!$B$6:$B$12,Pivot!$C$6:$C$12)),"")</f>
        <v/>
      </c>
      <c r="BT7" s="137" t="str" cm="1">
        <f t="array" ref="BT7">IFERROR(IF(BP7-ROWS(
_xlfn.UNIQUE(_xlfn._xlws.FILTER(Table_DonBan[Mã Khách],
(Table_DonBan[Ngày lập] &gt;= DATE(YEAR(Pivot!$H$2)-1,MONTH(Pivot!$H$2),1))*
(Table_DonBan[Ngày lập] &lt;= DATE(YEAR(Pivot!$H$3)-1,MONTH(Pivot!$H$3),1))*
(Table_DonBan[STT đơn của khách]=1)
)))&gt;=0,"tăng","giảm"),"")</f>
        <v/>
      </c>
    </row>
    <row r="8" spans="2:72" ht="16.5" x14ac:dyDescent="0.3">
      <c r="B8" s="134"/>
      <c r="AQ8" s="131" t="str" cm="1">
        <f t="array" ref="AQ8:AQ10">Table_KhachHang[Mã KH]</f>
        <v>KH3</v>
      </c>
      <c r="AR8" s="131" t="s">
        <v>929</v>
      </c>
      <c r="AS8" s="203" t="e">
        <f ca="1">VLOOKUP(Dashboard_ThiTruong_KhachHang[[#This Row],[Khách hàng]],_xlfn.ANCHORARRAY($BO$31):_xlfn.ANCHORARRAY($BV$31),8,0)</f>
        <v>#N/A</v>
      </c>
      <c r="AT8" s="203" t="e">
        <f ca="1">VLOOKUP(Dashboard_ThiTruong_KhachHang[[#This Row],[Khách hàng]],_xlfn.ANCHORARRAY($BO$31):_xlfn.ANCHORARRAY($BZ$31),12,0)</f>
        <v>#N/A</v>
      </c>
      <c r="AU8" s="203" t="e">
        <f ca="1">VLOOKUP(Dashboard_ThiTruong_KhachHang[[#This Row],[Khách hàng]],_xlfn.ANCHORARRAY($BO$31):_xlfn.ANCHORARRAY($CB$31),14,0)</f>
        <v>#N/A</v>
      </c>
      <c r="AV8" s="157" t="e" cm="1">
        <f t="array" aca="1" ref="AV8"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X8" s="131" cm="1">
        <f t="array" ref="AX8">_xlfn.UNIQUE(Table_KhachHang[Phân khúc])</f>
        <v>0</v>
      </c>
      <c r="AY8" s="131" t="s">
        <v>995</v>
      </c>
      <c r="AZ8" s="158" t="e">
        <f>VLOOKUP(Dashboard_ThiTruong_PhanKhuc[[#This Row],[Phân khúc]],CJ:CK,2,0)</f>
        <v>#N/A</v>
      </c>
      <c r="BA8" s="158" t="e">
        <f>VLOOKUP(Dashboard_ThiTruong_PhanKhuc[[#This Row],[Phân khúc]],CJ:CM,4,0)</f>
        <v>#N/A</v>
      </c>
      <c r="BB8" s="159" t="e">
        <f>VLOOKUP(Dashboard_ThiTruong_PhanKhuc[[#This Row],[Phân khúc]],CJ:CO,6,0)</f>
        <v>#N/A</v>
      </c>
      <c r="BC8" s="157" t="e">
        <f>VLOOKUP(Dashboard_ThiTruong_PhanKhuc[[#This Row],[Phân khúc]],CJ:CP,7,0)</f>
        <v>#N/A</v>
      </c>
      <c r="BD8" s="133"/>
      <c r="BE8" s="133" cm="1">
        <f t="array" ref="BE8">_xlfn.UNIQUE(Table_KhachHang[Tỉnh])</f>
        <v>0</v>
      </c>
      <c r="BF8" s="133" t="s">
        <v>986</v>
      </c>
      <c r="BG8" s="203" t="e">
        <f>VLOOKUP(Dashboard_ThiTruong_TinhThanh[[#This Row],[Tỉnh]],CS:CT,2,0)</f>
        <v>#N/A</v>
      </c>
      <c r="BH8" s="133"/>
      <c r="BI8" s="133" cm="1">
        <f t="array" ref="BI8">_xlfn.UNIQUE(Table_SKU[Nhóm 1])</f>
        <v>0</v>
      </c>
      <c r="BJ8" s="133" t="s">
        <v>29</v>
      </c>
      <c r="BK8" s="203" t="e">
        <f ca="1">IF(ISBLANK($AA$4),
VLOOKUP(Dashboard_ThiTruong_NhomSP[[#This Row],[Nhóm]],_xlfn.ANCHORARRAY($CW$31):_xlfn.ANCHORARRAY($CY$31),2,0),
VLOOKUP(Dashboard_ThiTruong_NhomSP[[#This Row],[Nhóm]],_xlfn.ANCHORARRAY($CW$31):_xlfn.ANCHORARRAY($CY$31),3,0)
)</f>
        <v>#N/A</v>
      </c>
      <c r="BL8" s="159" t="e">
        <f ca="1">Dashboard_ThiTruong_NhomSP[[#This Row],[Giá trị]]/SUM(Dashboard_ThiTruong_NhomSP[Giá trị])</f>
        <v>#N/A</v>
      </c>
      <c r="BM8" s="147"/>
      <c r="BO8" s="137" t="s">
        <v>180</v>
      </c>
      <c r="BP8" s="204" cm="1">
        <f t="array" ref="BP8" xml:space="preserve">
IFERROR(
SUM(_xlfn._xlws.FILTER(Table_DonBan[Tiền hàng]-Table_DonBan[Giá trị CK],
(Table_DonBan[Ngày lập] &gt;=Pivot!$H$2)*
(Table_DonBan[Ngày lập] &lt;=Pivot!$H$3)
))/
ROWS(
_xlfn.UNIQUE(_xlfn._xlws.FILTER(Table_DonBan[Mã Khách],
(Table_DonBan[Ngày lập] &gt;=Pivot!$H$2)*
(Table_DonBan[Ngày lập] &lt;=Pivot!$H$3)
))),0)</f>
        <v>0</v>
      </c>
      <c r="BQ8" s="138" t="str">
        <f>IFERROR(TEXT(BP8,LOOKUP(BP8,Pivot!$B$6:$B$12,Pivot!$C$6:$C$12)),"")</f>
        <v/>
      </c>
      <c r="BR8" s="137" cm="1">
        <f t="array" ref="BR8">IFERROR(
ABS(BP8-SUM(_xlfn._xlws.FILTER(Table_DonBan[Tiền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)))),0)</f>
        <v>0</v>
      </c>
      <c r="BS8" s="138" t="str">
        <f>IFERROR(TEXT(BR8,LOOKUP(BR8,Pivot!$B$6:$B$12,Pivot!$C$6:$C$12)),"")</f>
        <v/>
      </c>
      <c r="BT8" s="137" t="str" cm="1">
        <f t="array" ref="BT8">IFERROR(
IF(BP8-SUM(_xlfn._xlws.FILTER(Table_DonBan[Tiền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)))&gt;=0,"tăng", "giảm"),"")</f>
        <v/>
      </c>
    </row>
    <row r="9" spans="2:72" ht="16.5" x14ac:dyDescent="0.3">
      <c r="B9" s="134"/>
      <c r="AQ9" s="131" t="str">
        <v>KH2</v>
      </c>
      <c r="AR9" s="131" t="s">
        <v>930</v>
      </c>
      <c r="AS9" s="158" t="e">
        <f ca="1">VLOOKUP(Dashboard_ThiTruong_KhachHang[[#This Row],[Khách hàng]],_xlfn.ANCHORARRAY($BO$31):_xlfn.ANCHORARRAY($BV$31),8,0)</f>
        <v>#N/A</v>
      </c>
      <c r="AT9" s="158" t="e">
        <f ca="1">VLOOKUP(Dashboard_ThiTruong_KhachHang[[#This Row],[Khách hàng]],_xlfn.ANCHORARRAY($BO$31):_xlfn.ANCHORARRAY($BZ$31),12,0)</f>
        <v>#N/A</v>
      </c>
      <c r="AU9" s="158" t="e">
        <f ca="1">VLOOKUP(Dashboard_ThiTruong_KhachHang[[#This Row],[Khách hàng]],_xlfn.ANCHORARRAY($BO$31):_xlfn.ANCHORARRAY($CB$31),14,0)</f>
        <v>#N/A</v>
      </c>
      <c r="AV9" s="438" t="e" cm="1">
        <f t="array" aca="1" ref="AV9"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Y9" s="131" t="s">
        <v>996</v>
      </c>
      <c r="AZ9" s="158" t="e">
        <f>VLOOKUP(Dashboard_ThiTruong_PhanKhuc[[#This Row],[Phân khúc]],CJ:CK,2,0)</f>
        <v>#N/A</v>
      </c>
      <c r="BA9" s="158" t="e">
        <f>VLOOKUP(Dashboard_ThiTruong_PhanKhuc[[#This Row],[Phân khúc]],CJ:CM,4,0)</f>
        <v>#N/A</v>
      </c>
      <c r="BB9" s="158" t="e">
        <f>VLOOKUP(Dashboard_ThiTruong_PhanKhuc[[#This Row],[Phân khúc]],CJ:CO,6,0)</f>
        <v>#N/A</v>
      </c>
      <c r="BC9" s="438" t="e">
        <f>VLOOKUP(Dashboard_ThiTruong_PhanKhuc[[#This Row],[Phân khúc]],CJ:CP,7,0)</f>
        <v>#N/A</v>
      </c>
      <c r="BD9" s="133"/>
      <c r="BE9" s="133"/>
      <c r="BF9" s="131" t="s">
        <v>987</v>
      </c>
      <c r="BG9" s="158" t="e">
        <f>VLOOKUP(Dashboard_ThiTruong_TinhThanh[[#This Row],[Tỉnh]],CS:CT,2,0)</f>
        <v>#N/A</v>
      </c>
      <c r="BH9" s="133"/>
      <c r="BI9" s="133"/>
      <c r="BJ9" s="131" t="s">
        <v>58</v>
      </c>
      <c r="BK9" s="158" t="e">
        <f ca="1">IF(ISBLANK($AA$4),
VLOOKUP(Dashboard_ThiTruong_NhomSP[[#This Row],[Nhóm]],_xlfn.ANCHORARRAY($CW$31):_xlfn.ANCHORARRAY($CY$31),2,0),
VLOOKUP(Dashboard_ThiTruong_NhomSP[[#This Row],[Nhóm]],_xlfn.ANCHORARRAY($CW$31):_xlfn.ANCHORARRAY($CY$31),3,0)
)</f>
        <v>#N/A</v>
      </c>
      <c r="BL9" s="158" t="e">
        <f ca="1">Dashboard_ThiTruong_NhomSP[[#This Row],[Giá trị]]/SUM(Dashboard_ThiTruong_NhomSP[Giá trị])</f>
        <v>#N/A</v>
      </c>
      <c r="BM9" s="147"/>
      <c r="BO9" s="137" t="s">
        <v>181</v>
      </c>
      <c r="BP9" s="204" cm="1">
        <f t="array" ref="BP9" xml:space="preserve">
IFERROR(
(Pivot!$H$3-Pivot!$H$2+1)/
(
ROWS(_xlfn._xlws.FILTER(Table_DonBan[Mã Đơn bán],
(Table_DonBan[Ngày lập]&gt;=Pivot!$H$2)*
(Table_DonBan[Ngày lập]&lt;=Pivot!$H$3)
))/
ROWS(_xlfn.UNIQUE(_xlfn._xlws.FILTER(Table_DonBan[Mã Khách],
(Table_DonBan[Ngày lập] &gt;=Pivot!$H$2)*
(Table_DonBan[Ngày lập] &lt;=Pivot!$H$3)
)))
),0)</f>
        <v>0</v>
      </c>
      <c r="BQ9" s="138" t="str">
        <f>IFERROR(TEXT(BP9,LOOKUP(BP9,Pivot!$B$6:$B$12,Pivot!$C$6:$C$12)),"")</f>
        <v/>
      </c>
      <c r="BR9" s="137" cm="1">
        <f t="array" ref="BR9" xml:space="preserve">
IFERROR(
ABS(BP9-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)),0)</f>
        <v>0</v>
      </c>
      <c r="BS9" s="138" t="str">
        <f>IFERROR(TEXT(BR9,LOOKUP(BR9,Pivot!$B$6:$B$12,Pivot!$C$6:$C$12)),"")</f>
        <v/>
      </c>
      <c r="BT9" s="137" t="str" cm="1">
        <f t="array" ref="BT9" xml:space="preserve">
IFERROR(
IF(BP9-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)&gt;=0,"tăng","giảm"
),"")</f>
        <v/>
      </c>
    </row>
    <row r="10" spans="2:72" ht="16.5" x14ac:dyDescent="0.3">
      <c r="B10" s="134"/>
      <c r="AQ10" s="131" t="str">
        <v>KH1</v>
      </c>
      <c r="AR10" s="131" t="s">
        <v>931</v>
      </c>
      <c r="AS10" s="158" t="e">
        <f ca="1">VLOOKUP(Dashboard_ThiTruong_KhachHang[[#This Row],[Khách hàng]],_xlfn.ANCHORARRAY($BO$31):_xlfn.ANCHORARRAY($BV$31),8,0)</f>
        <v>#N/A</v>
      </c>
      <c r="AT10" s="158" t="e">
        <f ca="1">VLOOKUP(Dashboard_ThiTruong_KhachHang[[#This Row],[Khách hàng]],_xlfn.ANCHORARRAY($BO$31):_xlfn.ANCHORARRAY($BZ$31),12,0)</f>
        <v>#N/A</v>
      </c>
      <c r="AU10" s="158" t="e">
        <f ca="1">VLOOKUP(Dashboard_ThiTruong_KhachHang[[#This Row],[Khách hàng]],_xlfn.ANCHORARRAY($BO$31):_xlfn.ANCHORARRAY($CB$31),14,0)</f>
        <v>#N/A</v>
      </c>
      <c r="AV10" s="438" t="e" cm="1">
        <f t="array" aca="1" ref="AV10"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0" s="131" t="s">
        <v>988</v>
      </c>
      <c r="BG10" s="158" t="e">
        <f>VLOOKUP(Dashboard_ThiTruong_TinhThanh[[#This Row],[Tỉnh]],CS:CT,2,0)</f>
        <v>#N/A</v>
      </c>
      <c r="BJ10" s="131" t="s">
        <v>62</v>
      </c>
      <c r="BK10" s="158" t="e">
        <f ca="1">IF(ISBLANK($AA$4),
VLOOKUP(Dashboard_ThiTruong_NhomSP[[#This Row],[Nhóm]],_xlfn.ANCHORARRAY($CW$31):_xlfn.ANCHORARRAY($CY$31),2,0),
VLOOKUP(Dashboard_ThiTruong_NhomSP[[#This Row],[Nhóm]],_xlfn.ANCHORARRAY($CW$31):_xlfn.ANCHORARRAY($CY$31),3,0)
)</f>
        <v>#N/A</v>
      </c>
      <c r="BL10" s="158" t="e">
        <f ca="1">Dashboard_ThiTruong_NhomSP[[#This Row],[Giá trị]]/SUM(Dashboard_ThiTruong_NhomSP[Giá trị])</f>
        <v>#N/A</v>
      </c>
      <c r="BO10" s="137" t="s">
        <v>33</v>
      </c>
      <c r="BP10" s="137" cm="1">
        <f t="array" ref="BP10">IFERROR(
SUM(_xlfn._xlws.FILTER(Table_DonBan[Doanh thu ròng],
(Table_DonBan[Ngày lập] &gt;=Pivot!$H$2)*
(Table_DonBan[Ngày lập] &lt;=Pivot!$H$3)
)),0)</f>
        <v>0</v>
      </c>
      <c r="BQ10" s="138" t="str">
        <f>IFERROR(TEXT(BP10,LOOKUP(BP10,Pivot!$B$6:$B$12,Pivot!$C$6:$C$12)),"")</f>
        <v/>
      </c>
      <c r="BR10" s="137" cm="1">
        <f t="array" ref="BR10">IFERROR(
ABS(BP10-
IFERROR(
SUM(_xlfn._xlws.FILTER(Table_DonBan[Doanh thu ròng],
(Table_DonBan[Ngày lập] &gt;=DATE(YEAR(Pivot!$H$2)-1, MONTH(Pivot!$H$2),DAY(Pivot!$H$2)))*
(Table_DonBan[Ngày lập] &lt;=DATE(YEAR(Pivot!$H$3)-1, MONTH(Pivot!$H$3),DAY(Pivot!$H$3)))
)),0)),0)</f>
        <v>0</v>
      </c>
      <c r="BS10" s="138" t="str">
        <f>IFERROR(TEXT(BR10,LOOKUP(BR10,Pivot!$B$6:$B$12,Pivot!$C$6:$C$12)),"")</f>
        <v/>
      </c>
      <c r="BT10" s="137" t="str" cm="1">
        <f t="array" ref="BT10">IF(IFERROR(BP10-
IFERROR(
SUM(_xlfn._xlws.FILTER(Table_DonBan[Doanh thu ròng],
(Table_DonBan[Ngày lập] &gt;=DATE(YEAR(Pivot!$H$2)-1, MONTH(Pivot!$H$2),DAY(Pivot!$H$2)))*
(Table_DonBan[Ngày lập] &lt;=DATE(YEAR(Pivot!$H$3)-1, MONTH(Pivot!$H$3),DAY(Pivot!$H$3)))
)),0),0)&gt;=0,"tăng","giảm")</f>
        <v>tăng</v>
      </c>
    </row>
    <row r="11" spans="2:72" ht="16.5" x14ac:dyDescent="0.3">
      <c r="B11" s="134"/>
      <c r="AR11" s="131" t="s">
        <v>932</v>
      </c>
      <c r="AS11" s="158" t="e">
        <f ca="1">VLOOKUP(Dashboard_ThiTruong_KhachHang[[#This Row],[Khách hàng]],_xlfn.ANCHORARRAY($BO$31):_xlfn.ANCHORARRAY($BV$31),8,0)</f>
        <v>#N/A</v>
      </c>
      <c r="AT11" s="158" t="e">
        <f ca="1">VLOOKUP(Dashboard_ThiTruong_KhachHang[[#This Row],[Khách hàng]],_xlfn.ANCHORARRAY($BO$31):_xlfn.ANCHORARRAY($BZ$31),12,0)</f>
        <v>#N/A</v>
      </c>
      <c r="AU11" s="158" t="e">
        <f ca="1">VLOOKUP(Dashboard_ThiTruong_KhachHang[[#This Row],[Khách hàng]],_xlfn.ANCHORARRAY($BO$31):_xlfn.ANCHORARRAY($CB$31),14,0)</f>
        <v>#N/A</v>
      </c>
      <c r="AV11" s="438" t="e" cm="1">
        <f t="array" aca="1" ref="AV11"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1" s="131" t="s">
        <v>989</v>
      </c>
      <c r="BG11" s="158" t="e">
        <f>VLOOKUP(Dashboard_ThiTruong_TinhThanh[[#This Row],[Tỉnh]],CS:CT,2,0)</f>
        <v>#N/A</v>
      </c>
      <c r="BO11" s="142" t="s">
        <v>124</v>
      </c>
      <c r="BP11" s="138"/>
      <c r="BQ11" s="138"/>
      <c r="BR11" s="138"/>
      <c r="BS11" s="138"/>
    </row>
    <row r="12" spans="2:72" ht="16.5" x14ac:dyDescent="0.3">
      <c r="B12" s="134"/>
      <c r="AR12" s="131" t="s">
        <v>933</v>
      </c>
      <c r="AS12" s="158" t="e">
        <f ca="1">VLOOKUP(Dashboard_ThiTruong_KhachHang[[#This Row],[Khách hàng]],_xlfn.ANCHORARRAY($BO$31):_xlfn.ANCHORARRAY($BV$31),8,0)</f>
        <v>#N/A</v>
      </c>
      <c r="AT12" s="158" t="e">
        <f ca="1">VLOOKUP(Dashboard_ThiTruong_KhachHang[[#This Row],[Khách hàng]],_xlfn.ANCHORARRAY($BO$31):_xlfn.ANCHORARRAY($BZ$31),12,0)</f>
        <v>#N/A</v>
      </c>
      <c r="AU12" s="158" t="e">
        <f ca="1">VLOOKUP(Dashboard_ThiTruong_KhachHang[[#This Row],[Khách hàng]],_xlfn.ANCHORARRAY($BO$31):_xlfn.ANCHORARRAY($CB$31),14,0)</f>
        <v>#N/A</v>
      </c>
      <c r="AV12" s="438" t="e" cm="1">
        <f t="array" aca="1" ref="AV12"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2" s="131" t="s">
        <v>990</v>
      </c>
      <c r="BG12" s="158" t="e">
        <f>VLOOKUP(Dashboard_ThiTruong_TinhThanh[[#This Row],[Tỉnh]],CS:CT,2,0)</f>
        <v>#N/A</v>
      </c>
      <c r="BO12" s="138"/>
      <c r="BP12" s="138"/>
      <c r="BQ12" s="138"/>
      <c r="BR12" s="138" cm="1">
        <f t="array" ref="BR12">IFERROR(
_xlfn.IFS(
($BO$13)=1,
IFERROR(ROWS(
_xlfn.UNIQUE(_xlfn._xlws.FILTER(Table_DonBan[Mã Khách],
(Table_DonBan[Ngày lập] &gt;=DATE(YEAR(Pivot!$H$2)-1,MONTH(Pivot!$H$2),DAY(Pivot!$H$2)))*
(Table_DonBan[Ngày lập] &lt;=DATE(YEAR(Pivot!$H$3)-1,MONTH(Pivot!$H$3),DAY(Pivot!$H$3)))
))),0),
($BO$13)=2,
IFERROR(
SUM(_xlfn._xlws.FILTER(Table_DonBan[Tiền hàng]-Table_DonBan[Giá trị CK],
(Table_DonBan[Ngày lập] &gt;=DATE(YEAR(Pivot!$H$2)-1,MONTH(Pivot!$H$2),DAY(Pivot!$H$2)))*
(Table_DonBan[Ngày lập] &lt;=DATE(YEAR(Pivot!$H$3)-1,MONTH(Pivot!$H$3),DAY(Pivot!$H$3)))
)),0),
($BO$13)=3,
IFERROR(
ROWS(_xlfn._xlws.FILTER(Table_DonBan[Mã Đơn bán],
(Table_DonBan[Ngày lập] &gt;=DATE(YEAR(Pivot!$H$2)-1,MONTH(Pivot!$H$2),DAY(Pivot!$H$2)))*
(Table_DonBan[Ngày lập] &lt;=DATE(YEAR(Pivot!$H$3)-1,MONTH(Pivot!$H$3),DAY(Pivot!$H$3)))
)),0)
),0)</f>
        <v>0</v>
      </c>
      <c r="BS12" s="138"/>
      <c r="BT12" s="137" t="str" cm="1">
        <f t="array" ref="BT12">_xlfn.IFS(
($BO$13)=1, "Số khách trong kỳ",
($BO$13)=2, "Doanh thu trong kỳ",
($BO$13)=3, "Đơn hàng trong kỳ")</f>
        <v>Doanh thu trong kỳ</v>
      </c>
    </row>
    <row r="13" spans="2:72" ht="16.5" x14ac:dyDescent="0.3">
      <c r="B13" s="134"/>
      <c r="AR13" s="131" t="s">
        <v>934</v>
      </c>
      <c r="AS13" s="158" t="e">
        <f ca="1">VLOOKUP(Dashboard_ThiTruong_KhachHang[[#This Row],[Khách hàng]],_xlfn.ANCHORARRAY($BO$31):_xlfn.ANCHORARRAY($BV$31),8,0)</f>
        <v>#N/A</v>
      </c>
      <c r="AT13" s="158" t="e">
        <f ca="1">VLOOKUP(Dashboard_ThiTruong_KhachHang[[#This Row],[Khách hàng]],_xlfn.ANCHORARRAY($BO$31):_xlfn.ANCHORARRAY($BZ$31),12,0)</f>
        <v>#N/A</v>
      </c>
      <c r="AU13" s="158" t="e">
        <f ca="1">VLOOKUP(Dashboard_ThiTruong_KhachHang[[#This Row],[Khách hàng]],_xlfn.ANCHORARRAY($BO$31):_xlfn.ANCHORARRAY($CB$31),14,0)</f>
        <v>#N/A</v>
      </c>
      <c r="AV13" s="438" t="e" cm="1">
        <f t="array" aca="1" ref="AV13"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3" s="131" t="s">
        <v>991</v>
      </c>
      <c r="BG13" s="158" t="e">
        <f>VLOOKUP(Dashboard_ThiTruong_TinhThanh[[#This Row],[Tỉnh]],CS:CT,2,0)</f>
        <v>#N/A</v>
      </c>
      <c r="BO13" s="138">
        <v>2</v>
      </c>
      <c r="BP13" s="166" cm="1">
        <f t="array" ref="BP13">IFERROR(
_xlfn.IFS(
($BO$13)=1,
IFERROR(ROWS(
_xlfn.UNIQUE(_xlfn._xlws.FILTER(Table_DonBan[Mã Khách],
(Table_DonBan[Ngày lập] &gt;=Pivot!$H$2)*
(Table_DonBan[Ngày lập] &lt;=Pivot!$H$3)
))),0),
($BO$13)=2,
IFERROR(
SUM(_xlfn._xlws.FILTER(Table_DonBan[Tiền hàng]-Table_DonBan[Giá trị CK],
(Table_DonBan[Ngày lập] &gt;=Pivot!$H$2)*
(Table_DonBan[Ngày lập] &lt;=Pivot!$H$3)
)),0),
($BO$13)=3,
IFERROR(
ROWS(_xlfn._xlws.FILTER(Table_DonBan[Mã Đơn bán],
(Table_DonBan[Ngày lập] &gt;=Pivot!$H$2)*
(Table_DonBan[Ngày lập] &lt;=Pivot!$H$3)
)),0)
),0)</f>
        <v>0</v>
      </c>
      <c r="BQ13" s="144"/>
      <c r="BR13" s="166" cm="1">
        <f t="array" ref="BR13">IFERROR(
_xlfn.IFS(
($BO$13)=1,
IFERROR(ROWS(
_xlfn.UNIQUE(_xlfn._xlws.FILTER(Table_DonBan[Mã Khách],
(Table_DonBan[STT đơn của khách]=1)*
(Table_DonBan[Ngày lập] &gt;=Pivot!$H$2)*
(Table_DonBan[Ngày lập] &lt;=Pivot!$H$3)
))),0),
($BO$13)=2,
IFERROR(
SUM(_xlfn._xlws.FILTER(Table_DonBan[Tiền hàng]-Table_DonBan[Giá trị CK],
(Table_DonBan[STT đơn của khách]=1)*
(Table_DonBan[Ngày lập] &gt;=Pivot!$H$2)*
(Table_DonBan[Ngày lập] &lt;=Pivot!$H$3)
)),0),
($BO$13)=3,
IFERROR(
ROWS(_xlfn._xlws.FILTER(Table_DonBan[Mã Đơn bán],
(Table_DonBan[STT đơn của khách]=1)*
(Table_DonBan[Ngày lập] &gt;=Pivot!$H$2)*
(Table_DonBan[Ngày lập] &lt;=Pivot!$H$3)
)),0)
),0)</f>
        <v>0</v>
      </c>
      <c r="BS13" s="138"/>
      <c r="BT13" s="139" t="e">
        <f>BR13/BP13</f>
        <v>#DIV/0!</v>
      </c>
    </row>
    <row r="14" spans="2:72" ht="16.5" x14ac:dyDescent="0.3">
      <c r="B14" s="134"/>
      <c r="AR14" s="131" t="s">
        <v>935</v>
      </c>
      <c r="AS14" s="158" t="e">
        <f ca="1">VLOOKUP(Dashboard_ThiTruong_KhachHang[[#This Row],[Khách hàng]],_xlfn.ANCHORARRAY($BO$31):_xlfn.ANCHORARRAY($BV$31),8,0)</f>
        <v>#N/A</v>
      </c>
      <c r="AT14" s="158" t="e">
        <f ca="1">VLOOKUP(Dashboard_ThiTruong_KhachHang[[#This Row],[Khách hàng]],_xlfn.ANCHORARRAY($BO$31):_xlfn.ANCHORARRAY($BZ$31),12,0)</f>
        <v>#N/A</v>
      </c>
      <c r="AU14" s="158" t="e">
        <f ca="1">VLOOKUP(Dashboard_ThiTruong_KhachHang[[#This Row],[Khách hàng]],_xlfn.ANCHORARRAY($BO$31):_xlfn.ANCHORARRAY($CB$31),14,0)</f>
        <v>#N/A</v>
      </c>
      <c r="AV14" s="438" t="e" cm="1">
        <f t="array" aca="1" ref="AV14"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4" s="131" t="s">
        <v>992</v>
      </c>
      <c r="BG14" s="158" t="e">
        <f>VLOOKUP(Dashboard_ThiTruong_TinhThanh[[#This Row],[Tỉnh]],CS:CT,2,0)</f>
        <v>#N/A</v>
      </c>
      <c r="BO14" s="138" t="s">
        <v>1</v>
      </c>
      <c r="BP14" s="138" t="s">
        <v>66</v>
      </c>
      <c r="BQ14" s="138" t="s">
        <v>22</v>
      </c>
      <c r="BR14" s="138" t="s">
        <v>182</v>
      </c>
      <c r="BS14" s="138" t="s">
        <v>22</v>
      </c>
    </row>
    <row r="15" spans="2:72" ht="16.5" x14ac:dyDescent="0.3">
      <c r="B15" s="134"/>
      <c r="BO15" s="138">
        <v>1</v>
      </c>
      <c r="BP15" s="138" cm="1">
        <f t="array" aca="1" ref="BP15" ca="1">IFERROR(
_xlfn.IFS(
($BO$13)=1,
IFERROR(ROWS(
_xlfn.UNIQUE(_xlfn._xlws.FILTER(Pivot_ThiTruong_MaKhach,
(NOT(ISBLANK(Pivot_ThiTruong_MaKhach)))*
(MONTH(Pivot_ThiTruong_Ngay)=BO15)
))),0),
($BO$13)=2,
IFERROR(SUM(
_xlfn._xlws.FILTER(Pivot_ThiTruong_DoanhThu,
(MONTH(Pivot_ThiTruong_Ngay)=BO15)
)),0),
($BO$13)=3,
IFERROR(ROWS(
_xlfn.UNIQUE(_xlfn._xlws.FILTER(Pivot_ThiTruong_MaDon,
(NOT(ISBLANK(Pivot_ThiTruong_MaDon)))*
(MONTH(Pivot_ThiTruong_Ngay)=BO15)
))),0)
),0)</f>
        <v>330700000</v>
      </c>
      <c r="BQ15" s="138" t="str">
        <f ca="1">IFERROR(TEXT(BP15,LOOKUP(BP15,Pivot!$B$6:$B$12,Pivot!$C$6:$C$12)),"")</f>
        <v>330.7tr</v>
      </c>
      <c r="BR15" s="138" cm="1">
        <f t="array" aca="1" ref="BR15" ca="1">IFERROR(
_xlfn.IFS(
($BO$13)=1,
IFERROR(ROWS(
_xlfn.UNIQUE(_xlfn._xlws.FILTER(Pivot_ThiTruong_MaKhach,
(NOT(ISBLANK(Pivot_ThiTruong_MaKhach)))*
(Pivot_ThiTruong_TtDon=1)*
(MONTH(Pivot_ThiTruong_Ngay)=BO15)
))),0),
($BO$13)=2,
IFERROR(
SUM(_xlfn._xlws.FILTER(Pivot_ThiTruong_DoanhThu,
(MONTH(Pivot_ThiTruong_Ngay)=BO15)
))/
ROWS(_xlfn.UNIQUE(_xlfn._xlws.FILTER(Pivot_ThiTruong_MaKhach,
(NOT(ISBLANK(Pivot_ThiTruong_MaKhach)))*
(MONTH(Pivot_ThiTruong_Ngay)=BO15)
))),0),
($BO$13)=3,
IFERROR(
ROWS(_xlfn.UNIQUE(_xlfn._xlws.FILTER(Pivot_ThiTruong_MaDon,
(NOT(ISBLANK(Pivot_ThiTruong_MaDon))*
(MONTH(Pivot_ThiTruong_Ngay)=BO15)
))))/
ROWS(_xlfn.UNIQUE(_xlfn._xlws.FILTER(Pivot_ThiTruong_MaKhach,
(NOT(ISBLANK(Pivot_ThiTruong_MaKhach)))*
(MONTH(Pivot_ThiTruong_Ngay)=BO15)
))),0)
),0)</f>
        <v>110233333.33333333</v>
      </c>
      <c r="BS15" s="138" t="str">
        <f ca="1">IFERROR(TEXT(BR15,LOOKUP(BR15,Pivot!$B$6:$B$12,Pivot!$C$6:$C$12)),"")</f>
        <v>110.2tr</v>
      </c>
      <c r="BT15" s="204"/>
    </row>
    <row r="16" spans="2:72" ht="16.5" x14ac:dyDescent="0.3">
      <c r="B16" s="134"/>
      <c r="BO16" s="138">
        <v>2</v>
      </c>
      <c r="BP16" s="138" cm="1">
        <f t="array" aca="1" ref="BP16" ca="1">IFERROR(
_xlfn.IFS(
($BO$13)=1,
IFERROR(ROWS(
_xlfn.UNIQUE(_xlfn._xlws.FILTER(Pivot_ThiTruong_MaKhach,
(NOT(ISBLANK(Pivot_ThiTruong_MaKhach)))*
(MONTH(Pivot_ThiTruong_Ngay)=BO16)
))),0),
($BO$13)=2,
IFERROR(SUM(
_xlfn._xlws.FILTER(Pivot_ThiTruong_DoanhThu,
(MONTH(Pivot_ThiTruong_Ngay)=BO16)
)),0),
($BO$13)=3,
IFERROR(ROWS(
_xlfn.UNIQUE(_xlfn._xlws.FILTER(Pivot_ThiTruong_MaDon,
(NOT(ISBLANK(Pivot_ThiTruong_MaDon)))*
(MONTH(Pivot_ThiTruong_Ngay)=BO16)
))),0)
),0)</f>
        <v>343900000</v>
      </c>
      <c r="BQ16" s="138" t="str">
        <f ca="1">IFERROR(TEXT(BP16,LOOKUP(BP16,Pivot!$B$6:$B$12,Pivot!$C$6:$C$12)),"")</f>
        <v>343.9tr</v>
      </c>
      <c r="BR16" s="138" cm="1">
        <f t="array" aca="1" ref="BR16" ca="1">IFERROR(
_xlfn.IFS(
($BO$13)=1,
IFERROR(ROWS(
_xlfn.UNIQUE(_xlfn._xlws.FILTER(Pivot_ThiTruong_MaKhach,
(NOT(ISBLANK(Pivot_ThiTruong_MaKhach)))*
(Pivot_ThiTruong_TtDon=1)*
(MONTH(Pivot_ThiTruong_Ngay)=BO16)
))),0),
($BO$13)=2,
IFERROR(
SUM(_xlfn._xlws.FILTER(Pivot_ThiTruong_DoanhThu,
(MONTH(Pivot_ThiTruong_Ngay)=BO16)
))/
ROWS(_xlfn.UNIQUE(_xlfn._xlws.FILTER(Pivot_ThiTruong_MaKhach,
(NOT(ISBLANK(Pivot_ThiTruong_MaKhach)))*
(MONTH(Pivot_ThiTruong_Ngay)=BO16)
))),0),
($BO$13)=3,
IFERROR(
ROWS(_xlfn.UNIQUE(_xlfn._xlws.FILTER(Pivot_ThiTruong_MaDon,
(NOT(ISBLANK(Pivot_ThiTruong_MaDon))*
(MONTH(Pivot_ThiTruong_Ngay)=BO16)
))))/
ROWS(_xlfn.UNIQUE(_xlfn._xlws.FILTER(Pivot_ThiTruong_MaKhach,
(NOT(ISBLANK(Pivot_ThiTruong_MaKhach)))*
(MONTH(Pivot_ThiTruong_Ngay)=BO16)
))),0)
),0)</f>
        <v>171950000</v>
      </c>
      <c r="BS16" s="138" t="str">
        <f ca="1">IFERROR(TEXT(BR16,LOOKUP(BR16,Pivot!$B$6:$B$12,Pivot!$C$6:$C$12)),"")</f>
        <v>172.0tr</v>
      </c>
      <c r="BT16" s="204"/>
    </row>
    <row r="17" spans="2:103" ht="16.5" x14ac:dyDescent="0.3">
      <c r="B17" s="134"/>
      <c r="BO17" s="138">
        <v>3</v>
      </c>
      <c r="BP17" s="138" cm="1">
        <f t="array" aca="1" ref="BP17" ca="1">IFERROR(
_xlfn.IFS(
($BO$13)=1,
IFERROR(ROWS(
_xlfn.UNIQUE(_xlfn._xlws.FILTER(Pivot_ThiTruong_MaKhach,
(NOT(ISBLANK(Pivot_ThiTruong_MaKhach)))*
(MONTH(Pivot_ThiTruong_Ngay)=BO17)
))),0),
($BO$13)=2,
IFERROR(SUM(
_xlfn._xlws.FILTER(Pivot_ThiTruong_DoanhThu,
(MONTH(Pivot_ThiTruong_Ngay)=BO17)
)),0),
($BO$13)=3,
IFERROR(ROWS(
_xlfn.UNIQUE(_xlfn._xlws.FILTER(Pivot_ThiTruong_MaDon,
(NOT(ISBLANK(Pivot_ThiTruong_MaDon)))*
(MONTH(Pivot_ThiTruong_Ngay)=BO17)
))),0)
),0)</f>
        <v>338900000</v>
      </c>
      <c r="BQ17" s="138" t="str">
        <f ca="1">IFERROR(TEXT(BP17,LOOKUP(BP17,Pivot!$B$6:$B$12,Pivot!$C$6:$C$12)),"")</f>
        <v>338.9tr</v>
      </c>
      <c r="BR17" s="138" cm="1">
        <f t="array" aca="1" ref="BR17" ca="1">IFERROR(
_xlfn.IFS(
($BO$13)=1,
IFERROR(ROWS(
_xlfn.UNIQUE(_xlfn._xlws.FILTER(Pivot_ThiTruong_MaKhach,
(NOT(ISBLANK(Pivot_ThiTruong_MaKhach)))*
(Pivot_ThiTruong_TtDon=1)*
(MONTH(Pivot_ThiTruong_Ngay)=BO17)
))),0),
($BO$13)=2,
IFERROR(
SUM(_xlfn._xlws.FILTER(Pivot_ThiTruong_DoanhThu,
(MONTH(Pivot_ThiTruong_Ngay)=BO17)
))/
ROWS(_xlfn.UNIQUE(_xlfn._xlws.FILTER(Pivot_ThiTruong_MaKhach,
(NOT(ISBLANK(Pivot_ThiTruong_MaKhach)))*
(MONTH(Pivot_ThiTruong_Ngay)=BO17)
))),0),
($BO$13)=3,
IFERROR(
ROWS(_xlfn.UNIQUE(_xlfn._xlws.FILTER(Pivot_ThiTruong_MaDon,
(NOT(ISBLANK(Pivot_ThiTruong_MaDon))*
(MONTH(Pivot_ThiTruong_Ngay)=BO17)
))))/
ROWS(_xlfn.UNIQUE(_xlfn._xlws.FILTER(Pivot_ThiTruong_MaKhach,
(NOT(ISBLANK(Pivot_ThiTruong_MaKhach)))*
(MONTH(Pivot_ThiTruong_Ngay)=BO17)
))),0)
),0)</f>
        <v>112966666.66666667</v>
      </c>
      <c r="BS17" s="138" t="str">
        <f ca="1">IFERROR(TEXT(BR17,LOOKUP(BR17,Pivot!$B$6:$B$12,Pivot!$C$6:$C$12)),"")</f>
        <v>113.0tr</v>
      </c>
      <c r="BT17" s="204"/>
    </row>
    <row r="18" spans="2:103" ht="16.5" x14ac:dyDescent="0.3">
      <c r="B18" s="134"/>
      <c r="BO18" s="138">
        <v>4</v>
      </c>
      <c r="BP18" s="138" cm="1">
        <f t="array" aca="1" ref="BP18" ca="1">IFERROR(
_xlfn.IFS(
($BO$13)=1,
IFERROR(ROWS(
_xlfn.UNIQUE(_xlfn._xlws.FILTER(Pivot_ThiTruong_MaKhach,
(NOT(ISBLANK(Pivot_ThiTruong_MaKhach)))*
(MONTH(Pivot_ThiTruong_Ngay)=BO18)
))),0),
($BO$13)=2,
IFERROR(SUM(
_xlfn._xlws.FILTER(Pivot_ThiTruong_DoanhThu,
(MONTH(Pivot_ThiTruong_Ngay)=BO18)
)),0),
($BO$13)=3,
IFERROR(ROWS(
_xlfn.UNIQUE(_xlfn._xlws.FILTER(Pivot_ThiTruong_MaDon,
(NOT(ISBLANK(Pivot_ThiTruong_MaDon)))*
(MONTH(Pivot_ThiTruong_Ngay)=BO18)
))),0)
),0)</f>
        <v>355100000</v>
      </c>
      <c r="BQ18" s="138" t="str">
        <f ca="1">IFERROR(TEXT(BP18,LOOKUP(BP18,Pivot!$B$6:$B$12,Pivot!$C$6:$C$12)),"")</f>
        <v>355.1tr</v>
      </c>
      <c r="BR18" s="138" cm="1">
        <f t="array" aca="1" ref="BR18" ca="1">IFERROR(
_xlfn.IFS(
($BO$13)=1,
IFERROR(ROWS(
_xlfn.UNIQUE(_xlfn._xlws.FILTER(Pivot_ThiTruong_MaKhach,
(NOT(ISBLANK(Pivot_ThiTruong_MaKhach)))*
(Pivot_ThiTruong_TtDon=1)*
(MONTH(Pivot_ThiTruong_Ngay)=BO18)
))),0),
($BO$13)=2,
IFERROR(
SUM(_xlfn._xlws.FILTER(Pivot_ThiTruong_DoanhThu,
(MONTH(Pivot_ThiTruong_Ngay)=BO18)
))/
ROWS(_xlfn.UNIQUE(_xlfn._xlws.FILTER(Pivot_ThiTruong_MaKhach,
(NOT(ISBLANK(Pivot_ThiTruong_MaKhach)))*
(MONTH(Pivot_ThiTruong_Ngay)=BO18)
))),0),
($BO$13)=3,
IFERROR(
ROWS(_xlfn.UNIQUE(_xlfn._xlws.FILTER(Pivot_ThiTruong_MaDon,
(NOT(ISBLANK(Pivot_ThiTruong_MaDon))*
(MONTH(Pivot_ThiTruong_Ngay)=BO18)
))))/
ROWS(_xlfn.UNIQUE(_xlfn._xlws.FILTER(Pivot_ThiTruong_MaKhach,
(NOT(ISBLANK(Pivot_ThiTruong_MaKhach)))*
(MONTH(Pivot_ThiTruong_Ngay)=BO18)
))),0)
),0)</f>
        <v>177550000</v>
      </c>
      <c r="BS18" s="138" t="str">
        <f ca="1">IFERROR(TEXT(BR18,LOOKUP(BR18,Pivot!$B$6:$B$12,Pivot!$C$6:$C$12)),"")</f>
        <v>177.6tr</v>
      </c>
      <c r="BT18" s="204"/>
    </row>
    <row r="19" spans="2:103" ht="16.5" x14ac:dyDescent="0.3">
      <c r="B19" s="134"/>
      <c r="BO19" s="138">
        <v>5</v>
      </c>
      <c r="BP19" s="138" cm="1">
        <f t="array" aca="1" ref="BP19" ca="1">IFERROR(
_xlfn.IFS(
($BO$13)=1,
IFERROR(ROWS(
_xlfn.UNIQUE(_xlfn._xlws.FILTER(Pivot_ThiTruong_MaKhach,
(NOT(ISBLANK(Pivot_ThiTruong_MaKhach)))*
(MONTH(Pivot_ThiTruong_Ngay)=BO19)
))),0),
($BO$13)=2,
IFERROR(SUM(
_xlfn._xlws.FILTER(Pivot_ThiTruong_DoanhThu,
(MONTH(Pivot_ThiTruong_Ngay)=BO19)
)),0),
($BO$13)=3,
IFERROR(ROWS(
_xlfn.UNIQUE(_xlfn._xlws.FILTER(Pivot_ThiTruong_MaDon,
(NOT(ISBLANK(Pivot_ThiTruong_MaDon)))*
(MONTH(Pivot_ThiTruong_Ngay)=BO19)
))),0)
),0)</f>
        <v>376400000</v>
      </c>
      <c r="BQ19" s="138" t="str">
        <f ca="1">IFERROR(TEXT(BP19,LOOKUP(BP19,Pivot!$B$6:$B$12,Pivot!$C$6:$C$12)),"")</f>
        <v>376.4tr</v>
      </c>
      <c r="BR19" s="138" cm="1">
        <f t="array" aca="1" ref="BR19" ca="1">IFERROR(
_xlfn.IFS(
($BO$13)=1,
IFERROR(ROWS(
_xlfn.UNIQUE(_xlfn._xlws.FILTER(Pivot_ThiTruong_MaKhach,
(NOT(ISBLANK(Pivot_ThiTruong_MaKhach)))*
(Pivot_ThiTruong_TtDon=1)*
(MONTH(Pivot_ThiTruong_Ngay)=BO19)
))),0),
($BO$13)=2,
IFERROR(
SUM(_xlfn._xlws.FILTER(Pivot_ThiTruong_DoanhThu,
(MONTH(Pivot_ThiTruong_Ngay)=BO19)
))/
ROWS(_xlfn.UNIQUE(_xlfn._xlws.FILTER(Pivot_ThiTruong_MaKhach,
(NOT(ISBLANK(Pivot_ThiTruong_MaKhach)))*
(MONTH(Pivot_ThiTruong_Ngay)=BO19)
))),0),
($BO$13)=3,
IFERROR(
ROWS(_xlfn.UNIQUE(_xlfn._xlws.FILTER(Pivot_ThiTruong_MaDon,
(NOT(ISBLANK(Pivot_ThiTruong_MaDon))*
(MONTH(Pivot_ThiTruong_Ngay)=BO19)
))))/
ROWS(_xlfn.UNIQUE(_xlfn._xlws.FILTER(Pivot_ThiTruong_MaKhach,
(NOT(ISBLANK(Pivot_ThiTruong_MaKhach)))*
(MONTH(Pivot_ThiTruong_Ngay)=BO19)
))),0)
),0)</f>
        <v>125466666.66666667</v>
      </c>
      <c r="BS19" s="138" t="str">
        <f ca="1">IFERROR(TEXT(BR19,LOOKUP(BR19,Pivot!$B$6:$B$12,Pivot!$C$6:$C$12)),"")</f>
        <v>125.5tr</v>
      </c>
      <c r="BT19" s="204"/>
    </row>
    <row r="20" spans="2:103" ht="16.5" x14ac:dyDescent="0.3">
      <c r="B20" s="134"/>
      <c r="BO20" s="138">
        <v>6</v>
      </c>
      <c r="BP20" s="138" cm="1">
        <f t="array" aca="1" ref="BP20" ca="1">IFERROR(
_xlfn.IFS(
($BO$13)=1,
IFERROR(ROWS(
_xlfn.UNIQUE(_xlfn._xlws.FILTER(Pivot_ThiTruong_MaKhach,
(NOT(ISBLANK(Pivot_ThiTruong_MaKhach)))*
(MONTH(Pivot_ThiTruong_Ngay)=BO20)
))),0),
($BO$13)=2,
IFERROR(SUM(
_xlfn._xlws.FILTER(Pivot_ThiTruong_DoanhThu,
(MONTH(Pivot_ThiTruong_Ngay)=BO20)
)),0),
($BO$13)=3,
IFERROR(ROWS(
_xlfn.UNIQUE(_xlfn._xlws.FILTER(Pivot_ThiTruong_MaDon,
(NOT(ISBLANK(Pivot_ThiTruong_MaDon)))*
(MONTH(Pivot_ThiTruong_Ngay)=BO20)
))),0)
),0)</f>
        <v>384600000</v>
      </c>
      <c r="BQ20" s="138" t="str">
        <f ca="1">IFERROR(TEXT(BP20,LOOKUP(BP20,Pivot!$B$6:$B$12,Pivot!$C$6:$C$12)),"")</f>
        <v>384.6tr</v>
      </c>
      <c r="BR20" s="138" cm="1">
        <f t="array" aca="1" ref="BR20" ca="1">IFERROR(
_xlfn.IFS(
($BO$13)=1,
IFERROR(ROWS(
_xlfn.UNIQUE(_xlfn._xlws.FILTER(Pivot_ThiTruong_MaKhach,
(NOT(ISBLANK(Pivot_ThiTruong_MaKhach)))*
(Pivot_ThiTruong_TtDon=1)*
(MONTH(Pivot_ThiTruong_Ngay)=BO20)
))),0),
($BO$13)=2,
IFERROR(
SUM(_xlfn._xlws.FILTER(Pivot_ThiTruong_DoanhThu,
(MONTH(Pivot_ThiTruong_Ngay)=BO20)
))/
ROWS(_xlfn.UNIQUE(_xlfn._xlws.FILTER(Pivot_ThiTruong_MaKhach,
(NOT(ISBLANK(Pivot_ThiTruong_MaKhach)))*
(MONTH(Pivot_ThiTruong_Ngay)=BO20)
))),0),
($BO$13)=3,
IFERROR(
ROWS(_xlfn.UNIQUE(_xlfn._xlws.FILTER(Pivot_ThiTruong_MaDon,
(NOT(ISBLANK(Pivot_ThiTruong_MaDon))*
(MONTH(Pivot_ThiTruong_Ngay)=BO20)
))))/
ROWS(_xlfn.UNIQUE(_xlfn._xlws.FILTER(Pivot_ThiTruong_MaKhach,
(NOT(ISBLANK(Pivot_ThiTruong_MaKhach)))*
(MONTH(Pivot_ThiTruong_Ngay)=BO20)
))),0)
),0)</f>
        <v>128200000</v>
      </c>
      <c r="BS20" s="138" t="str">
        <f ca="1">IFERROR(TEXT(BR20,LOOKUP(BR20,Pivot!$B$6:$B$12,Pivot!$C$6:$C$12)),"")</f>
        <v>128.2tr</v>
      </c>
      <c r="BT20" s="204"/>
    </row>
    <row r="21" spans="2:103" ht="16.5" x14ac:dyDescent="0.3">
      <c r="B21" s="134"/>
      <c r="BO21" s="138">
        <v>7</v>
      </c>
      <c r="BP21" s="138" cm="1">
        <f t="array" aca="1" ref="BP21" ca="1">IFERROR(
_xlfn.IFS(
($BO$13)=1,
IFERROR(ROWS(
_xlfn.UNIQUE(_xlfn._xlws.FILTER(Pivot_ThiTruong_MaKhach,
(NOT(ISBLANK(Pivot_ThiTruong_MaKhach)))*
(MONTH(Pivot_ThiTruong_Ngay)=BO21)
))),0),
($BO$13)=2,
IFERROR(SUM(
_xlfn._xlws.FILTER(Pivot_ThiTruong_DoanhThu,
(MONTH(Pivot_ThiTruong_Ngay)=BO21)
)),0),
($BO$13)=3,
IFERROR(ROWS(
_xlfn.UNIQUE(_xlfn._xlws.FILTER(Pivot_ThiTruong_MaDon,
(NOT(ISBLANK(Pivot_ThiTruong_MaDon)))*
(MONTH(Pivot_ThiTruong_Ngay)=BO21)
))),0)
),0)</f>
        <v>396900000</v>
      </c>
      <c r="BQ21" s="138" t="str">
        <f ca="1">IFERROR(TEXT(BP21,LOOKUP(BP21,Pivot!$B$6:$B$12,Pivot!$C$6:$C$12)),"")</f>
        <v>396.9tr</v>
      </c>
      <c r="BR21" s="138" cm="1">
        <f t="array" aca="1" ref="BR21" ca="1">IFERROR(
_xlfn.IFS(
($BO$13)=1,
IFERROR(ROWS(
_xlfn.UNIQUE(_xlfn._xlws.FILTER(Pivot_ThiTruong_MaKhach,
(NOT(ISBLANK(Pivot_ThiTruong_MaKhach)))*
(Pivot_ThiTruong_TtDon=1)*
(MONTH(Pivot_ThiTruong_Ngay)=BO21)
))),0),
($BO$13)=2,
IFERROR(
SUM(_xlfn._xlws.FILTER(Pivot_ThiTruong_DoanhThu,
(MONTH(Pivot_ThiTruong_Ngay)=BO21)
))/
ROWS(_xlfn.UNIQUE(_xlfn._xlws.FILTER(Pivot_ThiTruong_MaKhach,
(NOT(ISBLANK(Pivot_ThiTruong_MaKhach)))*
(MONTH(Pivot_ThiTruong_Ngay)=BO21)
))),0),
($BO$13)=3,
IFERROR(
ROWS(_xlfn.UNIQUE(_xlfn._xlws.FILTER(Pivot_ThiTruong_MaDon,
(NOT(ISBLANK(Pivot_ThiTruong_MaDon))*
(MONTH(Pivot_ThiTruong_Ngay)=BO21)
))))/
ROWS(_xlfn.UNIQUE(_xlfn._xlws.FILTER(Pivot_ThiTruong_MaKhach,
(NOT(ISBLANK(Pivot_ThiTruong_MaKhach)))*
(MONTH(Pivot_ThiTruong_Ngay)=BO21)
))),0)
),0)</f>
        <v>132300000</v>
      </c>
      <c r="BS21" s="138" t="str">
        <f ca="1">IFERROR(TEXT(BR21,LOOKUP(BR21,Pivot!$B$6:$B$12,Pivot!$C$6:$C$12)),"")</f>
        <v>132.3tr</v>
      </c>
      <c r="BT21" s="204"/>
    </row>
    <row r="22" spans="2:103" ht="16.5" x14ac:dyDescent="0.3">
      <c r="B22" s="134"/>
      <c r="BO22" s="138">
        <v>8</v>
      </c>
      <c r="BP22" s="138" cm="1">
        <f t="array" aca="1" ref="BP22" ca="1">IFERROR(
_xlfn.IFS(
($BO$13)=1,
IFERROR(ROWS(
_xlfn.UNIQUE(_xlfn._xlws.FILTER(Pivot_ThiTruong_MaKhach,
(NOT(ISBLANK(Pivot_ThiTruong_MaKhach)))*
(MONTH(Pivot_ThiTruong_Ngay)=BO22)
))),0),
($BO$13)=2,
IFERROR(SUM(
_xlfn._xlws.FILTER(Pivot_ThiTruong_DoanhThu,
(MONTH(Pivot_ThiTruong_Ngay)=BO22)
)),0),
($BO$13)=3,
IFERROR(ROWS(
_xlfn.UNIQUE(_xlfn._xlws.FILTER(Pivot_ThiTruong_MaDon,
(NOT(ISBLANK(Pivot_ThiTruong_MaDon)))*
(MONTH(Pivot_ThiTruong_Ngay)=BO22)
))),0)
),0)</f>
        <v>421000000</v>
      </c>
      <c r="BQ22" s="138" t="str">
        <f ca="1">IFERROR(TEXT(BP22,LOOKUP(BP22,Pivot!$B$6:$B$12,Pivot!$C$6:$C$12)),"")</f>
        <v>421.0tr</v>
      </c>
      <c r="BR22" s="138" cm="1">
        <f t="array" aca="1" ref="BR22" ca="1">IFERROR(
_xlfn.IFS(
($BO$13)=1,
IFERROR(ROWS(
_xlfn.UNIQUE(_xlfn._xlws.FILTER(Pivot_ThiTruong_MaKhach,
(NOT(ISBLANK(Pivot_ThiTruong_MaKhach)))*
(Pivot_ThiTruong_TtDon=1)*
(MONTH(Pivot_ThiTruong_Ngay)=BO22)
))),0),
($BO$13)=2,
IFERROR(
SUM(_xlfn._xlws.FILTER(Pivot_ThiTruong_DoanhThu,
(MONTH(Pivot_ThiTruong_Ngay)=BO22)
))/
ROWS(_xlfn.UNIQUE(_xlfn._xlws.FILTER(Pivot_ThiTruong_MaKhach,
(NOT(ISBLANK(Pivot_ThiTruong_MaKhach)))*
(MONTH(Pivot_ThiTruong_Ngay)=BO22)
))),0),
($BO$13)=3,
IFERROR(
ROWS(_xlfn.UNIQUE(_xlfn._xlws.FILTER(Pivot_ThiTruong_MaDon,
(NOT(ISBLANK(Pivot_ThiTruong_MaDon))*
(MONTH(Pivot_ThiTruong_Ngay)=BO22)
))))/
ROWS(_xlfn.UNIQUE(_xlfn._xlws.FILTER(Pivot_ThiTruong_MaKhach,
(NOT(ISBLANK(Pivot_ThiTruong_MaKhach)))*
(MONTH(Pivot_ThiTruong_Ngay)=BO22)
))),0)
),0)</f>
        <v>140333333.33333334</v>
      </c>
      <c r="BS22" s="138" t="str">
        <f ca="1">IFERROR(TEXT(BR22,LOOKUP(BR22,Pivot!$B$6:$B$12,Pivot!$C$6:$C$12)),"")</f>
        <v>140.3tr</v>
      </c>
      <c r="BT22" s="204"/>
    </row>
    <row r="23" spans="2:103" ht="16.5" x14ac:dyDescent="0.3">
      <c r="B23" s="134"/>
      <c r="BO23" s="138">
        <v>9</v>
      </c>
      <c r="BP23" s="138" cm="1">
        <f t="array" aca="1" ref="BP23" ca="1">IFERROR(
_xlfn.IFS(
($BO$13)=1,
IFERROR(ROWS(
_xlfn.UNIQUE(_xlfn._xlws.FILTER(Pivot_ThiTruong_MaKhach,
(NOT(ISBLANK(Pivot_ThiTruong_MaKhach)))*
(MONTH(Pivot_ThiTruong_Ngay)=BO23)
))),0),
($BO$13)=2,
IFERROR(SUM(
_xlfn._xlws.FILTER(Pivot_ThiTruong_DoanhThu,
(MONTH(Pivot_ThiTruong_Ngay)=BO23)
)),0),
($BO$13)=3,
IFERROR(ROWS(
_xlfn.UNIQUE(_xlfn._xlws.FILTER(Pivot_ThiTruong_MaDon,
(NOT(ISBLANK(Pivot_ThiTruong_MaDon)))*
(MONTH(Pivot_ThiTruong_Ngay)=BO23)
))),0)
),0)</f>
        <v>442700000</v>
      </c>
      <c r="BQ23" s="138" t="str">
        <f ca="1">IFERROR(TEXT(BP23,LOOKUP(BP23,Pivot!$B$6:$B$12,Pivot!$C$6:$C$12)),"")</f>
        <v>442.7tr</v>
      </c>
      <c r="BR23" s="138" cm="1">
        <f t="array" aca="1" ref="BR23" ca="1">IFERROR(
_xlfn.IFS(
($BO$13)=1,
IFERROR(ROWS(
_xlfn.UNIQUE(_xlfn._xlws.FILTER(Pivot_ThiTruong_MaKhach,
(NOT(ISBLANK(Pivot_ThiTruong_MaKhach)))*
(Pivot_ThiTruong_TtDon=1)*
(MONTH(Pivot_ThiTruong_Ngay)=BO23)
))),0),
($BO$13)=2,
IFERROR(
SUM(_xlfn._xlws.FILTER(Pivot_ThiTruong_DoanhThu,
(MONTH(Pivot_ThiTruong_Ngay)=BO23)
))/
ROWS(_xlfn.UNIQUE(_xlfn._xlws.FILTER(Pivot_ThiTruong_MaKhach,
(NOT(ISBLANK(Pivot_ThiTruong_MaKhach)))*
(MONTH(Pivot_ThiTruong_Ngay)=BO23)
))),0),
($BO$13)=3,
IFERROR(
ROWS(_xlfn.UNIQUE(_xlfn._xlws.FILTER(Pivot_ThiTruong_MaDon,
(NOT(ISBLANK(Pivot_ThiTruong_MaDon))*
(MONTH(Pivot_ThiTruong_Ngay)=BO23)
))))/
ROWS(_xlfn.UNIQUE(_xlfn._xlws.FILTER(Pivot_ThiTruong_MaKhach,
(NOT(ISBLANK(Pivot_ThiTruong_MaKhach)))*
(MONTH(Pivot_ThiTruong_Ngay)=BO23)
))),0)
),0)</f>
        <v>147566666.66666666</v>
      </c>
      <c r="BS23" s="138" t="str">
        <f ca="1">IFERROR(TEXT(BR23,LOOKUP(BR23,Pivot!$B$6:$B$12,Pivot!$C$6:$C$12)),"")</f>
        <v>147.6tr</v>
      </c>
      <c r="BT23" s="204"/>
    </row>
    <row r="24" spans="2:103" ht="16.5" x14ac:dyDescent="0.3">
      <c r="B24" s="134"/>
      <c r="BO24" s="138">
        <v>10</v>
      </c>
      <c r="BP24" s="138" cm="1">
        <f t="array" aca="1" ref="BP24" ca="1">IFERROR(
_xlfn.IFS(
($BO$13)=1,
IFERROR(ROWS(
_xlfn.UNIQUE(_xlfn._xlws.FILTER(Pivot_ThiTruong_MaKhach,
(NOT(ISBLANK(Pivot_ThiTruong_MaKhach)))*
(MONTH(Pivot_ThiTruong_Ngay)=BO24)
))),0),
($BO$13)=2,
IFERROR(SUM(
_xlfn._xlws.FILTER(Pivot_ThiTruong_DoanhThu,
(MONTH(Pivot_ThiTruong_Ngay)=BO24)
)),0),
($BO$13)=3,
IFERROR(ROWS(
_xlfn.UNIQUE(_xlfn._xlws.FILTER(Pivot_ThiTruong_MaDon,
(NOT(ISBLANK(Pivot_ThiTruong_MaDon)))*
(MONTH(Pivot_ThiTruong_Ngay)=BO24)
))),0)
),0)</f>
        <v>469300000</v>
      </c>
      <c r="BQ24" s="138" t="str">
        <f ca="1">IFERROR(TEXT(BP24,LOOKUP(BP24,Pivot!$B$6:$B$12,Pivot!$C$6:$C$12)),"")</f>
        <v>469.3tr</v>
      </c>
      <c r="BR24" s="138" cm="1">
        <f t="array" aca="1" ref="BR24" ca="1">IFERROR(
_xlfn.IFS(
($BO$13)=1,
IFERROR(ROWS(
_xlfn.UNIQUE(_xlfn._xlws.FILTER(Pivot_ThiTruong_MaKhach,
(NOT(ISBLANK(Pivot_ThiTruong_MaKhach)))*
(Pivot_ThiTruong_TtDon=1)*
(MONTH(Pivot_ThiTruong_Ngay)=BO24)
))),0),
($BO$13)=2,
IFERROR(
SUM(_xlfn._xlws.FILTER(Pivot_ThiTruong_DoanhThu,
(MONTH(Pivot_ThiTruong_Ngay)=BO24)
))/
ROWS(_xlfn.UNIQUE(_xlfn._xlws.FILTER(Pivot_ThiTruong_MaKhach,
(NOT(ISBLANK(Pivot_ThiTruong_MaKhach)))*
(MONTH(Pivot_ThiTruong_Ngay)=BO24)
))),0),
($BO$13)=3,
IFERROR(
ROWS(_xlfn.UNIQUE(_xlfn._xlws.FILTER(Pivot_ThiTruong_MaDon,
(NOT(ISBLANK(Pivot_ThiTruong_MaDon))*
(MONTH(Pivot_ThiTruong_Ngay)=BO24)
))))/
ROWS(_xlfn.UNIQUE(_xlfn._xlws.FILTER(Pivot_ThiTruong_MaKhach,
(NOT(ISBLANK(Pivot_ThiTruong_MaKhach)))*
(MONTH(Pivot_ThiTruong_Ngay)=BO24)
))),0)
),0)</f>
        <v>156433333.33333334</v>
      </c>
      <c r="BS24" s="138" t="str">
        <f ca="1">IFERROR(TEXT(BR24,LOOKUP(BR24,Pivot!$B$6:$B$12,Pivot!$C$6:$C$12)),"")</f>
        <v>156.4tr</v>
      </c>
      <c r="BT24" s="204"/>
    </row>
    <row r="25" spans="2:103" ht="16.5" x14ac:dyDescent="0.3">
      <c r="B25" s="134"/>
      <c r="BO25" s="138">
        <v>11</v>
      </c>
      <c r="BP25" s="138" cm="1">
        <f t="array" aca="1" ref="BP25" ca="1">IFERROR(
_xlfn.IFS(
($BO$13)=1,
IFERROR(ROWS(
_xlfn.UNIQUE(_xlfn._xlws.FILTER(Pivot_ThiTruong_MaKhach,
(NOT(ISBLANK(Pivot_ThiTruong_MaKhach)))*
(MONTH(Pivot_ThiTruong_Ngay)=BO25)
))),0),
($BO$13)=2,
IFERROR(SUM(
_xlfn._xlws.FILTER(Pivot_ThiTruong_DoanhThu,
(MONTH(Pivot_ThiTruong_Ngay)=BO25)
)),0),
($BO$13)=3,
IFERROR(ROWS(
_xlfn.UNIQUE(_xlfn._xlws.FILTER(Pivot_ThiTruong_MaDon,
(NOT(ISBLANK(Pivot_ThiTruong_MaDon)))*
(MONTH(Pivot_ThiTruong_Ngay)=BO25)
))),0)
),0)</f>
        <v>477200000</v>
      </c>
      <c r="BQ25" s="138" t="str">
        <f ca="1">IFERROR(TEXT(BP25,LOOKUP(BP25,Pivot!$B$6:$B$12,Pivot!$C$6:$C$12)),"")</f>
        <v>477.2tr</v>
      </c>
      <c r="BR25" s="138" cm="1">
        <f t="array" aca="1" ref="BR25" ca="1">IFERROR(
_xlfn.IFS(
($BO$13)=1,
IFERROR(ROWS(
_xlfn.UNIQUE(_xlfn._xlws.FILTER(Pivot_ThiTruong_MaKhach,
(NOT(ISBLANK(Pivot_ThiTruong_MaKhach)))*
(Pivot_ThiTruong_TtDon=1)*
(MONTH(Pivot_ThiTruong_Ngay)=BO25)
))),0),
($BO$13)=2,
IFERROR(
SUM(_xlfn._xlws.FILTER(Pivot_ThiTruong_DoanhThu,
(MONTH(Pivot_ThiTruong_Ngay)=BO25)
))/
ROWS(_xlfn.UNIQUE(_xlfn._xlws.FILTER(Pivot_ThiTruong_MaKhach,
(NOT(ISBLANK(Pivot_ThiTruong_MaKhach)))*
(MONTH(Pivot_ThiTruong_Ngay)=BO25)
))),0),
($BO$13)=3,
IFERROR(
ROWS(_xlfn.UNIQUE(_xlfn._xlws.FILTER(Pivot_ThiTruong_MaDon,
(NOT(ISBLANK(Pivot_ThiTruong_MaDon))*
(MONTH(Pivot_ThiTruong_Ngay)=BO25)
))))/
ROWS(_xlfn.UNIQUE(_xlfn._xlws.FILTER(Pivot_ThiTruong_MaKhach,
(NOT(ISBLANK(Pivot_ThiTruong_MaKhach)))*
(MONTH(Pivot_ThiTruong_Ngay)=BO25)
))),0)
),0)</f>
        <v>159066666.66666666</v>
      </c>
      <c r="BS25" s="138" t="str">
        <f ca="1">IFERROR(TEXT(BR25,LOOKUP(BR25,Pivot!$B$6:$B$12,Pivot!$C$6:$C$12)),"")</f>
        <v>159.1tr</v>
      </c>
      <c r="BT25" s="204"/>
    </row>
    <row r="26" spans="2:103" ht="16.5" x14ac:dyDescent="0.3">
      <c r="B26" s="134"/>
      <c r="BO26" s="138">
        <v>12</v>
      </c>
      <c r="BP26" s="138" cm="1">
        <f t="array" aca="1" ref="BP26" ca="1">IFERROR(
_xlfn.IFS(
($BO$13)=1,
IFERROR(ROWS(
_xlfn.UNIQUE(_xlfn._xlws.FILTER(Pivot_ThiTruong_MaKhach,
(NOT(ISBLANK(Pivot_ThiTruong_MaKhach)))*
(MONTH(Pivot_ThiTruong_Ngay)=BO26)
))),0),
($BO$13)=2,
IFERROR(SUM(
_xlfn._xlws.FILTER(Pivot_ThiTruong_DoanhThu,
(MONTH(Pivot_ThiTruong_Ngay)=BO26)
)),0),
($BO$13)=3,
IFERROR(ROWS(
_xlfn.UNIQUE(_xlfn._xlws.FILTER(Pivot_ThiTruong_MaDon,
(NOT(ISBLANK(Pivot_ThiTruong_MaDon)))*
(MONTH(Pivot_ThiTruong_Ngay)=BO26)
))),0)
),0)</f>
        <v>495800000</v>
      </c>
      <c r="BQ26" s="138" t="str">
        <f ca="1">IFERROR(TEXT(BP26,LOOKUP(BP26,Pivot!$B$6:$B$12,Pivot!$C$6:$C$12)),"")</f>
        <v>495.8tr</v>
      </c>
      <c r="BR26" s="138" cm="1">
        <f t="array" aca="1" ref="BR26" ca="1">IFERROR(
_xlfn.IFS(
($BO$13)=1,
IFERROR(ROWS(
_xlfn.UNIQUE(_xlfn._xlws.FILTER(Pivot_ThiTruong_MaKhach,
(NOT(ISBLANK(Pivot_ThiTruong_MaKhach)))*
(Pivot_ThiTruong_TtDon=1)*
(MONTH(Pivot_ThiTruong_Ngay)=BO26)
))),0),
($BO$13)=2,
IFERROR(
SUM(_xlfn._xlws.FILTER(Pivot_ThiTruong_DoanhThu,
(MONTH(Pivot_ThiTruong_Ngay)=BO26)
))/
ROWS(_xlfn.UNIQUE(_xlfn._xlws.FILTER(Pivot_ThiTruong_MaKhach,
(NOT(ISBLANK(Pivot_ThiTruong_MaKhach)))*
(MONTH(Pivot_ThiTruong_Ngay)=BO26)
))),0),
($BO$13)=3,
IFERROR(
ROWS(_xlfn.UNIQUE(_xlfn._xlws.FILTER(Pivot_ThiTruong_MaDon,
(NOT(ISBLANK(Pivot_ThiTruong_MaDon))*
(MONTH(Pivot_ThiTruong_Ngay)=BO26)
))))/
ROWS(_xlfn.UNIQUE(_xlfn._xlws.FILTER(Pivot_ThiTruong_MaKhach,
(NOT(ISBLANK(Pivot_ThiTruong_MaKhach)))*
(MONTH(Pivot_ThiTruong_Ngay)=BO26)
))),0)
),0)</f>
        <v>165266666.66666666</v>
      </c>
      <c r="BS26" s="138" t="str">
        <f ca="1">IFERROR(TEXT(BR26,LOOKUP(BR26,Pivot!$B$6:$B$12,Pivot!$C$6:$C$12)),"")</f>
        <v>165.3tr</v>
      </c>
      <c r="BT26" s="204"/>
    </row>
    <row r="27" spans="2:103" ht="16.5" x14ac:dyDescent="0.3">
      <c r="B27" s="134"/>
      <c r="BO27" s="204"/>
    </row>
    <row r="28" spans="2:103" ht="16.5" x14ac:dyDescent="0.3">
      <c r="B28" s="134"/>
      <c r="BO28" s="204"/>
    </row>
    <row r="29" spans="2:103" ht="16.5" x14ac:dyDescent="0.3">
      <c r="B29" s="134"/>
      <c r="BO29" s="204"/>
      <c r="CL29" s="137" t="str" cm="1">
        <f t="array" ref="CL29">_xlfn.IFS(
($BO$13) = 1,"Cấu trúc khách hàng",
($BO$13) = 2,"Cấu trúc doanh thu",
($BO$13) = 3,"Cấu trúc đơn hàng")</f>
        <v>Cấu trúc doanh thu</v>
      </c>
      <c r="CN29" s="137" t="str" cm="1">
        <f t="array" ref="CN29">_xlfn.IFS(
($BO$13) = 1,"Tỷ lệ khách mới (%) và tốc độ tăng lượng khách",
($BO$13) = 2,"Doanh thu / khách và tốc độ tăng doanh thu",
($BO$13) = 3,"Đơn hàng / khách và tốc độ tăng đơn hàng")</f>
        <v>Doanh thu / khách và tốc độ tăng doanh thu</v>
      </c>
      <c r="CS29" s="137" t="str" cm="1">
        <f t="array" ref="CS29">_xlfn.IFS(
($BO$13) = 1,"Số khách theo tỉnh thành",
($BO$13) = 2,"Doanh thu theo tỉnh thành",
($BO$13) = 3,"Đơn hàng theo tỉnh thành")</f>
        <v>Doanh thu theo tỉnh thành</v>
      </c>
    </row>
    <row r="30" spans="2:103" ht="16.5" x14ac:dyDescent="0.3">
      <c r="B30" s="134"/>
      <c r="BO30" s="140" t="s">
        <v>172</v>
      </c>
      <c r="BP30" s="137" t="s">
        <v>25</v>
      </c>
      <c r="BQ30" s="137" t="s">
        <v>183</v>
      </c>
      <c r="BR30" s="137" t="s">
        <v>177</v>
      </c>
      <c r="BS30" s="137" t="s">
        <v>184</v>
      </c>
      <c r="BT30" s="137" t="s">
        <v>185</v>
      </c>
      <c r="BU30" s="137" t="s">
        <v>186</v>
      </c>
      <c r="BV30" s="137" t="s">
        <v>33</v>
      </c>
      <c r="BW30" s="137" t="s">
        <v>187</v>
      </c>
      <c r="BX30" s="137" t="s">
        <v>188</v>
      </c>
      <c r="BY30" s="137" t="s">
        <v>189</v>
      </c>
      <c r="BZ30" s="137" t="s">
        <v>173</v>
      </c>
      <c r="CA30" s="137" t="s">
        <v>190</v>
      </c>
      <c r="CB30" s="137" t="s">
        <v>191</v>
      </c>
      <c r="CC30" s="137" t="s">
        <v>192</v>
      </c>
      <c r="CD30" s="137" t="s">
        <v>163</v>
      </c>
      <c r="CE30" s="137" t="s">
        <v>193</v>
      </c>
      <c r="CF30" s="137" t="s">
        <v>33</v>
      </c>
      <c r="CG30" s="137" t="s">
        <v>194</v>
      </c>
      <c r="CH30" s="137" t="s">
        <v>168</v>
      </c>
      <c r="CJ30" s="137" t="s">
        <v>25</v>
      </c>
      <c r="CK30" s="137" t="s">
        <v>21</v>
      </c>
      <c r="CL30" s="137" t="s">
        <v>22</v>
      </c>
      <c r="CM30" s="137" t="s">
        <v>156</v>
      </c>
      <c r="CN30" s="137" t="s">
        <v>22</v>
      </c>
      <c r="CO30" s="137" t="s">
        <v>71</v>
      </c>
      <c r="CP30" s="137" t="s">
        <v>195</v>
      </c>
      <c r="CQ30" s="137" t="s">
        <v>22</v>
      </c>
      <c r="CS30" s="137" t="s">
        <v>196</v>
      </c>
      <c r="CT30" s="137" t="s">
        <v>177</v>
      </c>
      <c r="CU30" s="137" t="s">
        <v>22</v>
      </c>
      <c r="CW30" s="137" t="s">
        <v>197</v>
      </c>
      <c r="CX30" s="137" t="s">
        <v>198</v>
      </c>
      <c r="CY30" s="137" t="s">
        <v>199</v>
      </c>
    </row>
    <row r="31" spans="2:103" ht="16.5" x14ac:dyDescent="0.3">
      <c r="B31" s="134"/>
      <c r="BO31" s="137" t="str" cm="1">
        <f t="array" ref="BO31:BO33">Table_KhachHang[Mã KH]</f>
        <v>KH3</v>
      </c>
      <c r="BP31" s="137" cm="1">
        <f t="array" ref="BP31:BP33">VLOOKUP(_xlfn.ANCHORARRAY(BO31),Table_KhachHang[Mã KH]:Table_KhachHang[Phân khúc],3,0)</f>
        <v>0</v>
      </c>
      <c r="BQ31" s="137" t="e" cm="1">
        <f t="array" ref="BQ31:BQ33">VLOOKUP(_xlfn.ANCHORARRAY(BO31),Table_KhachHang[Mã KH]:Table_KhachHang[Tỉnh],8,0)</f>
        <v>#REF!</v>
      </c>
      <c r="BR31" s="137" cm="1">
        <f t="array" aca="1" ref="BR31:BR33" ca="1">IFERROR(
_xlfn.IFS(
($BO$13)=1,
IFERROR(COUNTIFS(_xlfn.ANCHORARRAY(
BO31),_xlfn.ANCHORARRAY(BO31),_xlfn.ANCHORARRAY(
BW31),"&gt;0"
),0),
($BO$13)=2,
IFERROR(SUMIFS(
Pivot_ThiTruong_DoanhThu,
Pivot_ThiTruong_MaKhach,_xlfn.ANCHORARRAY(BO31)
),0),
($BO$13)=3,
IFERROR(COUNTIFS(
Pivot_ThiTruong_MaKhach,_xlfn.ANCHORARRAY(BO31)
),0)
),0)</f>
        <v>0</v>
      </c>
      <c r="BS31" s="145" cm="1">
        <f t="array" ref="BS31:BS33">IFERROR(_xlfn.MINIFS(
Table_DonBan[Ngày lập],
Table_DonBan[Mã Khách],_xlfn.ANCHORARRAY(BO31)
),"")</f>
        <v>45741</v>
      </c>
      <c r="BT31" s="137" cm="1">
        <f t="array" ref="BT31:BT33">IFERROR(COUNTIFS(_xlfn.ANCHORARRAY(
BO31),_xlfn.ANCHORARRAY(BO31),_xlfn.ANCHORARRAY(
BW31),"&gt;0"
),0)</f>
        <v>0</v>
      </c>
      <c r="BU31" s="137" cm="1">
        <f t="array" ref="BU31:BU33">IFERROR(COUNTIFS(_xlfn.ANCHORARRAY(
BO31),_xlfn.ANCHORARRAY(BO31),_xlfn.ANCHORARRAY(
BW31),"&gt;0",_xlfn.ANCHORARRAY(
BS31),"&gt;="&amp;Pivot!$H$2,_xlfn.ANCHORARRAY(
BS31),"&lt;="&amp;Pivot!$H$3
),0)</f>
        <v>0</v>
      </c>
      <c r="BV31" s="137" cm="1">
        <f t="array" aca="1" ref="BV31:BV33" ca="1">IFERROR(SUMIFS(
Pivot_ThiTruong_DoanhThu,
Pivot_ThiTruong_MaKhach,_xlfn.ANCHORARRAY( BO31)),0)</f>
        <v>0</v>
      </c>
      <c r="BW31" s="137" cm="1">
        <f t="array" ref="BW31:BW33">IFERROR(COUNTIFS(
Table_DonBan[Mã Khách],_xlfn.ANCHORARRAY( BO31),
Table_DonBan[Ngày lập],"&gt;="&amp;Pivot!$H$2,
Table_DonBan[Ngày lập],"&lt;="&amp;Pivot!$H$3),"")</f>
        <v>0</v>
      </c>
      <c r="BX31" s="137" cm="1">
        <f t="array" aca="1" ref="BX31:BX33" ca="1">IF(_xlfn.ANCHORARRAY(BR31)&gt;0,
SUMIF(Table_DonBan[Mã Khách],_xlfn.ANCHORARRAY(BO31),Table_DonBan[Doanh thu ròng]),0)</f>
        <v>0</v>
      </c>
      <c r="BY31" s="204" cm="1">
        <f t="array" ref="BY31:BY33">MAX(Table_DonBan[Ngày lập])-_xlfn.ANCHORARRAY(BS31)</f>
        <v>67</v>
      </c>
      <c r="BZ31" s="137" cm="1">
        <f t="array" aca="1" ref="BZ31:BZ33" ca="1">IF(_xlfn.ANCHORARRAY(BR31)&gt;0,
SUMIF(Table_DonBan[Mã Khách],_xlfn.ANCHORARRAY(BO31),Table_DonBan[Doanh thu ròng])/_xlfn.ANCHORARRAY( BY31),
0)</f>
        <v>0</v>
      </c>
      <c r="CA31" s="146" cm="1">
        <f t="array" ref="CA31:CA33">IFERROR(_xlfn.MAXIFS(
Table_DonBan[Ngày lập],
Table_DonBan[Mã Khách],_xlfn.ANCHORARRAY(BO31)
),"")</f>
        <v>45808</v>
      </c>
      <c r="CB31" s="204" cm="1">
        <f t="array" aca="1" ref="CB31:CB33" ca="1" xml:space="preserve">
IF(_xlfn.ANCHORARRAY(BR31)&gt;0,
MAX(Table_DonBan[Ngày lập])-_xlfn.ANCHORARRAY(CA31),
0)</f>
        <v>0</v>
      </c>
      <c r="CC31" s="204" cm="1">
        <f t="array" ref="CC31:CC33">IFERROR(COUNTIFS(
Table_DonBan[Mã Khách],_xlfn.ANCHORARRAY( BO31)),"")</f>
        <v>6</v>
      </c>
      <c r="CD31" s="140" cm="1">
        <f t="array" ref="CD31:CD33">_xlfn.ANCHORARRAY(BY31)/_xlfn.ANCHORARRAY(CC31)</f>
        <v>11.166666666666666</v>
      </c>
      <c r="CE31" s="137" cm="1">
        <f t="array" ref="CE31:CE33">IFERROR(COUNTIFS(_xlfn.ANCHORARRAY(
BO31),_xlfn.ANCHORARRAY(BO31),_xlfn.ANCHORARRAY(
CG31),"&gt;0"
),0)</f>
        <v>0</v>
      </c>
      <c r="CF31" s="137" cm="1">
        <f t="array" ref="CF31:CF33">IFERROR(SUMIFS(
Table_DonBan[Doanh thu ròng],
Table_DonBan[Mã Khách],_xlfn.ANCHORARRAY( BO31),
Table_DonBan[Ngày lập],"&gt;="&amp;DATE(YEAR(Pivot!$H$2)-1,MONTH(Pivot!$H$2),DAY(Pivot!$H$2)),
Table_DonBan[Ngày lập],"&lt;="&amp;DATE(YEAR(Pivot!$H$3)-1,MONTH(Pivot!$H$3),DAY(Pivot!$H$3))),0)</f>
        <v>0</v>
      </c>
      <c r="CG31" s="137" cm="1">
        <f t="array" ref="CG31:CG33">IFERROR(COUNTIFS(
Table_DonBan[Mã Khách],_xlfn.ANCHORARRAY( BO31),
Table_DonBan[Ngày lập],"&gt;="&amp;DATE(YEAR(Pivot!$H$2)-1,MONTH(Pivot!$H$2),DAY(Pivot!$H$2)),
Table_DonBan[Ngày lập],"&lt;="&amp;DATE(YEAR(Pivot!$H$3)-1,MONTH(Pivot!$H$3),DAY(Pivot!$H$3))),"")</f>
        <v>0</v>
      </c>
      <c r="CH31" s="137" cm="1">
        <f t="array" ref="CH31:CH33">VLOOKUP(_xlfn.ANCHORARRAY(BO31),Table_KhachHang[Mã KH]:Table_KhachHang[Dư nợ],9,0)</f>
        <v>-800000</v>
      </c>
      <c r="CJ31" s="137" cm="1">
        <f t="array" ref="CJ31">_xlfn.UNIQUE(_xlfn.ANCHORARRAY(BP31))</f>
        <v>0</v>
      </c>
      <c r="CK31" s="137" cm="1">
        <f t="array" aca="1" ref="CK31" ca="1">SUMIF(_xlfn.ANCHORARRAY(BP31),_xlfn.ANCHORARRAY(CJ31),_xlfn.ANCHORARRAY(BR31))</f>
        <v>0</v>
      </c>
      <c r="CL31" s="138" t="str" cm="1">
        <f t="array" aca="1" ref="CL31" ca="1">IFERROR(TEXT(_xlfn.ANCHORARRAY(CK31),LOOKUP(_xlfn.ANCHORARRAY(CK31),Pivot!$B$6:$B$12,Pivot!$C$6:$C$12)),"")</f>
        <v/>
      </c>
      <c r="CM31" s="204" cm="1">
        <f t="array" aca="1" ref="CM31" ca="1">IFERROR(
_xlfn.IFS(
($BO$13)=1,
IFERROR(
SUMIFS(_xlfn.ANCHORARRAY(BU31),_xlfn.ANCHORARRAY(BP31),_xlfn.ANCHORARRAY(CJ31))/
SUMIFS(_xlfn.ANCHORARRAY(BT31),_xlfn.ANCHORARRAY(BP31),_xlfn.ANCHORARRAY(CJ31)),0)
*100,
($BO$13)=2,
IFERROR(
SUMIFS(_xlfn.ANCHORARRAY(BV31),_xlfn.ANCHORARRAY(BP31),_xlfn.ANCHORARRAY(CJ31))/
SUMIFS(_xlfn.ANCHORARRAY(BT31),_xlfn.ANCHORARRAY(BP31),_xlfn.ANCHORARRAY(CJ31)),0),
($BO$13)=3,
IFERROR(
SUMIFS(_xlfn.ANCHORARRAY(BW31),_xlfn.ANCHORARRAY(BP31),_xlfn.ANCHORARRAY(CJ31))/
SUMIFS(_xlfn.ANCHORARRAY(BT31),_xlfn.ANCHORARRAY(BP31),_xlfn.ANCHORARRAY(CJ31)),0)),0)</f>
        <v>0</v>
      </c>
      <c r="CN31" s="138" t="str" cm="1">
        <f t="array" aca="1" ref="CN31" ca="1">IFERROR(TEXT(_xlfn.ANCHORARRAY(CM31),LOOKUP(_xlfn.ANCHORARRAY(CM31),Pivot!$B$6:$B$12,Pivot!$C$6:$C$12)),"")</f>
        <v/>
      </c>
      <c r="CO31" s="139" cm="1">
        <f t="array" aca="1" ref="CO31" ca="1">IFERROR(
_xlfn.IFS(
($BO$13)=1,
IFERROR(
SUMIFS(_xlfn.ANCHORARRAY(BT31),_xlfn.ANCHORARRAY(BP31),_xlfn.ANCHORARRAY(CJ31))/
SUMIFS(_xlfn.ANCHORARRAY(CE31),_xlfn.ANCHORARRAY(BP31),_xlfn.ANCHORARRAY(CJ31))-1,0),
($BO$13)=2,
IFERROR(
SUMIFS(_xlfn.ANCHORARRAY(BV31),_xlfn.ANCHORARRAY(BP31),_xlfn.ANCHORARRAY(CJ31))/
SUMIFS(_xlfn.ANCHORARRAY(CF31),_xlfn.ANCHORARRAY(BP31),_xlfn.ANCHORARRAY(CJ31))-1,0),
($BO$13)=3,
IFERROR(
SUMIFS(_xlfn.ANCHORARRAY(BW31),_xlfn.ANCHORARRAY(BP31),_xlfn.ANCHORARRAY(CJ31))/
SUMIFS(_xlfn.ANCHORARRAY(CG31),_xlfn.ANCHORARRAY(BP31),_xlfn.ANCHORARRAY(CJ31))-1,0)
),0)</f>
        <v>0</v>
      </c>
      <c r="CP31" s="137" t="str" cm="1">
        <f t="array" aca="1" ref="CP31" ca="1">IF(_xlfn.ANCHORARRAY(CM31)&gt;AVERAGE(_xlfn.ANCHORARRAY(CM31)),_xlfn.ANCHORARRAY(CM31),"")</f>
        <v/>
      </c>
      <c r="CQ31" s="138" t="str" cm="1">
        <f t="array" aca="1" ref="CQ31" ca="1">IFERROR(TEXT(_xlfn.ANCHORARRAY(CP31),LOOKUP(_xlfn.ANCHORARRAY(CP31),Pivot!$B$6:$B$12,Pivot!$C$6:$C$12)),"")</f>
        <v/>
      </c>
      <c r="CS31" s="137" cm="1">
        <f t="array" ref="CS31">_xlfn.UNIQUE(Table_KhachHang[Tỉnh])</f>
        <v>0</v>
      </c>
      <c r="CT31" s="137" cm="1">
        <f t="array" aca="1" ref="CT31" ca="1">SUMIF(_xlfn.ANCHORARRAY(BQ31),_xlfn.ANCHORARRAY(CS31),_xlfn.ANCHORARRAY(BR31))</f>
        <v>0</v>
      </c>
      <c r="CU31" s="138" t="str" cm="1">
        <f t="array" aca="1" ref="CU31" ca="1">IFERROR(TEXT(_xlfn.ANCHORARRAY(CT31),LOOKUP(_xlfn.ANCHORARRAY(CT31),Pivot!$B$6:$B$12,Pivot!$C$6:$C$12)),"")</f>
        <v/>
      </c>
      <c r="CW31" s="137" cm="1">
        <f t="array" ref="CW31">_xlfn.UNIQUE(Table_SKU[Nhóm 1])</f>
        <v>0</v>
      </c>
      <c r="CX31" s="137" cm="1">
        <f t="array" aca="1" ref="CX31" ca="1">IFERROR(SUMIFS(
PIvot_ThiTruong_SoLuongSP,
Pivot_ThiTruong_NhomSP,_xlfn.ANCHORARRAY(CW31)),0)</f>
        <v>0</v>
      </c>
      <c r="CY31" s="137" cm="1">
        <f t="array" aca="1" ref="CY31" ca="1">IFERROR(SUMIFS(
PIvot_ThiTruong_SoLuongSP,
Pivot_ThiTruong_NhomSP,_xlfn.ANCHORARRAY(CW31),
Pivot_ThiTruong_MaKhach,$AA$4),0)</f>
        <v>0</v>
      </c>
    </row>
    <row r="32" spans="2:103" ht="16.5" x14ac:dyDescent="0.3">
      <c r="B32" s="134"/>
      <c r="BO32" s="137" t="str">
        <v>KH2</v>
      </c>
      <c r="BP32" s="137">
        <v>0</v>
      </c>
      <c r="BQ32" s="137" t="e">
        <v>#REF!</v>
      </c>
      <c r="BR32" s="137">
        <f ca="1"/>
        <v>0</v>
      </c>
      <c r="BS32" s="137">
        <v>45729</v>
      </c>
      <c r="BT32" s="137">
        <v>0</v>
      </c>
      <c r="BU32" s="137">
        <v>0</v>
      </c>
      <c r="BV32" s="137">
        <f ca="1"/>
        <v>0</v>
      </c>
      <c r="BW32" s="137">
        <v>0</v>
      </c>
      <c r="BX32" s="137">
        <f ca="1"/>
        <v>0</v>
      </c>
      <c r="BY32" s="204">
        <v>79</v>
      </c>
      <c r="BZ32" s="137">
        <f ca="1"/>
        <v>0</v>
      </c>
      <c r="CA32" s="204">
        <v>45792</v>
      </c>
      <c r="CB32" s="204">
        <f ca="1"/>
        <v>0</v>
      </c>
      <c r="CC32" s="204">
        <v>10</v>
      </c>
      <c r="CD32" s="204">
        <v>7.9</v>
      </c>
      <c r="CE32" s="137">
        <v>0</v>
      </c>
      <c r="CF32" s="137">
        <v>0</v>
      </c>
      <c r="CG32" s="137">
        <v>0</v>
      </c>
      <c r="CH32" s="137">
        <v>300000</v>
      </c>
      <c r="CM32" s="204"/>
      <c r="CO32" s="139"/>
    </row>
    <row r="33" spans="2:86" ht="16.5" x14ac:dyDescent="0.3">
      <c r="B33" s="134"/>
      <c r="BO33" s="137" t="str">
        <v>KH1</v>
      </c>
      <c r="BP33" s="137">
        <v>0</v>
      </c>
      <c r="BQ33" s="137" t="e">
        <v>#REF!</v>
      </c>
      <c r="BR33" s="137">
        <f ca="1"/>
        <v>0</v>
      </c>
      <c r="BS33" s="137">
        <v>45736</v>
      </c>
      <c r="BT33" s="137">
        <v>0</v>
      </c>
      <c r="BU33" s="137">
        <v>0</v>
      </c>
      <c r="BV33" s="137">
        <f ca="1"/>
        <v>0</v>
      </c>
      <c r="BW33" s="137">
        <v>0</v>
      </c>
      <c r="BX33" s="137">
        <f ca="1"/>
        <v>0</v>
      </c>
      <c r="BY33" s="204">
        <v>72</v>
      </c>
      <c r="BZ33" s="137">
        <f ca="1"/>
        <v>0</v>
      </c>
      <c r="CA33" s="204">
        <v>45796</v>
      </c>
      <c r="CB33" s="204">
        <f ca="1"/>
        <v>0</v>
      </c>
      <c r="CC33" s="204">
        <v>8</v>
      </c>
      <c r="CD33" s="204">
        <v>9</v>
      </c>
      <c r="CE33" s="137">
        <v>0</v>
      </c>
      <c r="CF33" s="137">
        <v>0</v>
      </c>
      <c r="CG33" s="137">
        <v>0</v>
      </c>
      <c r="CH33" s="137">
        <v>400000</v>
      </c>
    </row>
    <row r="34" spans="2:86" ht="16.5" x14ac:dyDescent="0.3">
      <c r="B34" s="134"/>
      <c r="BY34" s="204"/>
      <c r="CA34" s="204"/>
      <c r="CB34" s="204"/>
      <c r="CC34" s="204"/>
      <c r="CD34" s="204"/>
    </row>
    <row r="35" spans="2:86" ht="16.5" x14ac:dyDescent="0.3">
      <c r="B35" s="134"/>
      <c r="BY35" s="204"/>
      <c r="CA35" s="204"/>
      <c r="CB35" s="204"/>
      <c r="CC35" s="204"/>
      <c r="CD35" s="204"/>
    </row>
    <row r="36" spans="2:86" ht="16.5" x14ac:dyDescent="0.3">
      <c r="B36" s="134"/>
      <c r="BY36" s="204"/>
      <c r="CA36" s="204"/>
      <c r="CB36" s="204"/>
      <c r="CC36" s="204"/>
      <c r="CD36" s="204"/>
    </row>
    <row r="37" spans="2:86" ht="16.5" x14ac:dyDescent="0.3">
      <c r="B37" s="134"/>
      <c r="BY37" s="204"/>
      <c r="CA37" s="204"/>
      <c r="CB37" s="204"/>
      <c r="CC37" s="204"/>
      <c r="CD37" s="204"/>
    </row>
    <row r="38" spans="2:86" ht="16.5" x14ac:dyDescent="0.3">
      <c r="B38" s="134"/>
    </row>
    <row r="39" spans="2:86" ht="16.5" x14ac:dyDescent="0.3">
      <c r="B39" s="134"/>
    </row>
    <row r="40" spans="2:86" ht="16.5" x14ac:dyDescent="0.3">
      <c r="B40" s="134"/>
    </row>
    <row r="41" spans="2:86" ht="16.5" x14ac:dyDescent="0.3">
      <c r="B41" s="134"/>
    </row>
    <row r="42" spans="2:86" ht="16.5" x14ac:dyDescent="0.3">
      <c r="B42" s="134"/>
    </row>
    <row r="43" spans="2:86" ht="16.5" x14ac:dyDescent="0.3">
      <c r="B43" s="134"/>
    </row>
    <row r="44" spans="2:86" ht="16.5" x14ac:dyDescent="0.3">
      <c r="B44" s="134"/>
    </row>
    <row r="45" spans="2:86" ht="16.5" x14ac:dyDescent="0.3">
      <c r="B45" s="134"/>
    </row>
    <row r="46" spans="2:86" ht="16.5" x14ac:dyDescent="0.3">
      <c r="B46" s="134"/>
    </row>
    <row r="47" spans="2:86" ht="16.5" x14ac:dyDescent="0.3">
      <c r="B47" s="134"/>
    </row>
    <row r="48" spans="2:86" ht="16.5" x14ac:dyDescent="0.3">
      <c r="B48" s="134"/>
    </row>
    <row r="49" spans="2:2" ht="16.5" x14ac:dyDescent="0.3">
      <c r="B49" s="134"/>
    </row>
    <row r="50" spans="2:2" ht="16.5" x14ac:dyDescent="0.3">
      <c r="B50" s="134"/>
    </row>
  </sheetData>
  <sheetProtection algorithmName="SHA-512" hashValue="aqjVC1K9ymOXzueLiypiwZLCN9sVvnlvP1SxD3QWGlSDaRLU8ptc/9ynLuj3hAvbrhBgGgyQa0u6IoMujYspRQ==" saltValue="tXUwG9HxkIa+Mca6LjhKWg==" spinCount="100000" sheet="1" scenarios="1" formatCells="0" formatColumns="0" formatRows="0" insertColumns="0" insertRows="0" deleteColumns="0" deleteRows="0" sort="0" autoFilter="0" pivotTables="0"/>
  <mergeCells count="1">
    <mergeCell ref="AA4:AC4"/>
  </mergeCells>
  <dataValidations disablePrompts="1" count="1">
    <dataValidation type="list" allowBlank="1" showInputMessage="1" showErrorMessage="1" sqref="AA4:AC4" xr:uid="{1AF2CE8A-5039-4782-840A-40B2395D4D49}">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11</xdr:col>
                    <xdr:colOff>581025</xdr:colOff>
                    <xdr:row>16</xdr:row>
                    <xdr:rowOff>9525</xdr:rowOff>
                  </from>
                  <to>
                    <xdr:col>13</xdr:col>
                    <xdr:colOff>295275</xdr:colOff>
                    <xdr:row>17</xdr:row>
                    <xdr:rowOff>9525</xdr:rowOff>
                  </to>
                </anchor>
              </controlPr>
            </control>
          </mc:Choice>
        </mc:AlternateContent>
      </controls>
    </mc:Choice>
  </mc:AlternateContent>
  <tableParts count="4">
    <tablePart r:id="rId7"/>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36825-C85E-474A-AE3E-837CE067A7D7}">
  <sheetPr codeName="Sheet48">
    <tabColor theme="9" tint="0.39997558519241921"/>
    <outlinePr summaryBelow="0" summaryRight="0"/>
  </sheetPr>
  <dimension ref="A1:DC58"/>
  <sheetViews>
    <sheetView showGridLines="0" topLeftCell="A10" zoomScaleNormal="100" workbookViewId="0">
      <selection activeCell="AJ20" sqref="AJ20"/>
    </sheetView>
  </sheetViews>
  <sheetFormatPr defaultRowHeight="18" customHeight="1" outlineLevelCol="1" x14ac:dyDescent="0.15"/>
  <cols>
    <col min="1" max="1" width="3" style="130" customWidth="1"/>
    <col min="2" max="2" width="8.875" style="131" customWidth="1"/>
    <col min="3" max="3" width="15.75" style="131" bestFit="1" customWidth="1"/>
    <col min="4" max="37" width="9" style="131"/>
    <col min="38" max="38" width="9" style="131" customWidth="1"/>
    <col min="39" max="43" width="9" style="131"/>
    <col min="44" max="45" width="11.5" style="131" customWidth="1"/>
    <col min="46" max="46" width="12.75" style="131" customWidth="1"/>
    <col min="47" max="47" width="11.5" style="131" customWidth="1"/>
    <col min="48" max="49" width="9" style="131"/>
    <col min="50" max="59" width="10.75" style="131" customWidth="1"/>
    <col min="60" max="64" width="10.75" style="135" customWidth="1"/>
    <col min="65" max="65" width="13.625" style="137" bestFit="1" customWidth="1"/>
    <col min="66" max="66" width="14.375" style="137" bestFit="1" customWidth="1"/>
    <col min="67" max="67" width="11.125" style="137" bestFit="1" customWidth="1"/>
    <col min="68" max="68" width="11.125" style="137" customWidth="1"/>
    <col min="69" max="69" width="11.625" style="137" bestFit="1" customWidth="1"/>
    <col min="70" max="70" width="11.375" style="137" customWidth="1"/>
    <col min="71" max="71" width="9" style="137" collapsed="1"/>
    <col min="72" max="76" width="9" style="137" hidden="1" customWidth="1" outlineLevel="1"/>
    <col min="77" max="79" width="11.125" style="137" hidden="1" customWidth="1" outlineLevel="1"/>
    <col min="80" max="80" width="11.125" style="137" customWidth="1" collapsed="1"/>
    <col min="81" max="88" width="9" style="137" hidden="1" customWidth="1" outlineLevel="1"/>
    <col min="89" max="89" width="9" style="137" customWidth="1" collapsed="1"/>
    <col min="90" max="92" width="9" style="137" hidden="1" customWidth="1" outlineLevel="1"/>
    <col min="93" max="100" width="9" style="137"/>
    <col min="101" max="107" width="9" style="135"/>
    <col min="108" max="16384" width="9" style="131"/>
  </cols>
  <sheetData>
    <row r="1" spans="2:71" ht="18" customHeight="1" x14ac:dyDescent="0.15">
      <c r="AJ1" s="135"/>
      <c r="AK1" s="135"/>
      <c r="AL1" s="135"/>
      <c r="AM1" s="135"/>
      <c r="AN1" s="135"/>
      <c r="AO1" s="135"/>
      <c r="AP1" s="137"/>
      <c r="AQ1" s="137" t="str" cm="1">
        <f t="array" aca="1" ref="AQ1:AS1" ca="1">TRANSPOSE(_xlfn._xlws.SORT(_xlfn.UNIQUE(Pivot_SanPham_SKU)))</f>
        <v>TP-Aa1-1</v>
      </c>
      <c r="AR1" s="137" t="str">
        <f ca="1"/>
        <v>TP-Bb2-2</v>
      </c>
      <c r="AS1" s="137" t="str">
        <f ca="1"/>
        <v>TP-Cc3-3</v>
      </c>
      <c r="AT1" s="137"/>
      <c r="AU1" s="137"/>
      <c r="AV1" s="137"/>
      <c r="AW1" s="137"/>
      <c r="AX1" s="137"/>
      <c r="AY1" s="137"/>
      <c r="AZ1" s="137"/>
      <c r="BA1" s="137"/>
      <c r="BB1" s="137"/>
      <c r="BC1" s="137"/>
      <c r="BD1" s="137"/>
      <c r="BE1" s="137"/>
      <c r="BF1" s="137"/>
      <c r="BG1" s="137"/>
    </row>
    <row r="2" spans="2:71" ht="18" customHeight="1" x14ac:dyDescent="0.15">
      <c r="AJ2" s="135"/>
      <c r="AK2" s="135"/>
      <c r="AL2" s="135"/>
      <c r="AM2" s="135"/>
      <c r="AN2" s="135"/>
      <c r="AO2" s="135"/>
      <c r="AP2" s="137"/>
      <c r="AQ2" s="137"/>
      <c r="AR2" s="137" t="s">
        <v>157</v>
      </c>
      <c r="AS2" s="137" t="s">
        <v>158</v>
      </c>
      <c r="AT2" s="137" t="s">
        <v>33</v>
      </c>
      <c r="AU2" s="137" t="s">
        <v>22</v>
      </c>
      <c r="AV2" s="137" t="s">
        <v>159</v>
      </c>
      <c r="AW2" s="137" t="s">
        <v>160</v>
      </c>
      <c r="AX2" s="137" t="s">
        <v>161</v>
      </c>
      <c r="AY2" s="137" t="s">
        <v>22</v>
      </c>
      <c r="AZ2" s="137" t="s">
        <v>162</v>
      </c>
      <c r="BA2" s="137" t="s">
        <v>160</v>
      </c>
      <c r="BB2" s="137" t="s">
        <v>200</v>
      </c>
      <c r="BC2" s="137" t="s">
        <v>164</v>
      </c>
      <c r="BD2" s="137" t="s">
        <v>160</v>
      </c>
      <c r="BE2" s="137" t="s">
        <v>17</v>
      </c>
      <c r="BF2" s="137" t="s">
        <v>201</v>
      </c>
      <c r="BG2" s="137"/>
    </row>
    <row r="3" spans="2:71" ht="18" customHeight="1" x14ac:dyDescent="0.15">
      <c r="AJ3" s="135"/>
      <c r="AK3" s="135"/>
      <c r="AL3" s="135"/>
      <c r="AM3" s="135"/>
      <c r="AN3" s="135"/>
      <c r="AO3" s="135"/>
      <c r="AP3" s="137"/>
      <c r="AQ3" s="137" t="str">
        <f>AA4</f>
        <v>TP-Cc3-3</v>
      </c>
      <c r="AR3" s="137" t="e">
        <f>IF(NOT(ISBLANK($AA$4)),
VLOOKUP($AQ$3,Table_SKU[Mã SKU]:Table_SKU[Mô tả],2,0),"")</f>
        <v>#N/A</v>
      </c>
      <c r="AS3" s="137" t="e">
        <f ca="1">IF(NOT(ISBLANK($AA$4)),
VLOOKUP($AQ$3,Dashboard_SanPham_SKU[[SKU]:[Nhóm khách]],5,0),"")</f>
        <v>#N/A</v>
      </c>
      <c r="AT3" s="137" t="e">
        <f ca="1">IF(NOT(ISBLANK($AA$4)),
VLOOKUP($AQ$3,_xlfn.ANCHORARRAY(BN31):_xlfn.ANCHORARRAY(BT31),7,0),"")</f>
        <v>#N/A</v>
      </c>
      <c r="AU3" s="138" t="str">
        <f ca="1">IFERROR(TEXT(AT3,LOOKUP(AT3,Pivot!$B$6:$B$12,Pivot!$C$6:$C$12)),"")</f>
        <v/>
      </c>
      <c r="AV3" s="137" t="e">
        <f ca="1">_xlfn.RANK.EQ(AT3,_xlfn.ANCHORARRAY(BT31),0)</f>
        <v>#N/A</v>
      </c>
      <c r="AW3" s="139" t="e" cm="1">
        <f t="array" aca="1" ref="AW3" ca="1">AV3/(COUNT(_xlfn._xlws.FILTER(Dashboard_SanPham_SKU[Doanh thu],Dashboard_SanPham_SKU[Doanh thu]&gt;0)))</f>
        <v>#N/A</v>
      </c>
      <c r="AX3" s="137" t="e">
        <f ca="1">IF(NOT(ISBLANK($AA$4)),
VLOOKUP($AQ$3,Dashboard_SanPham_SKU[[SKU]:[Doanh thu / ngày]],3,0),"")</f>
        <v>#N/A</v>
      </c>
      <c r="AY3" s="138" t="str">
        <f ca="1">IFERROR(TEXT(AX3,LOOKUP(AX3,Pivot!$B$6:$B$12,Pivot!$C$6:$C$12)),"")</f>
        <v/>
      </c>
      <c r="AZ3" s="137" t="e">
        <f ca="1">_xlfn.RANK.EQ(AX3,Dashboard_SanPham_SKU[Doanh thu / ngày],0)</f>
        <v>#N/A</v>
      </c>
      <c r="BA3" s="139" t="e" cm="1">
        <f t="array" aca="1" ref="BA3" ca="1">AZ3/(COUNT(_xlfn._xlws.FILTER(Dashboard_SanPham_SKU[Doanh thu],Dashboard_SanPham_SKU[Doanh thu]&gt;0)))</f>
        <v>#N/A</v>
      </c>
      <c r="BB3" s="140" t="e">
        <f ca="1">IF(NOT(ISBLANK($AA$4)),
VLOOKUP($AQ$3,_xlfn.ANCHORARRAY(BN31):_xlfn.ANCHORARRAY($CA$31),14,0),"")</f>
        <v>#N/A</v>
      </c>
      <c r="BC3" s="137" t="e">
        <f ca="1">_xlfn.RANK.EQ(BB3,_xlfn.ANCHORARRAY(CA31),0)</f>
        <v>#N/A</v>
      </c>
      <c r="BD3" s="139" t="e">
        <f ca="1">BC3/(COUNT(Dashboard_SanPham_SKU[Doanh thu]))</f>
        <v>#N/A</v>
      </c>
      <c r="BE3" s="137" cm="1">
        <f t="array" ref="BE3">IFERROR(SUM(
_xlfn._xlws.FILTER(Table_Main[Số lượng],
(Table_Main[Mã SKU] = $AA$4)*
(Table_Main[Loại] = "Nhập")*
(Table_Main[Ngày xuất nhập] &lt;=Pivot!$S$3)
)),0)
-IFERROR(SUM(
_xlfn._xlws.FILTER(Table_Main[Số lượng],
(Table_Main[Mã SKU] = $AA$4)*
(Table_Main[Loại] = "Xuất")*
(Table_Main[Ngày xuất nhập] &lt;=Pivot!$S$3)
)),0)</f>
        <v>0</v>
      </c>
      <c r="BF3" s="140" t="e">
        <f ca="1">BE3/BB3</f>
        <v>#N/A</v>
      </c>
      <c r="BG3" s="137"/>
    </row>
    <row r="4" spans="2:71" ht="18" customHeight="1" x14ac:dyDescent="0.15">
      <c r="AA4" s="556" t="s">
        <v>63</v>
      </c>
      <c r="AB4" s="556"/>
      <c r="AC4" s="556"/>
      <c r="AJ4" s="135"/>
      <c r="AK4" s="135"/>
      <c r="AL4" s="135"/>
      <c r="AM4" s="135"/>
      <c r="AN4" s="135"/>
      <c r="AO4" s="135"/>
      <c r="AP4" s="137"/>
      <c r="AQ4" s="137"/>
      <c r="AR4" s="137"/>
      <c r="AS4" s="137"/>
      <c r="AT4" s="137"/>
      <c r="AU4" s="137"/>
      <c r="AV4" s="137"/>
      <c r="AW4" s="137"/>
      <c r="AX4" s="137"/>
      <c r="AY4" s="137"/>
      <c r="AZ4" s="137"/>
      <c r="BA4" s="137"/>
      <c r="BB4" s="137"/>
      <c r="BC4" s="137"/>
      <c r="BD4" s="137"/>
      <c r="BE4" s="137"/>
      <c r="BF4" s="137"/>
      <c r="BG4" s="137"/>
    </row>
    <row r="5" spans="2:71" ht="16.5" x14ac:dyDescent="0.3">
      <c r="B5" s="134"/>
      <c r="AJ5" s="135"/>
      <c r="AK5" s="135"/>
      <c r="AL5" s="135"/>
      <c r="AM5" s="135"/>
      <c r="AN5" s="135"/>
      <c r="AO5" s="135"/>
      <c r="AP5" s="137"/>
      <c r="AQ5" s="137"/>
      <c r="AR5" s="137">
        <f ca="1">_xlfn.MINIFS(Dashboard_SanPham_SKU[Doanh thu / ngày],Dashboard_SanPham_SKU[Doanh thu / ngày],"&gt;0")</f>
        <v>0</v>
      </c>
      <c r="AS5" s="137">
        <f ca="1">_xlfn.MINIFS(Dashboard_SanPham_SKU[Số ngày chưa mua],Dashboard_SanPham_SKU[Số ngày chưa mua],"&gt;0")</f>
        <v>0</v>
      </c>
      <c r="AT5" s="137" t="e">
        <f ca="1">AVERAGEIF(Dashboard_SanPham_SKU[Doanh thu / ngày],"&gt;0",Dashboard_SanPham_SKU[Doanh thu / ngày])</f>
        <v>#DIV/0!</v>
      </c>
      <c r="AU5" s="137" t="e">
        <f ca="1">AVERAGEIF(Dashboard_SanPham_SKU[Số ngày chưa mua],"&gt;0",Dashboard_SanPham_SKU[Số ngày chưa mua])</f>
        <v>#DIV/0!</v>
      </c>
      <c r="AV5" s="137"/>
      <c r="AW5" s="137"/>
      <c r="AX5" s="137"/>
      <c r="AY5" s="137"/>
      <c r="AZ5" s="137"/>
      <c r="BA5" s="137"/>
      <c r="BB5" s="137"/>
      <c r="BC5" s="137"/>
      <c r="BD5" s="137"/>
      <c r="BE5" s="137"/>
      <c r="BF5" s="137"/>
      <c r="BG5" s="137"/>
      <c r="BN5" s="137" t="s">
        <v>21</v>
      </c>
      <c r="BO5" s="137" t="s">
        <v>21</v>
      </c>
      <c r="BP5" s="137" t="s">
        <v>22</v>
      </c>
      <c r="BQ5" s="137" t="s">
        <v>71</v>
      </c>
      <c r="BR5" s="137" t="s">
        <v>22</v>
      </c>
    </row>
    <row r="6" spans="2:71" ht="16.5" x14ac:dyDescent="0.3">
      <c r="B6" s="134"/>
      <c r="AJ6" s="135"/>
      <c r="AK6" s="135"/>
      <c r="AL6" s="135"/>
      <c r="AM6" s="135"/>
      <c r="AN6" s="135"/>
      <c r="AO6" s="135"/>
      <c r="AP6" s="137"/>
      <c r="AQ6" s="137"/>
      <c r="AR6" s="137" t="e">
        <f ca="1">MAX(Dashboard_SanPham_SKU[Doanh thu / ngày])</f>
        <v>#N/A</v>
      </c>
      <c r="AS6" s="137" t="e">
        <f ca="1">MAX(Dashboard_SanPham_SKU[Số ngày chưa mua])</f>
        <v>#N/A</v>
      </c>
      <c r="AT6" s="137" t="e">
        <f ca="1">AVERAGEIF(Dashboard_SanPham_SKU[Doanh thu / ngày],"&gt;0",Dashboard_SanPham_SKU[Doanh thu / ngày])</f>
        <v>#DIV/0!</v>
      </c>
      <c r="AU6" s="137" t="e">
        <f ca="1">AVERAGEIF(Dashboard_SanPham_SKU[Số ngày chưa mua],"&gt;0",Dashboard_SanPham_SKU[Số ngày chưa mua])</f>
        <v>#DIV/0!</v>
      </c>
      <c r="AV6" s="137"/>
      <c r="AW6" s="137"/>
      <c r="AX6" s="137"/>
      <c r="AY6" s="137"/>
      <c r="AZ6" s="137"/>
      <c r="BA6" s="137"/>
      <c r="BB6" s="137"/>
      <c r="BC6" s="137"/>
      <c r="BD6" s="137"/>
      <c r="BE6" s="137"/>
      <c r="BF6" s="137"/>
      <c r="BG6" s="137"/>
      <c r="BN6" s="137" t="s">
        <v>30</v>
      </c>
      <c r="BO6" s="137" cm="1">
        <f t="array" ref="BO6">IFERROR(SUM(
_xlfn._xlws.FILTER(Table_Main[Số lượng],
(NOT(ISBLANK(Table_Main[Đơn bán])))*
(Table_Main[Ngày lên đơn] &gt;=Pivot!$S$2)*
(Table_Main[Ngày lên đơn] &lt;=Pivot!$S$3)
)),0)</f>
        <v>0</v>
      </c>
      <c r="BP6" s="138" t="str">
        <f>IFERROR(TEXT(BO6,LOOKUP(BO6,Pivot!$B$6:$B$12,Pivot!$C$6:$C$12)),"")</f>
        <v/>
      </c>
      <c r="BQ6" s="137" t="e" cm="1" vm="1">
        <f t="array" ref="BQ6">ABS(BO6-SUM(
_xlfn._xlws.FILTER(Table_Main[Số lượng],
(NOT(ISBLANK(Table_Main[Đơn bán])))*
(Table_Main[Ngày lên đơn] &gt;=DATE(YEAR(Pivot!$S$2)-1,MONTH(Pivot!$S$2),1))*
(Table_Main[Ngày lên đơn] &lt;= DATE(YEAR(Pivot!$S$3)-1,MONTH(Pivot!$S$3),1))
)))</f>
        <v>#VALUE!</v>
      </c>
      <c r="BR6" s="138" t="str">
        <f>IFERROR(TEXT(BQ6,LOOKUP(BQ6,Pivot!$B$6:$B$12,Pivot!$C$6:$C$12)),"")</f>
        <v/>
      </c>
      <c r="BS6" s="137" t="str" cm="1">
        <f t="array" ref="BS6">IFERROR(IF(BO6-SUM(
_xlfn._xlws.FILTER(Table_Main[Số lượng],
(NOT(ISBLANK(Table_Main[Đơn bán])))*
(Table_Main[Ngày lên đơn] &gt;=DATE(YEAR(Pivot!$S$2)-1,MONTH(Pivot!$S$2),1))*
(Table_Main[Ngày lên đơn] &lt;= DATE(YEAR(Pivot!$S$3)-1,MONTH(Pivot!$S$3),1))
)),"tăng","giảm"),"")</f>
        <v/>
      </c>
    </row>
    <row r="7" spans="2:71" ht="16.5" x14ac:dyDescent="0.3">
      <c r="B7" s="134"/>
      <c r="AR7" s="135" t="s">
        <v>47</v>
      </c>
      <c r="AS7" s="135" t="s">
        <v>33</v>
      </c>
      <c r="AT7" s="135" t="s">
        <v>173</v>
      </c>
      <c r="AU7" s="135" t="s">
        <v>174</v>
      </c>
      <c r="AV7" s="135" t="s">
        <v>175</v>
      </c>
      <c r="AY7" s="135" t="s">
        <v>25</v>
      </c>
      <c r="AZ7" s="135" t="s">
        <v>21</v>
      </c>
      <c r="BA7" s="135" t="s">
        <v>156</v>
      </c>
      <c r="BB7" s="135" t="s">
        <v>71</v>
      </c>
      <c r="BC7" s="135" t="s">
        <v>176</v>
      </c>
      <c r="BD7" s="135"/>
      <c r="BE7" s="135"/>
      <c r="BF7" s="135" t="s">
        <v>26</v>
      </c>
      <c r="BG7" s="135" t="s">
        <v>177</v>
      </c>
      <c r="BJ7" s="135" t="s">
        <v>25</v>
      </c>
      <c r="BK7" s="135" t="s">
        <v>21</v>
      </c>
      <c r="BL7" s="135" t="s">
        <v>178</v>
      </c>
      <c r="BN7" s="137" t="s">
        <v>202</v>
      </c>
      <c r="BO7" s="204">
        <f>IFERROR(BO6/
(Pivot!$S$3-Pivot!$S$2+1),0)</f>
        <v>0</v>
      </c>
      <c r="BP7" s="138" t="str">
        <f>IFERROR(TEXT(BO7,LOOKUP(BO7,Pivot!$B$6:$B$12,Pivot!$C$6:$C$12)),"")</f>
        <v/>
      </c>
      <c r="BQ7" s="204">
        <f>IFERROR(BQ6/
(Pivot!$S$3-Pivot!$S$2+1),0)</f>
        <v>0</v>
      </c>
      <c r="BR7" s="138" t="str">
        <f>IFERROR(TEXT(BQ7,LOOKUP(BQ7,Pivot!$B$6:$B$12,Pivot!$C$6:$C$12)),"")</f>
        <v/>
      </c>
      <c r="BS7" s="137" t="str">
        <f>BS6</f>
        <v/>
      </c>
    </row>
    <row r="8" spans="2:71" ht="16.5" x14ac:dyDescent="0.3">
      <c r="B8" s="134"/>
      <c r="AQ8" s="131" t="str" cm="1">
        <f t="array" ref="AQ8:AQ10">Table_SKU[Mã SKU]</f>
        <v>TP2</v>
      </c>
      <c r="AR8" s="131" t="s">
        <v>52</v>
      </c>
      <c r="AS8" s="203" t="e">
        <f ca="1">VLOOKUP(Dashboard_SanPham_SKU[[#This Row],[SKU]],_xlfn.ANCHORARRAY($BN$31):_xlfn.ANCHORARRAY($BS$31),6,0)</f>
        <v>#N/A</v>
      </c>
      <c r="AT8" s="203" t="e">
        <f ca="1">VLOOKUP(Dashboard_SanPham_SKU[[#This Row],[SKU]],_xlfn.ANCHORARRAY($BN$31):_xlfn.ANCHORARRAY($BV$31),9,0)</f>
        <v>#N/A</v>
      </c>
      <c r="AU8" s="203" t="e">
        <f ca="1">VLOOKUP(Dashboard_SanPham_SKU[[#This Row],[SKU]],_xlfn.ANCHORARRAY($BN$31):_xlfn.ANCHORARRAY($BX$31),11,0)</f>
        <v>#N/A</v>
      </c>
      <c r="AV8" s="157" t="e" cm="1">
        <f t="array" aca="1" ref="AV8"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X8" s="133" cm="1">
        <f t="array" ref="AX8">_xlfn.UNIQUE(Table_SKU[Nhóm 1])</f>
        <v>0</v>
      </c>
      <c r="AY8" s="133" t="s">
        <v>29</v>
      </c>
      <c r="AZ8" s="158">
        <f ca="1">VLOOKUP(Dashboard_SanPham_Nhom[[#This Row],[Phân khúc]],_xlfn.ANCHORARRAY($CC$31):_xlfn.ANCHORARRAY($CD$31),2,0)</f>
        <v>554500000</v>
      </c>
      <c r="BA8" s="158">
        <f ca="1">VLOOKUP(Dashboard_SanPham_Nhom[[#This Row],[Phân khúc]],_xlfn.ANCHORARRAY($CC$31):_xlfn.ANCHORARRAY($CF$31),4,0)</f>
        <v>3046703.2967032967</v>
      </c>
      <c r="BB8" s="159">
        <f ca="1">VLOOKUP(Dashboard_SanPham_Nhom[[#This Row],[Phân khúc]],_xlfn.ANCHORARRAY($CC$31):_xlfn.ANCHORARRAY($CH$31),6,0)</f>
        <v>0</v>
      </c>
      <c r="BC8" s="157" t="str">
        <f ca="1">VLOOKUP(Dashboard_SanPham_Nhom[[#This Row],[Phân khúc]],_xlfn.ANCHORARRAY($CC$31):_xlfn.ANCHORARRAY($CI$31),7,0)</f>
        <v/>
      </c>
      <c r="BD8" s="133"/>
      <c r="BE8" s="133" cm="1">
        <f t="array" ref="BE8">_xlfn.UNIQUE(Table_KhachHang[Tỉnh])</f>
        <v>0</v>
      </c>
      <c r="BF8" s="133" t="s">
        <v>986</v>
      </c>
      <c r="BG8" s="203" t="e">
        <f ca="1">VLOOKUP(Dashboard_SanPham_TinhThanh[[#This Row],[Tỉnh]],_xlfn.ANCHORARRAY($CL$31):_xlfn.ANCHORARRAY($CM$31),2,0)</f>
        <v>#N/A</v>
      </c>
      <c r="BH8" s="147"/>
      <c r="BI8" s="147" cm="1">
        <f t="array" ref="BI8">_xlfn.UNIQUE(Table_KhachHang[Phân khúc])</f>
        <v>0</v>
      </c>
      <c r="BJ8" s="147" t="s">
        <v>995</v>
      </c>
      <c r="BK8" s="203" cm="1">
        <f t="array" aca="1" ref="BK8"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217890000</v>
      </c>
      <c r="BL8" s="159">
        <f ca="1">Dashboard_SanPham_PhanKhuc[[#This Row],[Giá trị]]/SUM(Dashboard_SanPham_PhanKhuc[Giá trị])</f>
        <v>0.39294860234445445</v>
      </c>
      <c r="BN8" s="137" t="s">
        <v>33</v>
      </c>
      <c r="BO8" s="137" cm="1">
        <f t="array" ref="BO8">IFERROR(SUM(
_xlfn._xlws.FILTER(Table_Main[Giá trị bán trước VAT],
(NOT(ISBLANK(Table_Main[Đơn bán])))*
(Table_Main[Ngày lên đơn] &gt;=Pivot!$S$2)*
(Table_Main[Ngày lên đơn] &lt;=Pivot!$S$3)
)),0)</f>
        <v>0</v>
      </c>
      <c r="BP8" s="138" t="str">
        <f>IFERROR(TEXT(BO8,LOOKUP(BO8,Pivot!$B$6:$B$12,Pivot!$C$6:$C$12)),"")</f>
        <v/>
      </c>
      <c r="BQ8" s="137" t="e" cm="1" vm="1">
        <f t="array" ref="BQ8">ABS(BO8-SUM(
_xlfn._xlws.FILTER(Table_Main[Giá trị bán trước VAT],
(NOT(ISBLANK(Table_Main[Đơn bán])))*
(Table_Main[Ngày lên đơn] &gt;=DATE(YEAR(Pivot!$S$2)-1,MONTH(Pivot!$S$2),1))*
(Table_Main[Ngày lên đơn] &lt;= DATE(YEAR(Pivot!$S$3)-1,MONTH(Pivot!$S$3),1))
)))</f>
        <v>#VALUE!</v>
      </c>
      <c r="BR8" s="138" t="str">
        <f>IFERROR(TEXT(BQ8,LOOKUP(BQ8,Pivot!$B$6:$B$12,Pivot!$C$6:$C$12)),"")</f>
        <v/>
      </c>
      <c r="BS8" s="137" t="e" cm="1" vm="1">
        <f t="array" ref="BS8">IF(BO8-SUM(
_xlfn._xlws.FILTER(Table_Main[Giá trị bán trước VAT],
(NOT(ISBLANK(Table_Main[Đơn bán])))*
(Table_Main[Ngày lên đơn] &gt;=DATE(YEAR(Pivot!$S$2)-1,MONTH(Pivot!$S$2),1))*
(Table_Main[Ngày lên đơn] &lt;= DATE(YEAR(Pivot!$S$3)-1,MONTH(Pivot!$S$3),1))
))&gt;0,"tăng","giảm")</f>
        <v>#VALUE!</v>
      </c>
    </row>
    <row r="9" spans="2:71" ht="16.5" x14ac:dyDescent="0.3">
      <c r="B9" s="134"/>
      <c r="AQ9" s="131" t="str">
        <v>TP1</v>
      </c>
      <c r="AR9" s="131" t="s">
        <v>59</v>
      </c>
      <c r="AS9" s="203" t="e">
        <f ca="1">VLOOKUP(Dashboard_SanPham_SKU[[#This Row],[SKU]],_xlfn.ANCHORARRAY($BN$31):_xlfn.ANCHORARRAY($BS$31),6,0)</f>
        <v>#N/A</v>
      </c>
      <c r="AT9" s="203" t="e">
        <f ca="1">VLOOKUP(Dashboard_SanPham_SKU[[#This Row],[SKU]],_xlfn.ANCHORARRAY($BN$31):_xlfn.ANCHORARRAY($BV$31),9,0)</f>
        <v>#N/A</v>
      </c>
      <c r="AU9" s="203" t="e">
        <f ca="1">VLOOKUP(Dashboard_SanPham_SKU[[#This Row],[SKU]],_xlfn.ANCHORARRAY($BN$31):_xlfn.ANCHORARRAY($BX$31),11,0)</f>
        <v>#N/A</v>
      </c>
      <c r="AV9" s="157" t="e" cm="1">
        <f t="array" aca="1" ref="AV9"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9" s="131" t="s">
        <v>58</v>
      </c>
      <c r="AZ9" s="158">
        <f ca="1">VLOOKUP(Dashboard_SanPham_Nhom[[#This Row],[Phân khúc]],_xlfn.ANCHORARRAY($CC$31):_xlfn.ANCHORARRAY($CD$31),2,0)</f>
        <v>601365000</v>
      </c>
      <c r="BA9" s="158">
        <f ca="1">VLOOKUP(Dashboard_SanPham_Nhom[[#This Row],[Phân khúc]],_xlfn.ANCHORARRAY($CC$31):_xlfn.ANCHORARRAY($CF$31),4,0)</f>
        <v>3304203.2967032967</v>
      </c>
      <c r="BB9" s="439">
        <f ca="1">VLOOKUP(Dashboard_SanPham_Nhom[[#This Row],[Phân khúc]],_xlfn.ANCHORARRAY($CC$31):_xlfn.ANCHORARRAY($CH$31),6,0)</f>
        <v>0</v>
      </c>
      <c r="BC9" s="438" t="str">
        <f ca="1">VLOOKUP(Dashboard_SanPham_Nhom[[#This Row],[Phân khúc]],_xlfn.ANCHORARRAY($CC$31):_xlfn.ANCHORARRAY($CI$31),7,0)</f>
        <v/>
      </c>
      <c r="BD9" s="133"/>
      <c r="BE9" s="133"/>
      <c r="BF9" s="131" t="s">
        <v>987</v>
      </c>
      <c r="BG9" s="158" t="e">
        <f ca="1">VLOOKUP(Dashboard_SanPham_TinhThanh[[#This Row],[Tỉnh]],_xlfn.ANCHORARRAY($CL$31):_xlfn.ANCHORARRAY($CM$31),2,0)</f>
        <v>#N/A</v>
      </c>
      <c r="BH9" s="147"/>
      <c r="BI9" s="147"/>
      <c r="BJ9" s="147" t="s">
        <v>996</v>
      </c>
      <c r="BK9" s="158" cm="1">
        <f t="array" aca="1" ref="BK9"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336610000</v>
      </c>
      <c r="BL9" s="158">
        <f ca="1">Dashboard_SanPham_PhanKhuc[[#This Row],[Giá trị]]/SUM(Dashboard_SanPham_PhanKhuc[Giá trị])</f>
        <v>0.6070513976555455</v>
      </c>
      <c r="BN9" s="137" t="s">
        <v>203</v>
      </c>
      <c r="BO9" s="204">
        <f>IFERROR(BO8/
(Pivot!$S$3-Pivot!$S$2+1),0)</f>
        <v>0</v>
      </c>
      <c r="BP9" s="138" t="str">
        <f>IFERROR(TEXT(BO9,LOOKUP(BO9,Pivot!$B$6:$B$12,Pivot!$C$6:$C$12)),"")</f>
        <v/>
      </c>
      <c r="BQ9" s="204">
        <f>IFERROR(BQ8/
(Pivot!$S$3-Pivot!$S$2+1),0)</f>
        <v>0</v>
      </c>
      <c r="BR9" s="138" t="str">
        <f>IFERROR(TEXT(BQ9,LOOKUP(BQ9,Pivot!$B$6:$B$12,Pivot!$C$6:$C$12)),"")</f>
        <v/>
      </c>
      <c r="BS9" s="137" t="e" vm="2">
        <f>BS8</f>
        <v>#VALUE!</v>
      </c>
    </row>
    <row r="10" spans="2:71" ht="16.5" x14ac:dyDescent="0.3">
      <c r="B10" s="134"/>
      <c r="AQ10" s="131" t="str">
        <v>HH1</v>
      </c>
      <c r="AR10" s="131" t="s">
        <v>63</v>
      </c>
      <c r="AS10" s="203" t="e">
        <f ca="1">VLOOKUP(Dashboard_SanPham_SKU[[#This Row],[SKU]],_xlfn.ANCHORARRAY($BN$31):_xlfn.ANCHORARRAY($BS$31),6,0)</f>
        <v>#N/A</v>
      </c>
      <c r="AT10" s="203" t="e">
        <f ca="1">VLOOKUP(Dashboard_SanPham_SKU[[#This Row],[SKU]],_xlfn.ANCHORARRAY($BN$31):_xlfn.ANCHORARRAY($BV$31),9,0)</f>
        <v>#N/A</v>
      </c>
      <c r="AU10" s="203" t="e">
        <f ca="1">VLOOKUP(Dashboard_SanPham_SKU[[#This Row],[SKU]],_xlfn.ANCHORARRAY($BN$31):_xlfn.ANCHORARRAY($BX$31),11,0)</f>
        <v>#N/A</v>
      </c>
      <c r="AV10" s="157" t="e" cm="1">
        <f t="array" aca="1" ref="AV10"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10" s="131" t="s">
        <v>62</v>
      </c>
      <c r="AZ10" s="158">
        <f ca="1">VLOOKUP(Dashboard_SanPham_Nhom[[#This Row],[Phân khúc]],_xlfn.ANCHORARRAY($CC$31):_xlfn.ANCHORARRAY($CD$31),2,0)</f>
        <v>806200000</v>
      </c>
      <c r="BA10" s="158">
        <f ca="1">VLOOKUP(Dashboard_SanPham_Nhom[[#This Row],[Phân khúc]],_xlfn.ANCHORARRAY($CC$31):_xlfn.ANCHORARRAY($CF$31),4,0)</f>
        <v>4429670.3296703296</v>
      </c>
      <c r="BB10" s="439">
        <f ca="1">VLOOKUP(Dashboard_SanPham_Nhom[[#This Row],[Phân khúc]],_xlfn.ANCHORARRAY($CC$31):_xlfn.ANCHORARRAY($CH$31),6,0)</f>
        <v>0</v>
      </c>
      <c r="BC10" s="438">
        <f ca="1">VLOOKUP(Dashboard_SanPham_Nhom[[#This Row],[Phân khúc]],_xlfn.ANCHORARRAY($CC$31):_xlfn.ANCHORARRAY($CI$31),7,0)</f>
        <v>4429670.3296703296</v>
      </c>
      <c r="BF10" s="131" t="s">
        <v>988</v>
      </c>
      <c r="BG10" s="158" t="e">
        <f ca="1">VLOOKUP(Dashboard_SanPham_TinhThanh[[#This Row],[Tỉnh]],_xlfn.ANCHORARRAY($CL$31):_xlfn.ANCHORARRAY($CM$31),2,0)</f>
        <v>#N/A</v>
      </c>
      <c r="BH10" s="147"/>
      <c r="BI10" s="147"/>
      <c r="BN10" s="137" t="s">
        <v>17</v>
      </c>
      <c r="BO10" s="137" cm="1">
        <f t="array" ref="BO10">IFERROR(SUM(
_xlfn._xlws.FILTER(Table_Main[Số lượng],
(NOT(ISBLANK(Table_Main[Mã SKU])))*
(Table_Main[Loại] = "Nhập")*
(Table_Main[Ngày xuất nhập] &lt;=Pivot!$S$3)
)),0)
-IFERROR(SUM(
_xlfn._xlws.FILTER(Table_Main[Số lượng],
(NOT(ISBLANK(Table_Main[Mã SKU])))*
(Table_Main[Loại] = "Xuất")*
(Table_Main[Ngày xuất nhập] &lt;=Pivot!$S$3)
)),0)</f>
        <v>0</v>
      </c>
      <c r="BP10" s="138" t="str">
        <f>IFERROR(TEXT(BO10,LOOKUP(BO10,Pivot!$B$6:$B$12,Pivot!$C$6:$C$12)),"")</f>
        <v/>
      </c>
      <c r="BQ10" s="141" t="e">
        <f>BO10/BO7</f>
        <v>#DIV/0!</v>
      </c>
      <c r="BR10" s="138" t="str">
        <f>IFERROR(TEXT(BQ10,LOOKUP(BQ10,Pivot!$B$6:$B$12,Pivot!$C$6:$C$12)),"")</f>
        <v/>
      </c>
    </row>
    <row r="11" spans="2:71" ht="16.5" x14ac:dyDescent="0.3">
      <c r="B11" s="134"/>
      <c r="AS11" s="205"/>
      <c r="AT11" s="205"/>
      <c r="AU11" s="205"/>
      <c r="AV11" s="205"/>
      <c r="BF11" s="131" t="s">
        <v>989</v>
      </c>
      <c r="BG11" s="158" t="e">
        <f ca="1">VLOOKUP(Dashboard_SanPham_TinhThanh[[#This Row],[Tỉnh]],_xlfn.ANCHORARRAY($CL$31):_xlfn.ANCHORARRAY($CM$31),2,0)</f>
        <v>#N/A</v>
      </c>
      <c r="BN11" s="142" t="s">
        <v>124</v>
      </c>
      <c r="BO11" s="138"/>
      <c r="BP11" s="138"/>
      <c r="BQ11" s="138"/>
      <c r="BR11" s="138"/>
    </row>
    <row r="12" spans="2:71" ht="16.5" x14ac:dyDescent="0.3">
      <c r="B12" s="134"/>
      <c r="AS12" s="205"/>
      <c r="AT12" s="205"/>
      <c r="AU12" s="205"/>
      <c r="AV12" s="205"/>
      <c r="BF12" s="131" t="s">
        <v>990</v>
      </c>
      <c r="BG12" s="158" t="e">
        <f ca="1">VLOOKUP(Dashboard_SanPham_TinhThanh[[#This Row],[Tỉnh]],_xlfn.ANCHORARRAY($CL$31):_xlfn.ANCHORARRAY($CM$31),2,0)</f>
        <v>#N/A</v>
      </c>
      <c r="BN12" s="138"/>
      <c r="BO12" s="138"/>
      <c r="BP12" s="138"/>
      <c r="BQ12" s="138" cm="1">
        <f t="array" ref="BQ12">IFERROR(
_xlfn.IFS(
($BN$13)=1,
IFERROR(ROWS(
_xlfn.UNIQUE(_xlfn._xlws.FILTER(Table_DonBan[Mã Khách],
(Table_DonBan[Ngày lập] &gt;=DATE(YEAR(Pivot!$S$2)-1,MONTH(Pivot!$S$2),DAY(Pivot!$S$2)))*
(Table_DonBan[Ngày lập] &lt;=DATE(YEAR(Pivot!$S$3)-1,MONTH(Pivot!$S$3),DAY(Pivot!$S$3)))
))),0),
($BN$13)=2,
IFERROR(
SUM(_xlfn._xlws.FILTER(Table_DonBan[Tiền hàng]-Table_DonBan[Giá trị CK],
(Table_DonBan[Ngày lập] &gt;=DATE(YEAR(Pivot!$S$2)-1,MONTH(Pivot!$S$2),DAY(Pivot!$S$2)))*
(Table_DonBan[Ngày lập] &lt;=DATE(YEAR(Pivot!$S$3)-1,MONTH(Pivot!$S$3),DAY(Pivot!$S$3)))
)),0),
($BN$13)=3,
IFERROR(
ROWS(_xlfn._xlws.FILTER(Table_DonBan[Mã Đơn bán],
(Table_DonBan[Ngày lập] &gt;=DATE(YEAR(Pivot!$S$2)-1,MONTH(Pivot!$S$2),DAY(Pivot!$S$2)))*
(Table_DonBan[Ngày lập] &lt;=DATE(YEAR(Pivot!$S$3)-1,MONTH(Pivot!$S$3),DAY(Pivot!$S$3)))
)),0)
),0)</f>
        <v>0</v>
      </c>
      <c r="BR12" s="138"/>
      <c r="BS12" s="137" t="str" cm="1">
        <f t="array" ref="BS12">_xlfn.IFS(
($BN$13)=1, "Số khách trong kỳ",
($BN$13)=2, "Doanh thu trong kỳ",
($BN$13)=3, "Đơn hàng trong kỳ")</f>
        <v>Doanh thu trong kỳ</v>
      </c>
    </row>
    <row r="13" spans="2:71" ht="16.5" x14ac:dyDescent="0.3">
      <c r="B13" s="134"/>
      <c r="BF13" s="131" t="s">
        <v>991</v>
      </c>
      <c r="BG13" s="158" t="e">
        <f ca="1">VLOOKUP(Dashboard_SanPham_TinhThanh[[#This Row],[Tỉnh]],_xlfn.ANCHORARRAY($CL$31):_xlfn.ANCHORARRAY($CM$31),2,0)</f>
        <v>#N/A</v>
      </c>
      <c r="BN13" s="138">
        <v>2</v>
      </c>
      <c r="BO13" s="166" cm="1">
        <f t="array" ref="BO13">IFERROR(
_xlfn.IFS(
($BN$13)=1,
IFERROR(ROWS(
_xlfn.UNIQUE(_xlfn._xlws.FILTER(Table_DonBan[Mã Khách],
(Table_DonBan[Ngày lập] &gt;=Pivot!$S$2)*
(Table_DonBan[Ngày lập] &lt;=Pivot!$S$3)
))),0),
($BN$13)=2,
IFERROR(
SUM(_xlfn._xlws.FILTER(Table_DonBan[Tiền hàng]-Table_DonBan[Giá trị CK],
(Table_DonBan[Ngày lập] &gt;=Pivot!$S$2)*
(Table_DonBan[Ngày lập] &lt;=Pivot!$S$3)
)),0),
($BN$13)=3,
IFERROR(
ROWS(_xlfn._xlws.FILTER(Table_DonBan[Mã Đơn bán],
(Table_DonBan[Ngày lập] &gt;=Pivot!$S$2)*
(Table_DonBan[Ngày lập] &lt;=Pivot!$S$3)
)),0)
),0)</f>
        <v>0</v>
      </c>
      <c r="BP13" s="144"/>
      <c r="BQ13" s="166" cm="1">
        <f t="array" ref="BQ13">IFERROR(
_xlfn.IFS(
($BN$13)=1,
IFERROR(ROWS(
_xlfn.UNIQUE(_xlfn._xlws.FILTER(Table_DonBan[Mã Khách],
(Table_DonBan[STT đơn của khách]=1)*
(Table_DonBan[Ngày lập] &gt;=Pivot!$S$2)*
(Table_DonBan[Ngày lập] &lt;=Pivot!$S$3)
))),0),
($BN$13)=2,
IFERROR(
SUM(_xlfn._xlws.FILTER(Table_DonBan[Tiền hàng]-Table_DonBan[Giá trị CK],
(Table_DonBan[STT đơn của khách]=1)*
(Table_DonBan[Ngày lập] &gt;=Pivot!$S$2)*
(Table_DonBan[Ngày lập] &lt;=Pivot!$S$3)
)),0),
($BN$13)=3,
IFERROR(
ROWS(_xlfn._xlws.FILTER(Table_DonBan[Mã Đơn bán],
(Table_DonBan[STT đơn của khách]=1)*
(Table_DonBan[Ngày lập] &gt;=Pivot!$S$2)*
(Table_DonBan[Ngày lập] &lt;=Pivot!$S$3)
)),0)
),0)</f>
        <v>0</v>
      </c>
      <c r="BR13" s="138"/>
      <c r="BS13" s="139"/>
    </row>
    <row r="14" spans="2:71" ht="16.5" x14ac:dyDescent="0.3">
      <c r="B14" s="134"/>
      <c r="BF14" s="131" t="s">
        <v>992</v>
      </c>
      <c r="BG14" s="158" t="e">
        <f ca="1">VLOOKUP(Dashboard_SanPham_TinhThanh[[#This Row],[Tỉnh]],_xlfn.ANCHORARRAY($CL$31):_xlfn.ANCHORARRAY($CM$31),2,0)</f>
        <v>#N/A</v>
      </c>
      <c r="BN14" s="138" t="s">
        <v>1</v>
      </c>
      <c r="BO14" s="138" t="s">
        <v>66</v>
      </c>
      <c r="BP14" s="138" t="s">
        <v>22</v>
      </c>
      <c r="BQ14" s="138" t="s">
        <v>204</v>
      </c>
      <c r="BR14" s="138" t="s">
        <v>22</v>
      </c>
    </row>
    <row r="15" spans="2:71" ht="16.5" x14ac:dyDescent="0.3">
      <c r="B15" s="134"/>
      <c r="BN15" s="138">
        <v>1</v>
      </c>
      <c r="BO15" s="138" cm="1">
        <f t="array" aca="1" ref="BO15" ca="1">IFERROR(
_xlfn.IFS(
($BN$13)=1,
IFERROR(SUM(
_xlfn._xlws.FILTER(Pivot_SanPham_SoLuong,
(Pivot_SanPham_Loai = "Xuất")*
(MONTH(Pivot_SanPham_Ngay)=BN15)
)),0)
-IFERROR(SUM(
_xlfn._xlws.FILTER(Pivot_SanPham_SoLuong,
(Pivot_SanPham_Loai = "Nhập")*
(MONTH(Pivot_SanPham_Ngay)=BN15)
)),0),
($BN$13)=2,
IFERROR(SUM(
_xlfn._xlws.FILTER(Pivot_SanPham_DoanhThu,
(MONTH(Pivot_SanPham_Ngay)=BN15)
)),0),
($BN$13)=3,
IFERROR(ROWS(
_xlfn.UNIQUE(_xlfn._xlws.FILTER(Pivot_SanPham_MaDon,
(NOT(ISBLANK(Pivot_SanPham_MaDon)))*
(Pivot_SanPham_Loai = "Xuất")*
(MONTH(Pivot_SanPham_Ngay)=BN15)
))),0)
),0)</f>
        <v>330700000</v>
      </c>
      <c r="BP15" s="138" t="str">
        <f ca="1">IFERROR(TEXT(BO15,LOOKUP(BO15,Pivot!$B$6:$B$12,Pivot!$C$6:$C$12)),"")</f>
        <v>330.7tr</v>
      </c>
      <c r="BQ15" s="138">
        <f ca="1">IFERROR(BO15/
(Pivot!$S$3-Pivot!$S$2+1),0)</f>
        <v>1817032.9670329671</v>
      </c>
      <c r="BR15" s="138" t="str">
        <f ca="1">IFERROR(TEXT(BQ15,LOOKUP(BQ15,Pivot!$B$6:$B$12,Pivot!$C$6:$C$12)),"")</f>
        <v>1.8tr</v>
      </c>
      <c r="BS15" s="204"/>
    </row>
    <row r="16" spans="2:71" ht="16.5" x14ac:dyDescent="0.3">
      <c r="B16" s="134"/>
      <c r="BN16" s="138">
        <v>2</v>
      </c>
      <c r="BO16" s="138" cm="1">
        <f t="array" aca="1" ref="BO16" ca="1">IFERROR(
_xlfn.IFS(
($BN$13)=1,
IFERROR(SUM(
_xlfn._xlws.FILTER(Pivot_SanPham_SoLuong,
(Pivot_SanPham_Loai = "Xuất")*
(MONTH(Pivot_SanPham_Ngay)=BN16)
)),0)
-IFERROR(SUM(
_xlfn._xlws.FILTER(Pivot_SanPham_SoLuong,
(Pivot_SanPham_Loai = "Nhập")*
(MONTH(Pivot_SanPham_Ngay)=BN16)
)),0),
($BN$13)=2,
IFERROR(SUM(
_xlfn._xlws.FILTER(Pivot_SanPham_DoanhThu,
(MONTH(Pivot_SanPham_Ngay)=BN16)
)),0),
($BN$13)=3,
IFERROR(ROWS(
_xlfn.UNIQUE(_xlfn._xlws.FILTER(Pivot_SanPham_MaDon,
(NOT(ISBLANK(Pivot_SanPham_MaDon)))*
(Pivot_SanPham_Loai = "Xuất")*
(MONTH(Pivot_SanPham_Ngay)=BN16)
))),0)
),0)</f>
        <v>343900000</v>
      </c>
      <c r="BP16" s="138" t="str">
        <f ca="1">IFERROR(TEXT(BO16,LOOKUP(BO16,Pivot!$B$6:$B$12,Pivot!$C$6:$C$12)),"")</f>
        <v>343.9tr</v>
      </c>
      <c r="BQ16" s="138">
        <f ca="1">IFERROR(BO16/
(Pivot!$S$3-Pivot!$S$2+1),0)</f>
        <v>1889560.4395604397</v>
      </c>
      <c r="BR16" s="138" t="str">
        <f ca="1">IFERROR(TEXT(BQ16,LOOKUP(BQ16,Pivot!$B$6:$B$12,Pivot!$C$6:$C$12)),"")</f>
        <v>1.9tr</v>
      </c>
      <c r="BS16" s="204"/>
    </row>
    <row r="17" spans="2:92" ht="16.5" x14ac:dyDescent="0.3">
      <c r="B17" s="134"/>
      <c r="BN17" s="138">
        <v>3</v>
      </c>
      <c r="BO17" s="138" cm="1">
        <f t="array" aca="1" ref="BO17" ca="1">IFERROR(
_xlfn.IFS(
($BN$13)=1,
IFERROR(SUM(
_xlfn._xlws.FILTER(Pivot_SanPham_SoLuong,
(Pivot_SanPham_Loai = "Xuất")*
(MONTH(Pivot_SanPham_Ngay)=BN17)
)),0)
-IFERROR(SUM(
_xlfn._xlws.FILTER(Pivot_SanPham_SoLuong,
(Pivot_SanPham_Loai = "Nhập")*
(MONTH(Pivot_SanPham_Ngay)=BN17)
)),0),
($BN$13)=2,
IFERROR(SUM(
_xlfn._xlws.FILTER(Pivot_SanPham_DoanhThu,
(MONTH(Pivot_SanPham_Ngay)=BN17)
)),0),
($BN$13)=3,
IFERROR(ROWS(
_xlfn.UNIQUE(_xlfn._xlws.FILTER(Pivot_SanPham_MaDon,
(NOT(ISBLANK(Pivot_SanPham_MaDon)))*
(Pivot_SanPham_Loai = "Xuất")*
(MONTH(Pivot_SanPham_Ngay)=BN17)
))),0)
),0)</f>
        <v>338900000</v>
      </c>
      <c r="BP17" s="138" t="str">
        <f ca="1">IFERROR(TEXT(BO17,LOOKUP(BO17,Pivot!$B$6:$B$12,Pivot!$C$6:$C$12)),"")</f>
        <v>338.9tr</v>
      </c>
      <c r="BQ17" s="138">
        <f ca="1">IFERROR(BO17/
(Pivot!$S$3-Pivot!$S$2+1),0)</f>
        <v>1862087.912087912</v>
      </c>
      <c r="BR17" s="138" t="str">
        <f ca="1">IFERROR(TEXT(BQ17,LOOKUP(BQ17,Pivot!$B$6:$B$12,Pivot!$C$6:$C$12)),"")</f>
        <v>1.9tr</v>
      </c>
      <c r="BS17" s="204"/>
    </row>
    <row r="18" spans="2:92" ht="16.5" x14ac:dyDescent="0.3">
      <c r="B18" s="134"/>
      <c r="BN18" s="138">
        <v>4</v>
      </c>
      <c r="BO18" s="138" cm="1">
        <f t="array" aca="1" ref="BO18" ca="1">IFERROR(
_xlfn.IFS(
($BN$13)=1,
IFERROR(SUM(
_xlfn._xlws.FILTER(Pivot_SanPham_SoLuong,
(Pivot_SanPham_Loai = "Xuất")*
(MONTH(Pivot_SanPham_Ngay)=BN18)
)),0)
-IFERROR(SUM(
_xlfn._xlws.FILTER(Pivot_SanPham_SoLuong,
(Pivot_SanPham_Loai = "Nhập")*
(MONTH(Pivot_SanPham_Ngay)=BN18)
)),0),
($BN$13)=2,
IFERROR(SUM(
_xlfn._xlws.FILTER(Pivot_SanPham_DoanhThu,
(MONTH(Pivot_SanPham_Ngay)=BN18)
)),0),
($BN$13)=3,
IFERROR(ROWS(
_xlfn.UNIQUE(_xlfn._xlws.FILTER(Pivot_SanPham_MaDon,
(NOT(ISBLANK(Pivot_SanPham_MaDon)))*
(Pivot_SanPham_Loai = "Xuất")*
(MONTH(Pivot_SanPham_Ngay)=BN18)
))),0)
),0)</f>
        <v>355100000</v>
      </c>
      <c r="BP18" s="138" t="str">
        <f ca="1">IFERROR(TEXT(BO18,LOOKUP(BO18,Pivot!$B$6:$B$12,Pivot!$C$6:$C$12)),"")</f>
        <v>355.1tr</v>
      </c>
      <c r="BQ18" s="138">
        <f ca="1">IFERROR(BO18/
(Pivot!$S$3-Pivot!$S$2+1),0)</f>
        <v>1951098.9010989012</v>
      </c>
      <c r="BR18" s="138" t="str">
        <f ca="1">IFERROR(TEXT(BQ18,LOOKUP(BQ18,Pivot!$B$6:$B$12,Pivot!$C$6:$C$12)),"")</f>
        <v>2.0tr</v>
      </c>
      <c r="BS18" s="204"/>
    </row>
    <row r="19" spans="2:92" ht="16.5" x14ac:dyDescent="0.3">
      <c r="B19" s="134"/>
      <c r="BN19" s="138">
        <v>5</v>
      </c>
      <c r="BO19" s="138" cm="1">
        <f t="array" aca="1" ref="BO19" ca="1">IFERROR(
_xlfn.IFS(
($BN$13)=1,
IFERROR(SUM(
_xlfn._xlws.FILTER(Pivot_SanPham_SoLuong,
(Pivot_SanPham_Loai = "Xuất")*
(MONTH(Pivot_SanPham_Ngay)=BN19)
)),0)
-IFERROR(SUM(
_xlfn._xlws.FILTER(Pivot_SanPham_SoLuong,
(Pivot_SanPham_Loai = "Nhập")*
(MONTH(Pivot_SanPham_Ngay)=BN19)
)),0),
($BN$13)=2,
IFERROR(SUM(
_xlfn._xlws.FILTER(Pivot_SanPham_DoanhThu,
(MONTH(Pivot_SanPham_Ngay)=BN19)
)),0),
($BN$13)=3,
IFERROR(ROWS(
_xlfn.UNIQUE(_xlfn._xlws.FILTER(Pivot_SanPham_MaDon,
(NOT(ISBLANK(Pivot_SanPham_MaDon)))*
(Pivot_SanPham_Loai = "Xuất")*
(MONTH(Pivot_SanPham_Ngay)=BN19)
))),0)
),0)</f>
        <v>0</v>
      </c>
      <c r="BP19" s="138" t="str">
        <f ca="1">IFERROR(TEXT(BO19,LOOKUP(BO19,Pivot!$B$6:$B$12,Pivot!$C$6:$C$12)),"")</f>
        <v/>
      </c>
      <c r="BQ19" s="138">
        <f ca="1">IFERROR(BO19/
(Pivot!$S$3-Pivot!$S$2+1),0)</f>
        <v>0</v>
      </c>
      <c r="BR19" s="138" t="str">
        <f ca="1">IFERROR(TEXT(BQ19,LOOKUP(BQ19,Pivot!$B$6:$B$12,Pivot!$C$6:$C$12)),"")</f>
        <v/>
      </c>
      <c r="BS19" s="204"/>
    </row>
    <row r="20" spans="2:92" ht="16.5" x14ac:dyDescent="0.3">
      <c r="B20" s="134"/>
      <c r="BN20" s="138">
        <v>6</v>
      </c>
      <c r="BO20" s="138" cm="1">
        <f t="array" aca="1" ref="BO20" ca="1">IFERROR(
_xlfn.IFS(
($BN$13)=1,
IFERROR(SUM(
_xlfn._xlws.FILTER(Pivot_SanPham_SoLuong,
(Pivot_SanPham_Loai = "Xuất")*
(MONTH(Pivot_SanPham_Ngay)=BN20)
)),0)
-IFERROR(SUM(
_xlfn._xlws.FILTER(Pivot_SanPham_SoLuong,
(Pivot_SanPham_Loai = "Nhập")*
(MONTH(Pivot_SanPham_Ngay)=BN20)
)),0),
($BN$13)=2,
IFERROR(SUM(
_xlfn._xlws.FILTER(Pivot_SanPham_DoanhThu,
(MONTH(Pivot_SanPham_Ngay)=BN20)
)),0),
($BN$13)=3,
IFERROR(ROWS(
_xlfn.UNIQUE(_xlfn._xlws.FILTER(Pivot_SanPham_MaDon,
(NOT(ISBLANK(Pivot_SanPham_MaDon)))*
(Pivot_SanPham_Loai = "Xuất")*
(MONTH(Pivot_SanPham_Ngay)=BN20)
))),0)
),0)</f>
        <v>0</v>
      </c>
      <c r="BP20" s="138" t="str">
        <f ca="1">IFERROR(TEXT(BO20,LOOKUP(BO20,Pivot!$B$6:$B$12,Pivot!$C$6:$C$12)),"")</f>
        <v/>
      </c>
      <c r="BQ20" s="138">
        <f ca="1">IFERROR(BO20/
(Pivot!$S$3-Pivot!$S$2+1),0)</f>
        <v>0</v>
      </c>
      <c r="BR20" s="138" t="str">
        <f ca="1">IFERROR(TEXT(BQ20,LOOKUP(BQ20,Pivot!$B$6:$B$12,Pivot!$C$6:$C$12)),"")</f>
        <v/>
      </c>
      <c r="BS20" s="204"/>
    </row>
    <row r="21" spans="2:92" ht="16.5" x14ac:dyDescent="0.3">
      <c r="B21" s="134"/>
      <c r="BN21" s="138">
        <v>7</v>
      </c>
      <c r="BO21" s="138" cm="1">
        <f t="array" aca="1" ref="BO21" ca="1">IFERROR(
_xlfn.IFS(
($BN$13)=1,
IFERROR(SUM(
_xlfn._xlws.FILTER(Pivot_SanPham_SoLuong,
(Pivot_SanPham_Loai = "Xuất")*
(MONTH(Pivot_SanPham_Ngay)=BN21)
)),0)
-IFERROR(SUM(
_xlfn._xlws.FILTER(Pivot_SanPham_SoLuong,
(Pivot_SanPham_Loai = "Nhập")*
(MONTH(Pivot_SanPham_Ngay)=BN21)
)),0),
($BN$13)=2,
IFERROR(SUM(
_xlfn._xlws.FILTER(Pivot_SanPham_DoanhThu,
(MONTH(Pivot_SanPham_Ngay)=BN21)
)),0),
($BN$13)=3,
IFERROR(ROWS(
_xlfn.UNIQUE(_xlfn._xlws.FILTER(Pivot_SanPham_MaDon,
(NOT(ISBLANK(Pivot_SanPham_MaDon)))*
(Pivot_SanPham_Loai = "Xuất")*
(MONTH(Pivot_SanPham_Ngay)=BN21)
))),0)
),0)</f>
        <v>0</v>
      </c>
      <c r="BP21" s="138" t="str">
        <f ca="1">IFERROR(TEXT(BO21,LOOKUP(BO21,Pivot!$B$6:$B$12,Pivot!$C$6:$C$12)),"")</f>
        <v/>
      </c>
      <c r="BQ21" s="138">
        <f ca="1">IFERROR(BO21/
(Pivot!$S$3-Pivot!$S$2+1),0)</f>
        <v>0</v>
      </c>
      <c r="BR21" s="138" t="str">
        <f ca="1">IFERROR(TEXT(BQ21,LOOKUP(BQ21,Pivot!$B$6:$B$12,Pivot!$C$6:$C$12)),"")</f>
        <v/>
      </c>
      <c r="BS21" s="204"/>
    </row>
    <row r="22" spans="2:92" ht="16.5" x14ac:dyDescent="0.3">
      <c r="B22" s="134"/>
      <c r="BN22" s="138">
        <v>8</v>
      </c>
      <c r="BO22" s="138" cm="1">
        <f t="array" aca="1" ref="BO22" ca="1">IFERROR(
_xlfn.IFS(
($BN$13)=1,
IFERROR(SUM(
_xlfn._xlws.FILTER(Pivot_SanPham_SoLuong,
(Pivot_SanPham_Loai = "Xuất")*
(MONTH(Pivot_SanPham_Ngay)=BN22)
)),0)
-IFERROR(SUM(
_xlfn._xlws.FILTER(Pivot_SanPham_SoLuong,
(Pivot_SanPham_Loai = "Nhập")*
(MONTH(Pivot_SanPham_Ngay)=BN22)
)),0),
($BN$13)=2,
IFERROR(SUM(
_xlfn._xlws.FILTER(Pivot_SanPham_DoanhThu,
(MONTH(Pivot_SanPham_Ngay)=BN22)
)),0),
($BN$13)=3,
IFERROR(ROWS(
_xlfn.UNIQUE(_xlfn._xlws.FILTER(Pivot_SanPham_MaDon,
(NOT(ISBLANK(Pivot_SanPham_MaDon)))*
(Pivot_SanPham_Loai = "Xuất")*
(MONTH(Pivot_SanPham_Ngay)=BN22)
))),0)
),0)</f>
        <v>0</v>
      </c>
      <c r="BP22" s="138" t="str">
        <f ca="1">IFERROR(TEXT(BO22,LOOKUP(BO22,Pivot!$B$6:$B$12,Pivot!$C$6:$C$12)),"")</f>
        <v/>
      </c>
      <c r="BQ22" s="138">
        <f ca="1">IFERROR(BO22/
(Pivot!$S$3-Pivot!$S$2+1),0)</f>
        <v>0</v>
      </c>
      <c r="BR22" s="138" t="str">
        <f ca="1">IFERROR(TEXT(BQ22,LOOKUP(BQ22,Pivot!$B$6:$B$12,Pivot!$C$6:$C$12)),"")</f>
        <v/>
      </c>
      <c r="BS22" s="204"/>
    </row>
    <row r="23" spans="2:92" ht="16.5" x14ac:dyDescent="0.3">
      <c r="B23" s="134"/>
      <c r="BN23" s="138">
        <v>9</v>
      </c>
      <c r="BO23" s="138" cm="1">
        <f t="array" aca="1" ref="BO23" ca="1">IFERROR(
_xlfn.IFS(
($BN$13)=1,
IFERROR(SUM(
_xlfn._xlws.FILTER(Pivot_SanPham_SoLuong,
(Pivot_SanPham_Loai = "Xuất")*
(MONTH(Pivot_SanPham_Ngay)=BN23)
)),0)
-IFERROR(SUM(
_xlfn._xlws.FILTER(Pivot_SanPham_SoLuong,
(Pivot_SanPham_Loai = "Nhập")*
(MONTH(Pivot_SanPham_Ngay)=BN23)
)),0),
($BN$13)=2,
IFERROR(SUM(
_xlfn._xlws.FILTER(Pivot_SanPham_DoanhThu,
(MONTH(Pivot_SanPham_Ngay)=BN23)
)),0),
($BN$13)=3,
IFERROR(ROWS(
_xlfn.UNIQUE(_xlfn._xlws.FILTER(Pivot_SanPham_MaDon,
(NOT(ISBLANK(Pivot_SanPham_MaDon)))*
(Pivot_SanPham_Loai = "Xuất")*
(MONTH(Pivot_SanPham_Ngay)=BN23)
))),0)
),0)</f>
        <v>0</v>
      </c>
      <c r="BP23" s="138" t="str">
        <f ca="1">IFERROR(TEXT(BO23,LOOKUP(BO23,Pivot!$B$6:$B$12,Pivot!$C$6:$C$12)),"")</f>
        <v/>
      </c>
      <c r="BQ23" s="138">
        <f ca="1">IFERROR(BO23/
(Pivot!$S$3-Pivot!$S$2+1),0)</f>
        <v>0</v>
      </c>
      <c r="BR23" s="138" t="str">
        <f ca="1">IFERROR(TEXT(BQ23,LOOKUP(BQ23,Pivot!$B$6:$B$12,Pivot!$C$6:$C$12)),"")</f>
        <v/>
      </c>
      <c r="BS23" s="204"/>
    </row>
    <row r="24" spans="2:92" ht="16.5" x14ac:dyDescent="0.3">
      <c r="B24" s="134"/>
      <c r="BN24" s="138">
        <v>10</v>
      </c>
      <c r="BO24" s="138" cm="1">
        <f t="array" aca="1" ref="BO24" ca="1">IFERROR(
_xlfn.IFS(
($BN$13)=1,
IFERROR(SUM(
_xlfn._xlws.FILTER(Pivot_SanPham_SoLuong,
(Pivot_SanPham_Loai = "Xuất")*
(MONTH(Pivot_SanPham_Ngay)=BN24)
)),0)
-IFERROR(SUM(
_xlfn._xlws.FILTER(Pivot_SanPham_SoLuong,
(Pivot_SanPham_Loai = "Nhập")*
(MONTH(Pivot_SanPham_Ngay)=BN24)
)),0),
($BN$13)=2,
IFERROR(SUM(
_xlfn._xlws.FILTER(Pivot_SanPham_DoanhThu,
(MONTH(Pivot_SanPham_Ngay)=BN24)
)),0),
($BN$13)=3,
IFERROR(ROWS(
_xlfn.UNIQUE(_xlfn._xlws.FILTER(Pivot_SanPham_MaDon,
(NOT(ISBLANK(Pivot_SanPham_MaDon)))*
(Pivot_SanPham_Loai = "Xuất")*
(MONTH(Pivot_SanPham_Ngay)=BN24)
))),0)
),0)</f>
        <v>0</v>
      </c>
      <c r="BP24" s="138" t="str">
        <f ca="1">IFERROR(TEXT(BO24,LOOKUP(BO24,Pivot!$B$6:$B$12,Pivot!$C$6:$C$12)),"")</f>
        <v/>
      </c>
      <c r="BQ24" s="138">
        <f ca="1">IFERROR(BO24/
(Pivot!$S$3-Pivot!$S$2+1),0)</f>
        <v>0</v>
      </c>
      <c r="BR24" s="138" t="str">
        <f ca="1">IFERROR(TEXT(BQ24,LOOKUP(BQ24,Pivot!$B$6:$B$12,Pivot!$C$6:$C$12)),"")</f>
        <v/>
      </c>
      <c r="BS24" s="204"/>
    </row>
    <row r="25" spans="2:92" ht="16.5" x14ac:dyDescent="0.3">
      <c r="B25" s="134"/>
      <c r="BN25" s="138">
        <v>11</v>
      </c>
      <c r="BO25" s="138" cm="1">
        <f t="array" aca="1" ref="BO25" ca="1">IFERROR(
_xlfn.IFS(
($BN$13)=1,
IFERROR(SUM(
_xlfn._xlws.FILTER(Pivot_SanPham_SoLuong,
(Pivot_SanPham_Loai = "Xuất")*
(MONTH(Pivot_SanPham_Ngay)=BN25)
)),0)
-IFERROR(SUM(
_xlfn._xlws.FILTER(Pivot_SanPham_SoLuong,
(Pivot_SanPham_Loai = "Nhập")*
(MONTH(Pivot_SanPham_Ngay)=BN25)
)),0),
($BN$13)=2,
IFERROR(SUM(
_xlfn._xlws.FILTER(Pivot_SanPham_DoanhThu,
(MONTH(Pivot_SanPham_Ngay)=BN25)
)),0),
($BN$13)=3,
IFERROR(ROWS(
_xlfn.UNIQUE(_xlfn._xlws.FILTER(Pivot_SanPham_MaDon,
(NOT(ISBLANK(Pivot_SanPham_MaDon)))*
(Pivot_SanPham_Loai = "Xuất")*
(MONTH(Pivot_SanPham_Ngay)=BN25)
))),0)
),0)</f>
        <v>294405000</v>
      </c>
      <c r="BP25" s="138" t="str">
        <f ca="1">IFERROR(TEXT(BO25,LOOKUP(BO25,Pivot!$B$6:$B$12,Pivot!$C$6:$C$12)),"")</f>
        <v>294.4tr</v>
      </c>
      <c r="BQ25" s="138">
        <f ca="1">IFERROR(BO25/
(Pivot!$S$3-Pivot!$S$2+1),0)</f>
        <v>1617609.8901098901</v>
      </c>
      <c r="BR25" s="138" t="str">
        <f ca="1">IFERROR(TEXT(BQ25,LOOKUP(BQ25,Pivot!$B$6:$B$12,Pivot!$C$6:$C$12)),"")</f>
        <v>1.6tr</v>
      </c>
      <c r="BS25" s="204"/>
    </row>
    <row r="26" spans="2:92" ht="16.5" x14ac:dyDescent="0.3">
      <c r="B26" s="134"/>
      <c r="BN26" s="138">
        <v>12</v>
      </c>
      <c r="BO26" s="138" cm="1">
        <f t="array" aca="1" ref="BO26" ca="1">IFERROR(
_xlfn.IFS(
($BN$13)=1,
IFERROR(SUM(
_xlfn._xlws.FILTER(Pivot_SanPham_SoLuong,
(Pivot_SanPham_Loai = "Xuất")*
(MONTH(Pivot_SanPham_Ngay)=BN26)
)),0)
-IFERROR(SUM(
_xlfn._xlws.FILTER(Pivot_SanPham_SoLuong,
(Pivot_SanPham_Loai = "Nhập")*
(MONTH(Pivot_SanPham_Ngay)=BN26)
)),0),
($BN$13)=2,
IFERROR(SUM(
_xlfn._xlws.FILTER(Pivot_SanPham_DoanhThu,
(MONTH(Pivot_SanPham_Ngay)=BN26)
)),0),
($BN$13)=3,
IFERROR(ROWS(
_xlfn.UNIQUE(_xlfn._xlws.FILTER(Pivot_SanPham_MaDon,
(NOT(ISBLANK(Pivot_SanPham_MaDon)))*
(Pivot_SanPham_Loai = "Xuất")*
(MONTH(Pivot_SanPham_Ngay)=BN26)
))),0)
),0)</f>
        <v>299060000</v>
      </c>
      <c r="BP26" s="138" t="str">
        <f ca="1">IFERROR(TEXT(BO26,LOOKUP(BO26,Pivot!$B$6:$B$12,Pivot!$C$6:$C$12)),"")</f>
        <v>299.1tr</v>
      </c>
      <c r="BQ26" s="138">
        <f ca="1">IFERROR(BO26/
(Pivot!$S$3-Pivot!$S$2+1),0)</f>
        <v>1643186.8131868131</v>
      </c>
      <c r="BR26" s="138" t="str">
        <f ca="1">IFERROR(TEXT(BQ26,LOOKUP(BQ26,Pivot!$B$6:$B$12,Pivot!$C$6:$C$12)),"")</f>
        <v>1.6tr</v>
      </c>
      <c r="BS26" s="204"/>
    </row>
    <row r="27" spans="2:92" ht="16.5" x14ac:dyDescent="0.3">
      <c r="B27" s="134"/>
      <c r="BN27" s="204"/>
    </row>
    <row r="28" spans="2:92" ht="16.5" x14ac:dyDescent="0.3">
      <c r="B28" s="134"/>
      <c r="BN28" s="204"/>
    </row>
    <row r="29" spans="2:92" ht="16.5" x14ac:dyDescent="0.3">
      <c r="B29" s="134"/>
      <c r="BN29" s="204"/>
      <c r="CE29" s="137" t="str" cm="1">
        <f t="array" ref="CE29">_xlfn.IFS(
($BN$13) = 1,"Cấu trúc lượng bán",
($BN$13) = 2,"Cấu trúc doanh thu",
($BN$13) = 3,"Cấu trúc đơn hàng")</f>
        <v>Cấu trúc doanh thu</v>
      </c>
      <c r="CG29" s="137" t="str" cm="1">
        <f t="array" ref="CG29">_xlfn.IFS(
($BN$13) = 1,"Lượng bán / ngày và tốc độ tăng số lượng",
($BN$13) = 2,"Doanh thu / ngày và tốc độ tăng doanh thu",
($BN$13) = 3,"Đơn hàng / khách và tốc độ tăng đơn hàng")</f>
        <v>Doanh thu / ngày và tốc độ tăng doanh thu</v>
      </c>
      <c r="CL29" s="137" t="str" cm="1">
        <f t="array" ref="CL29">_xlfn.IFS(
($BN$13) = 1,"Số khách theo tỉnh thành",
($BN$13) = 2,"Doanh thu theo tỉnh thành",
($BN$13) = 3,"Đơn hàng theo tỉnh thành")</f>
        <v>Doanh thu theo tỉnh thành</v>
      </c>
    </row>
    <row r="30" spans="2:92" ht="16.5" x14ac:dyDescent="0.3">
      <c r="B30" s="134"/>
      <c r="BN30" s="140" t="s">
        <v>47</v>
      </c>
      <c r="BO30" s="137" t="s">
        <v>158</v>
      </c>
      <c r="BP30" s="137" t="s">
        <v>177</v>
      </c>
      <c r="BQ30" s="137" t="s">
        <v>205</v>
      </c>
      <c r="BR30" s="137" t="s">
        <v>30</v>
      </c>
      <c r="BS30" s="137" t="s">
        <v>33</v>
      </c>
      <c r="BT30" s="137" t="s">
        <v>188</v>
      </c>
      <c r="BU30" s="137" t="s">
        <v>189</v>
      </c>
      <c r="BV30" s="137" t="s">
        <v>173</v>
      </c>
      <c r="BW30" s="137" t="s">
        <v>206</v>
      </c>
      <c r="BX30" s="137" t="s">
        <v>191</v>
      </c>
      <c r="BY30" s="137" t="s">
        <v>207</v>
      </c>
      <c r="BZ30" s="137" t="s">
        <v>208</v>
      </c>
      <c r="CA30" s="137" t="s">
        <v>209</v>
      </c>
      <c r="CC30" s="137" t="s">
        <v>25</v>
      </c>
      <c r="CD30" s="137" t="s">
        <v>21</v>
      </c>
      <c r="CE30" s="137" t="s">
        <v>22</v>
      </c>
      <c r="CF30" s="137" t="s">
        <v>156</v>
      </c>
      <c r="CG30" s="137" t="s">
        <v>22</v>
      </c>
      <c r="CH30" s="137" t="s">
        <v>71</v>
      </c>
      <c r="CI30" s="137" t="s">
        <v>195</v>
      </c>
      <c r="CJ30" s="137" t="s">
        <v>22</v>
      </c>
      <c r="CL30" s="137" t="s">
        <v>196</v>
      </c>
      <c r="CM30" s="137" t="s">
        <v>177</v>
      </c>
      <c r="CN30" s="137" t="s">
        <v>22</v>
      </c>
    </row>
    <row r="31" spans="2:92" ht="16.5" x14ac:dyDescent="0.3">
      <c r="B31" s="134"/>
      <c r="BN31" s="137" t="str" cm="1">
        <f t="array" ref="BN31:BN33">Table_SKU[Mã SKU]</f>
        <v>TP2</v>
      </c>
      <c r="BO31" s="137" cm="1">
        <f t="array" ref="BO31:BO33">INDEX(
Table_SKU[Nhóm 1]:Table_SKU[Mã SKU],
MATCH(_xlfn.ANCHORARRAY($BN$31),Table_SKU[Mã SKU],0),
MATCH("Nhóm 1",Table_SKU[#Headers],0)
)</f>
        <v>0</v>
      </c>
      <c r="BP31" s="137" cm="1">
        <f t="array" aca="1" ref="BP31:BP33" ca="1">IFERROR(
_xlfn.IFS(
$BN$13=1,
SUMIFS(Pivot_SanPham_SoLuong,
Pivot_SanPham_SKU,_xlfn.ANCHORARRAY($BN$31)),
$BN$13=2,
SUMIFS(Pivot_SanPham_DoanhThu,
Pivot_SanPham_SKU,_xlfn.ANCHORARRAY($BN$31)),
$BN$13=3,
COUNTIFS(
Pivot_SanPham_SKU,_xlfn.ANCHORARRAY($BN$31))
),0)</f>
        <v>0</v>
      </c>
      <c r="BQ31" s="145" cm="1">
        <f t="array" ref="BQ31:BQ33">IFERROR(_xlfn.MINIFS(
Table_Main[Ngày lên đơn],
Table_Main[Mã SKU],_xlfn.ANCHORARRAY(BN31),
Table_Main[Đơn bán], "&lt;&gt;"&amp;"",
Table_Main[Loại], "Xuất"
),"")</f>
        <v>45735</v>
      </c>
      <c r="BR31" s="137" cm="1">
        <f t="array" aca="1" ref="BR31:BR33" ca="1">IFERROR(SUMIFS(
Pivot_SanPham_SoLuong,
Pivot_SanPham_Loai,"Xuất",
Pivot_SanPham_SKU,_xlfn.ANCHORARRAY( BN31)),0)
-IFERROR(SUMIFS(
Pivot_SanPham_SoLuong,
Pivot_SanPham_Loai,"Nhập",
Pivot_SanPham_SKU,_xlfn.ANCHORARRAY( BN31)),0)</f>
        <v>0</v>
      </c>
      <c r="BS31" s="137" cm="1">
        <f t="array" aca="1" ref="BS31:BS33" ca="1">IFERROR(SUMIFS(
Pivot_SanPham_DoanhThu,
Pivot_SanPham_SKU,_xlfn.ANCHORARRAY( BN31)),0)</f>
        <v>0</v>
      </c>
      <c r="BT31" s="137" cm="1">
        <f t="array" aca="1" ref="BT31:BT33" ca="1">IF(_xlfn.ANCHORARRAY(BP31)&gt;0,
SUMIF(Table_Main[Mã SKU],_xlfn.ANCHORARRAY(BN31),Table_Main[Giá trị bán trước VAT]),0)</f>
        <v>0</v>
      </c>
      <c r="BU31" s="204" cm="1">
        <f t="array" ref="BU31:BU33">MAX(Table_DonBan[Ngày lập])-_xlfn.ANCHORARRAY(BQ31)</f>
        <v>73</v>
      </c>
      <c r="BV31" s="137" cm="1">
        <f t="array" aca="1" ref="BV31:BV33" ca="1">IF(_xlfn.ANCHORARRAY($BP$31)&gt;0,_xlfn.ANCHORARRAY($BT$31)/_xlfn.ANCHORARRAY( $BU$31),
0)</f>
        <v>0</v>
      </c>
      <c r="BW31" s="146" cm="1">
        <f t="array" ref="BW31:BW33" xml:space="preserve">
IF(
IFERROR(_xlfn.MAXIFS(
Table_Main[Ngày lên đơn],
Table_Main[Mã SKU],_xlfn.ANCHORARRAY($BN$31),
Table_Main[Loại], "Xuất",
Table_Main[Đơn bán], "&lt;&gt;"&amp;""
),0)&gt;
IFERROR(_xlfn.MAXIFS(
Table_Main[Ngày lên đơn],
Table_Main[Mã SKU],_xlfn.ANCHORARRAY($BN$31),
Table_Main[Loại], "Nhập",
Table_Main[Đơn Mua], "&lt;&gt;"&amp;""
),0),
IFERROR(_xlfn.MAXIFS(
Table_Main[Ngày lên đơn],
Table_Main[Mã SKU],_xlfn.ANCHORARRAY($BN$31),
Table_Main[Loại], "Xuất",
Table_Main[Đơn bán], "&lt;&gt;"&amp;""
),0),
IFERROR(_xlfn.MAXIFS(
Table_Main[Ngày lên đơn],
Table_Main[Mã SKU],_xlfn.ANCHORARRAY($BN$31),
Table_Main[Loại], "Nhập",
Table_Main[Đơn Mua], "&lt;&gt;"&amp;""
),0)
)</f>
        <v>45786</v>
      </c>
      <c r="BX31" s="204" cm="1">
        <f t="array" aca="1" ref="BX31:BX33" ca="1" xml:space="preserve">
IF(_xlfn.ANCHORARRAY(BP31)&gt;0,
IF(
MAX(Table_DonBan[Ngày lập])-_xlfn.ANCHORARRAY(BW31) = 0,
TODAY()-_xlfn.ANCHORARRAY(BW31),MAX(Table_DonBan[Ngày lập])-_xlfn.ANCHORARRAY(BW31)),
0)</f>
        <v>0</v>
      </c>
      <c r="BY31" s="137" cm="1">
        <f t="array" ref="BY31:BY33">IFERROR(SUMIFS(
Table_Main[Số lượng],
Table_Main[Giá trị bán trước VAT],"&gt;0",
Table_Main[Loại], "Xuất",
Table_Main[Mã SKU],_xlfn.ANCHORARRAY( BN31),
Table_Main[Ngày lên đơn],"&gt;="&amp;DATE(YEAR(Pivot!$S$2)-1,MONTH(Pivot!$S$2),DAY(Pivot!$S$2)),
Table_Main[Ngày lên đơn],"&lt;="&amp;DATE(YEAR(Pivot!$S$3)-1,MONTH(Pivot!$S$3),DAY(Pivot!$S$3))),0)
-IFERROR(SUMIFS(
Table_Main[Số lượng],
Table_Main[Giá trị bán trước VAT],"&gt;0",
Table_Main[Loại], "Nhập",
Table_Main[Mã SKU],_xlfn.ANCHORARRAY( BN31),
Table_Main[Ngày lên đơn],"&gt;="&amp;DATE(YEAR(Pivot!$S$2)-1,MONTH(Pivot!$S$2),DAY(Pivot!$S$2)),
Table_Main[Ngày lên đơn],"&lt;="&amp;DATE(YEAR(Pivot!$S$3)-1,MONTH(Pivot!$S$3),DAY(Pivot!$S$3))),0)</f>
        <v>0</v>
      </c>
      <c r="BZ31" s="137" cm="1">
        <f t="array" ref="BZ31:BZ33">IFERROR(SUMIFS(
Table_Main[Giá trị bán trước VAT],
Table_Main[Mã SKU],_xlfn.ANCHORARRAY( BN31),
Table_Main[Ngày lên đơn],"&gt;="&amp;DATE(YEAR(Pivot!$S$2)-1,MONTH(Pivot!$S$2),DAY(Pivot!$S$2)),
Table_Main[Ngày lên đơn],"&lt;="&amp;DATE(YEAR(Pivot!$S$3)-1,MONTH(Pivot!$S$3),DAY(Pivot!$S$3))),0)</f>
        <v>0</v>
      </c>
      <c r="CA31" s="204" cm="1">
        <f t="array" aca="1" ref="CA31:CA33" ca="1">IF(_xlfn.ANCHORARRAY($BP$31)&gt;0,
(
IFERROR(SUMIFS(
Table_Main[Số lượng],
Table_Main[Giá trị bán trước VAT],"&gt;0",
Table_Main[Loại], "Xuất",
Table_Main[Mã SKU],_xlfn.ANCHORARRAY( BN31),
Table_Main[Ngày lên đơn],"&lt;="&amp;DATE(YEAR(Pivot!$S$3)-1,MONTH(Pivot!$S$3),DAY(Pivot!$S$3))),0)
-IFERROR(SUMIFS(
Table_Main[Số lượng],
Table_Main[Giá trị bán trước VAT],"&gt;0",
Table_Main[Loại], "Nhập",
Table_Main[Mã SKU],_xlfn.ANCHORARRAY( BN31),
Table_Main[Ngày lên đơn],"&lt;="&amp;DATE(YEAR(Pivot!$S$3)-1,MONTH(Pivot!$S$3),DAY(Pivot!$S$3))),0)
)
/_xlfn.ANCHORARRAY( $BU$31),
0)</f>
        <v>0</v>
      </c>
      <c r="CC31" s="137" t="str" cm="1">
        <f t="array" aca="1" ref="CC31:CC33" ca="1">_xlfn.UNIQUE(Pivot_SanPham_Nhom)</f>
        <v>Nhóm 1</v>
      </c>
      <c r="CD31" s="137" cm="1">
        <f t="array" aca="1" ref="CD31:CD33" ca="1">IFERROR(
_xlfn.IFS(
$BN$13=1,
SUMIFS(Pivot_SanPham_SoLuong,
Pivot_SanPham_Loai, "Xuất",
Pivot_SanPham_Nhom,_xlfn.ANCHORARRAY($CC$31))
- SUMIFS(Pivot_SanPham_SoLuong,
Pivot_SanPham_Loai, "Nhập",
Pivot_SanPham_Nhom,_xlfn.ANCHORARRAY($CC$31)),
$BN$13=2,
SUMIFS(Pivot_SanPham_DoanhThu,
Pivot_SanPham_Nhom,_xlfn.ANCHORARRAY($CC$31)),
$BN$13=3,
COUNTIFS(
Pivot_SanPham_Nhom,_xlfn.ANCHORARRAY($CC$31),
Pivot_SanPham_Loai, "Xuất")
),0)</f>
        <v>554500000</v>
      </c>
      <c r="CE31" s="138" t="str" cm="1">
        <f t="array" aca="1" ref="CE31:CE33" ca="1">IFERROR(TEXT(_xlfn.ANCHORARRAY(CD31),LOOKUP(_xlfn.ANCHORARRAY(CD31),Pivot!$B$6:$B$12,Pivot!$C$6:$C$12)),"")</f>
        <v>554.5tr</v>
      </c>
      <c r="CF31" s="204" cm="1">
        <f t="array" aca="1" ref="CF31:CF33" ca="1">_xlfn.ANCHORARRAY($CD$31)/(Pivot!$S$3-Pivot!$S$2+1)</f>
        <v>3046703.2967032967</v>
      </c>
      <c r="CG31" s="138" t="str" cm="1">
        <f t="array" aca="1" ref="CG31:CG33" ca="1">IF(ABS(_xlfn.ANCHORARRAY(CF31))&lt;1,TEXT(_xlfn.ANCHORARRAY(CF31), "#,##.0"),IFERROR(TEXT(_xlfn.ANCHORARRAY(CF31),LOOKUP(_xlfn.ANCHORARRAY(CF31),Pivot!$B$6:$B$12,Pivot!$C$6:$C$12)),""))</f>
        <v>3.0tr</v>
      </c>
      <c r="CH31" s="139" cm="1">
        <f t="array" aca="1" ref="CH31:CH33" ca="1">IFERROR(
_xlfn.IFS(
($BN$13)=1,
IFERROR(
SUMIFS(_xlfn.ANCHORARRAY(BR31),_xlfn.ANCHORARRAY($BO$31),_xlfn.ANCHORARRAY(CC31))/
SUMIFS(_xlfn.ANCHORARRAY(BY31),_xlfn.ANCHORARRAY($BO$31),_xlfn.ANCHORARRAY(CC31))-1,0),
($BN$13)=2,
IFERROR(
SUMIFS(_xlfn.ANCHORARRAY(BS31),_xlfn.ANCHORARRAY($BO$31),_xlfn.ANCHORARRAY(CC31))/
SUMIFS(_xlfn.ANCHORARRAY(BZ31),_xlfn.ANCHORARRAY($BO$31),_xlfn.ANCHORARRAY(CC31))-1,0)
),0)</f>
        <v>0</v>
      </c>
      <c r="CI31" s="137" t="str" cm="1">
        <f t="array" aca="1" ref="CI31:CI33" ca="1">IF(_xlfn.ANCHORARRAY(CF31)&gt;AVERAGE(_xlfn.ANCHORARRAY(CF31)),_xlfn.ANCHORARRAY(CF31),"")</f>
        <v/>
      </c>
      <c r="CJ31" s="138" t="str" cm="1">
        <f t="array" aca="1" ref="CJ31:CJ33" ca="1">IFERROR(TEXT(_xlfn.ANCHORARRAY(CI31),LOOKUP(_xlfn.ANCHORARRAY(CI31),Pivot!$B$6:$B$12,Pivot!$C$6:$C$12)),"")</f>
        <v/>
      </c>
      <c r="CL31" s="137" cm="1">
        <f t="array" ref="CL31">_xlfn.UNIQUE(Table_KhachHang[Tỉnh])</f>
        <v>0</v>
      </c>
      <c r="CM31" s="137" cm="1">
        <f t="array" aca="1" ref="CM31" ca="1">IFERROR(
_xlfn.IFS(
$BN$13=1,
SUMIFS(Pivot_SanPham_SoLuong,
Pivot_SanPham_Loai, "Xuất",
Pivot_SanPham_TinhThanh,_xlfn.ANCHORARRAY($CL$31))
-SUMIFS(Pivot_SanPham_SoLuong,
Pivot_SanPham_Loai, "Nhập",
Pivot_SanPham_TinhThanh,_xlfn.ANCHORARRAY($CL$31)),
$BN$13=2,
SUMIFS(Pivot_SanPham_DoanhThu,
Pivot_SanPham_TinhThanh,_xlfn.ANCHORARRAY($CL$31)),
$BN$13=3,
COUNTIFS(
Pivot_SanPham_TinhThanh,_xlfn.ANCHORARRAY($CL$31),
Pivot_SanPham_Loai, "Xuất")
),0)</f>
        <v>0</v>
      </c>
      <c r="CN31" s="138" t="str" cm="1">
        <f t="array" aca="1" ref="CN31" ca="1">IFERROR(TEXT(_xlfn.ANCHORARRAY(CM31),LOOKUP(_xlfn.ANCHORARRAY(CM31),Pivot!$B$6:$B$12,Pivot!$C$6:$C$12)),"")</f>
        <v/>
      </c>
    </row>
    <row r="32" spans="2:92" ht="16.5" x14ac:dyDescent="0.3">
      <c r="B32" s="134"/>
      <c r="BN32" s="137" t="str">
        <v>TP1</v>
      </c>
      <c r="BO32" s="137">
        <v>0</v>
      </c>
      <c r="BP32" s="137">
        <f ca="1"/>
        <v>0</v>
      </c>
      <c r="BQ32" s="137">
        <v>45743</v>
      </c>
      <c r="BR32" s="137">
        <f ca="1"/>
        <v>0</v>
      </c>
      <c r="BS32" s="137">
        <f ca="1"/>
        <v>0</v>
      </c>
      <c r="BT32" s="137">
        <f ca="1"/>
        <v>0</v>
      </c>
      <c r="BU32" s="204">
        <v>65</v>
      </c>
      <c r="BV32" s="137">
        <f ca="1"/>
        <v>0</v>
      </c>
      <c r="BW32" s="204">
        <v>45808</v>
      </c>
      <c r="BX32" s="204">
        <f ca="1"/>
        <v>0</v>
      </c>
      <c r="BY32" s="137">
        <v>0</v>
      </c>
      <c r="BZ32" s="137">
        <v>0</v>
      </c>
      <c r="CA32" s="204">
        <f ca="1"/>
        <v>0</v>
      </c>
      <c r="CC32" s="137" t="str">
        <f ca="1"/>
        <v>Nhóm 2</v>
      </c>
      <c r="CD32" s="137">
        <f ca="1"/>
        <v>601365000</v>
      </c>
      <c r="CE32" s="137" t="str">
        <f ca="1"/>
        <v>601.4tr</v>
      </c>
      <c r="CF32" s="204">
        <f ca="1"/>
        <v>3304203.2967032967</v>
      </c>
      <c r="CG32" s="137" t="str">
        <f ca="1"/>
        <v>3.3tr</v>
      </c>
      <c r="CH32" s="139">
        <f ca="1"/>
        <v>0</v>
      </c>
      <c r="CI32" s="137" t="str">
        <f ca="1"/>
        <v/>
      </c>
      <c r="CJ32" s="137" t="str">
        <f ca="1"/>
        <v/>
      </c>
    </row>
    <row r="33" spans="2:88" ht="16.5" x14ac:dyDescent="0.3">
      <c r="B33" s="134"/>
      <c r="BN33" s="137" t="str">
        <v>HH1</v>
      </c>
      <c r="BO33" s="137">
        <v>0</v>
      </c>
      <c r="BP33" s="137">
        <f ca="1"/>
        <v>0</v>
      </c>
      <c r="BQ33" s="137">
        <v>45729</v>
      </c>
      <c r="BR33" s="137">
        <f ca="1"/>
        <v>0</v>
      </c>
      <c r="BS33" s="137">
        <f ca="1"/>
        <v>0</v>
      </c>
      <c r="BT33" s="137">
        <f ca="1"/>
        <v>0</v>
      </c>
      <c r="BU33" s="204">
        <v>79</v>
      </c>
      <c r="BV33" s="137">
        <f ca="1"/>
        <v>0</v>
      </c>
      <c r="BW33" s="204">
        <v>45804</v>
      </c>
      <c r="BX33" s="204">
        <f ca="1"/>
        <v>0</v>
      </c>
      <c r="BY33" s="137">
        <v>0</v>
      </c>
      <c r="BZ33" s="137">
        <v>0</v>
      </c>
      <c r="CA33" s="204">
        <f ca="1"/>
        <v>0</v>
      </c>
      <c r="CC33" s="137" t="str">
        <f ca="1"/>
        <v>Nhóm 3</v>
      </c>
      <c r="CD33" s="137">
        <f ca="1"/>
        <v>806200000</v>
      </c>
      <c r="CE33" s="137" t="str">
        <f ca="1"/>
        <v>806.2tr</v>
      </c>
      <c r="CF33" s="204">
        <f ca="1"/>
        <v>4429670.3296703296</v>
      </c>
      <c r="CG33" s="137" t="str">
        <f ca="1"/>
        <v>4.4tr</v>
      </c>
      <c r="CH33" s="137">
        <f ca="1"/>
        <v>0</v>
      </c>
      <c r="CI33" s="137">
        <f ca="1"/>
        <v>4429670.3296703296</v>
      </c>
      <c r="CJ33" s="137" t="str">
        <f ca="1"/>
        <v>4.4tr</v>
      </c>
    </row>
    <row r="34" spans="2:88" ht="16.5" x14ac:dyDescent="0.3">
      <c r="B34" s="134"/>
      <c r="BX34" s="204"/>
      <c r="BY34" s="204"/>
      <c r="BZ34" s="204"/>
      <c r="CA34" s="204"/>
      <c r="CB34" s="204"/>
    </row>
    <row r="35" spans="2:88" ht="16.5" x14ac:dyDescent="0.3">
      <c r="B35" s="134"/>
      <c r="BX35" s="204"/>
      <c r="BY35" s="204"/>
      <c r="BZ35" s="204"/>
      <c r="CA35" s="204"/>
      <c r="CB35" s="204"/>
    </row>
    <row r="36" spans="2:88" ht="16.5" x14ac:dyDescent="0.3">
      <c r="B36" s="134"/>
      <c r="BX36" s="204"/>
      <c r="BY36" s="204"/>
      <c r="BZ36" s="204"/>
      <c r="CA36" s="204"/>
      <c r="CB36" s="204"/>
    </row>
    <row r="37" spans="2:88" ht="16.5" x14ac:dyDescent="0.3">
      <c r="B37" s="134"/>
      <c r="BX37" s="204"/>
      <c r="BY37" s="204"/>
      <c r="BZ37" s="204"/>
      <c r="CA37" s="204"/>
      <c r="CB37" s="204"/>
    </row>
    <row r="38" spans="2:88" ht="16.5" x14ac:dyDescent="0.3">
      <c r="B38" s="134"/>
    </row>
    <row r="39" spans="2:88" ht="16.5" x14ac:dyDescent="0.3">
      <c r="B39" s="134"/>
    </row>
    <row r="40" spans="2:88" ht="16.5" x14ac:dyDescent="0.3">
      <c r="B40" s="134"/>
    </row>
    <row r="41" spans="2:88" ht="16.5" x14ac:dyDescent="0.3">
      <c r="B41" s="134"/>
    </row>
    <row r="42" spans="2:88" ht="16.5" x14ac:dyDescent="0.3">
      <c r="B42" s="134"/>
    </row>
    <row r="43" spans="2:88" ht="16.5" x14ac:dyDescent="0.3">
      <c r="B43" s="134"/>
    </row>
    <row r="44" spans="2:88" ht="16.5" x14ac:dyDescent="0.3">
      <c r="B44" s="134"/>
    </row>
    <row r="45" spans="2:88" ht="16.5" x14ac:dyDescent="0.3">
      <c r="B45" s="134"/>
    </row>
    <row r="46" spans="2:88" ht="16.5" x14ac:dyDescent="0.3">
      <c r="B46" s="134"/>
    </row>
    <row r="47" spans="2:88" ht="16.5" x14ac:dyDescent="0.3">
      <c r="B47" s="134"/>
    </row>
    <row r="48" spans="2:88" ht="16.5" x14ac:dyDescent="0.3">
      <c r="B48" s="134"/>
    </row>
    <row r="49" spans="2:2" ht="16.5" x14ac:dyDescent="0.3">
      <c r="B49" s="134"/>
    </row>
    <row r="50" spans="2:2" ht="16.5" x14ac:dyDescent="0.3">
      <c r="B50" s="134"/>
    </row>
    <row r="51" spans="2:2" ht="16.5" x14ac:dyDescent="0.3">
      <c r="B51" s="134"/>
    </row>
    <row r="52" spans="2:2" ht="16.5" x14ac:dyDescent="0.3">
      <c r="B52" s="134"/>
    </row>
    <row r="53" spans="2:2" ht="16.5" x14ac:dyDescent="0.3">
      <c r="B53" s="134"/>
    </row>
    <row r="54" spans="2:2" ht="16.5" x14ac:dyDescent="0.3">
      <c r="B54" s="134"/>
    </row>
    <row r="55" spans="2:2" ht="16.5" x14ac:dyDescent="0.3">
      <c r="B55" s="134"/>
    </row>
    <row r="56" spans="2:2" ht="16.5" x14ac:dyDescent="0.3">
      <c r="B56" s="134"/>
    </row>
    <row r="57" spans="2:2" ht="16.5" x14ac:dyDescent="0.3">
      <c r="B57" s="134"/>
    </row>
    <row r="58" spans="2:2" ht="16.5" x14ac:dyDescent="0.3">
      <c r="B58" s="134"/>
    </row>
  </sheetData>
  <sheetProtection algorithmName="SHA-512" hashValue="l4DDPztxloTdxa6Ar/e3TTs6/cXazbfzQq+mMH6ILx+RQKxBtsBMXP7b1U2B2/ImbuQ9bCf7BDyarnmgjIRJBg==" saltValue="X95tQqm906GqKWt2pNygtw==" spinCount="100000" sheet="1" scenarios="1" formatCells="0" formatColumns="0" formatRows="0" insertColumns="0" insertRows="0" deleteColumns="0" deleteRows="0" sort="0" autoFilter="0" pivotTables="0"/>
  <mergeCells count="1">
    <mergeCell ref="AA4:AC4"/>
  </mergeCells>
  <dataValidations count="1">
    <dataValidation type="list" allowBlank="1" showInputMessage="1" showErrorMessage="1" sqref="AA4:AC4" xr:uid="{6074FA18-B329-41A3-9806-583E7AE7D6D4}">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47106"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controls>
    </mc:Choice>
  </mc:AlternateContent>
  <tableParts count="4">
    <tablePart r:id="rId6"/>
    <tablePart r:id="rId7"/>
    <tablePart r:id="rId8"/>
    <tablePart r:id="rId9"/>
  </tableParts>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EF7D5-6DD9-4773-ABE9-4BE1F21E5B81}">
  <sheetPr codeName="Sheet49">
    <tabColor theme="9" tint="0.39997558519241921"/>
    <outlinePr summaryBelow="0" summaryRight="0"/>
  </sheetPr>
  <dimension ref="A2:CU46"/>
  <sheetViews>
    <sheetView zoomScaleNormal="100" workbookViewId="0">
      <selection activeCell="CG21" sqref="CG21:CG22"/>
    </sheetView>
  </sheetViews>
  <sheetFormatPr defaultRowHeight="18" customHeight="1" outlineLevelCol="1" x14ac:dyDescent="0.3"/>
  <cols>
    <col min="1" max="1" width="10.375" style="130" customWidth="1"/>
    <col min="2" max="33" width="9" style="130"/>
    <col min="34" max="37" width="9" style="132"/>
    <col min="38" max="38" width="9" style="132" customWidth="1"/>
    <col min="39" max="39" width="9" style="132"/>
    <col min="40" max="40" width="9" style="132" customWidth="1"/>
    <col min="41" max="59" width="9" style="132"/>
    <col min="60" max="60" width="9.875" style="132" customWidth="1"/>
    <col min="61" max="61" width="9" style="132" customWidth="1"/>
    <col min="62" max="64" width="9" style="132"/>
    <col min="65" max="67" width="10.5" style="132" customWidth="1"/>
    <col min="68" max="68" width="9" style="132"/>
    <col min="69" max="72" width="9" style="138" customWidth="1"/>
    <col min="73" max="73" width="11.5" style="138" customWidth="1"/>
    <col min="74" max="77" width="9" style="138" customWidth="1"/>
    <col min="78" max="78" width="9" style="138"/>
    <col min="79" max="81" width="9" style="138" customWidth="1"/>
    <col min="82" max="83" width="9" style="138" customWidth="1" outlineLevel="1"/>
    <col min="84" max="84" width="10.375" style="138" customWidth="1" outlineLevel="1"/>
    <col min="85" max="88" width="9" style="138" customWidth="1" outlineLevel="1"/>
    <col min="89" max="89" width="9" style="138" customWidth="1"/>
    <col min="90" max="96" width="9" style="138" customWidth="1" outlineLevel="1"/>
    <col min="97" max="97" width="9" style="138"/>
    <col min="98" max="99" width="9" style="132"/>
    <col min="100" max="16384" width="9" style="130"/>
  </cols>
  <sheetData>
    <row r="2" spans="1:96" ht="16.5" x14ac:dyDescent="0.3">
      <c r="B2" s="134"/>
      <c r="C2" s="134"/>
      <c r="Z2" s="558" t="s">
        <v>210</v>
      </c>
      <c r="AA2" s="558"/>
      <c r="AB2" s="558"/>
      <c r="AD2" s="558" t="s">
        <v>145</v>
      </c>
      <c r="AE2" s="558"/>
      <c r="AF2" s="558"/>
    </row>
    <row r="3" spans="1:96" ht="16.5" x14ac:dyDescent="0.3">
      <c r="B3" s="134"/>
      <c r="C3" s="134"/>
      <c r="Z3" s="557"/>
      <c r="AA3" s="557"/>
      <c r="AB3" s="557"/>
      <c r="AD3" s="557"/>
      <c r="AE3" s="557"/>
      <c r="AF3" s="557"/>
    </row>
    <row r="4" spans="1:96" ht="16.5" x14ac:dyDescent="0.3">
      <c r="B4" s="134"/>
      <c r="C4" s="134"/>
      <c r="AP4" s="132" t="s">
        <v>211</v>
      </c>
      <c r="AQ4" s="132" t="s">
        <v>33</v>
      </c>
      <c r="AR4" s="132" t="s">
        <v>212</v>
      </c>
      <c r="AS4" s="132" t="s">
        <v>213</v>
      </c>
      <c r="AT4" s="132" t="s">
        <v>214</v>
      </c>
      <c r="AU4" s="132" t="s">
        <v>215</v>
      </c>
      <c r="AV4" s="132" t="s">
        <v>216</v>
      </c>
      <c r="AY4" s="132" t="s">
        <v>35</v>
      </c>
      <c r="AZ4" s="132" t="s">
        <v>33</v>
      </c>
      <c r="BA4" s="132" t="s">
        <v>212</v>
      </c>
      <c r="BB4" s="132" t="s">
        <v>213</v>
      </c>
      <c r="BC4" s="132" t="s">
        <v>214</v>
      </c>
      <c r="BD4" s="132" t="s">
        <v>215</v>
      </c>
      <c r="BE4" s="132" t="s">
        <v>216</v>
      </c>
      <c r="BH4" s="132" t="s">
        <v>25</v>
      </c>
      <c r="BI4" s="132" t="s">
        <v>217</v>
      </c>
      <c r="BJ4" s="132" t="s">
        <v>218</v>
      </c>
      <c r="BM4" s="132" t="s">
        <v>219</v>
      </c>
      <c r="BN4" s="132" t="s">
        <v>218</v>
      </c>
      <c r="BO4" s="132" t="s">
        <v>217</v>
      </c>
      <c r="BR4" s="138" t="s">
        <v>220</v>
      </c>
      <c r="BS4" s="138" t="s">
        <v>221</v>
      </c>
      <c r="BT4" s="138" t="s">
        <v>212</v>
      </c>
      <c r="BU4" s="138" t="s">
        <v>222</v>
      </c>
      <c r="BV4" s="138" t="s">
        <v>223</v>
      </c>
      <c r="BW4" s="138" t="s">
        <v>224</v>
      </c>
      <c r="BX4" s="138" t="s">
        <v>212</v>
      </c>
      <c r="BY4" s="138" t="s">
        <v>222</v>
      </c>
      <c r="CD4" s="138" t="s">
        <v>38</v>
      </c>
      <c r="CE4" s="138" t="s">
        <v>33</v>
      </c>
      <c r="CF4" s="138" t="s">
        <v>22</v>
      </c>
      <c r="CG4" s="138" t="s">
        <v>133</v>
      </c>
      <c r="CH4" s="138" t="s">
        <v>212</v>
      </c>
      <c r="CI4" s="138" t="s">
        <v>225</v>
      </c>
      <c r="CJ4" s="138" t="s">
        <v>22</v>
      </c>
      <c r="CL4" s="138" t="s">
        <v>37</v>
      </c>
      <c r="CM4" s="138" t="s">
        <v>33</v>
      </c>
      <c r="CN4" s="138" t="s">
        <v>22</v>
      </c>
      <c r="CO4" s="138" t="s">
        <v>226</v>
      </c>
      <c r="CP4" s="138" t="s">
        <v>212</v>
      </c>
      <c r="CQ4" s="138" t="s">
        <v>225</v>
      </c>
      <c r="CR4" s="138" t="s">
        <v>22</v>
      </c>
    </row>
    <row r="5" spans="1:96" ht="16.5" x14ac:dyDescent="0.3">
      <c r="A5" s="134"/>
      <c r="B5" s="134"/>
      <c r="C5" s="134"/>
      <c r="AO5" s="132" t="str" cm="1">
        <f t="array" ref="AO5">_xlfn.UNIQUE(Table_Kenh[Mã Kênh])</f>
        <v>A</v>
      </c>
      <c r="AP5" s="132" t="s">
        <v>939</v>
      </c>
      <c r="AQ5"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5" s="132">
        <f>IFERROR(VLOOKUP(Dashboard_KPI_Kenh[[#This Row],[Mã kênh]],_xlfn.ANCHORARRAY($CD$5):_xlfn.ANCHORARRAY($CH$5),5,0),0)</f>
        <v>0</v>
      </c>
      <c r="AS5" s="132">
        <f>IFERROR(VLOOKUP(Dashboard_KPI_Kenh[[#This Row],[Mã kênh]],_xlfn.ANCHORARRAY($CD$5):_xlfn.ANCHORARRAY($CI$5),6,0),0)</f>
        <v>0</v>
      </c>
      <c r="AT5" s="132" cm="1">
        <f t="array" ref="AT5">IFERROR(
SUM(_xlfn._xlws.FILTER(Table_KPI[Doanh thu KPI],
(Table_KPI[Kênh] = Dashboard_KPI_Kenh[[#This Row],[Mã kênh]])*
(Table_KPI[Kỳ] &gt;=DATE(YEAR(Pivot!$AC$2),MONTH(Pivot!$AC$2),1))*
(Table_KPI[Kỳ] &lt;=DATE(YEAR(Pivot!$AC$3),MONTH(Pivot!$AC$3)+1,1)-1)
)),0)</f>
        <v>0</v>
      </c>
      <c r="AU5" s="136" t="str">
        <f>IFERROR(Dashboard_KPI_Kenh[[#This Row],[Doanh thu]]/Dashboard_KPI_Kenh[[#This Row],[KPI]],"")</f>
        <v/>
      </c>
      <c r="AV5" s="340" t="str">
        <f>IF(Dashboard_KPI_Kenh[[#This Row],[Tỷ lệ KPI]]&gt;1,Dashboard_KPI_Kenh[[#This Row],[Tỷ lệ KPI]],"")</f>
        <v/>
      </c>
      <c r="AX5" s="132" cm="1">
        <f t="array" ref="AX5">_xlfn.UNIQUE(Table_NhanVien[Mã NV])</f>
        <v>0</v>
      </c>
      <c r="AY5" s="132" t="s">
        <v>936</v>
      </c>
      <c r="AZ5"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5" s="132">
        <f>IFERROR(VLOOKUP(Dashboard_KPI_NhanVien[[#This Row],[Mã NV]],_xlfn.ANCHORARRAY($CL$5):_xlfn.ANCHORARRAY($CP$5),5,0),0)</f>
        <v>0</v>
      </c>
      <c r="BB5" s="132">
        <f>IFERROR(VLOOKUP(Dashboard_KPI_NhanVien[[#This Row],[Mã NV]],_xlfn.ANCHORARRAY($CL$5):_xlfn.ANCHORARRAY($CQ$5),6,0),0)</f>
        <v>0</v>
      </c>
      <c r="BC5" s="132" cm="1">
        <f t="array" ref="BC5">IFERROR(
SUM(_xlfn._xlws.FILTER(Table_KPI[Doanh thu KPI],
(Table_KPI[Nhân viên] = Dashboard_KPI_NhanVien[[#This Row],[Mã NV]])*
(Table_KPI[Kỳ] &gt;=DATE(YEAR(Pivot!$AC$2),MONTH(Pivot!$AC$2),1))*
(Table_KPI[Kỳ] &lt;=DATE(YEAR(Pivot!$AC$3),MONTH(Pivot!$AC$3)+1,1)-1)
)),0)</f>
        <v>0</v>
      </c>
      <c r="BD5" s="136" t="str">
        <f>IFERROR(Dashboard_KPI_NhanVien[[#This Row],[Doanh thu]]/Dashboard_KPI_NhanVien[[#This Row],[KPI]],"")</f>
        <v/>
      </c>
      <c r="BE5" s="340" t="str">
        <f>IF(Dashboard_KPI_NhanVien[[#This Row],[Tỷ lệ KPI]]&gt;1,Dashboard_KPI_NhanVien[[#This Row],[Tỷ lệ KPI]],"")</f>
        <v/>
      </c>
      <c r="BG5" s="132" cm="1">
        <f t="array" ref="BG5">_xlfn.UNIQUE(Table_KhachHang[Phân khúc])</f>
        <v>0</v>
      </c>
      <c r="BH5" s="132" t="s">
        <v>995</v>
      </c>
      <c r="BI5" s="340" cm="1">
        <f t="array" aca="1" ref="BI5"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0.46446140797285834</v>
      </c>
      <c r="BJ5" s="340" cm="1">
        <f t="array" aca="1" ref="BJ5"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0.46446140797285834</v>
      </c>
      <c r="BK5" s="340"/>
      <c r="BL5" s="340" cm="1">
        <f t="array" ref="BL5">_xlfn.UNIQUE(Table_SKU[Nhóm 1])</f>
        <v>0</v>
      </c>
      <c r="BM5" s="340" t="s">
        <v>29</v>
      </c>
      <c r="BN5" s="340" cm="1">
        <f t="array" aca="1" ref="BN5"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0.29638676844783712</v>
      </c>
      <c r="BO5" s="340" cm="1">
        <f t="array" aca="1" ref="BO5"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0.29638676844783712</v>
      </c>
      <c r="BQ5" s="138">
        <v>1</v>
      </c>
      <c r="BR5" s="138" cm="1">
        <f t="array" ref="BR5">IFERROR(
IF(
ISBLANK($Z$3),
SUM(
_xlfn._xlws.FILTER(Table_Main[CK kênh],
(Table_Main[Ngày lên đơn]&gt;=DATE(YEAR(Pivot!$AC$2),MONTH(Pivot!$AC$2),1))*
(Table_Main[Ngày lên đơn]&lt;=DATE(YEAR(Pivot!$AC$3), MONTH(Pivot!$AC$3)+1,1)-1)*
(MONTH(Table_Main[Ngày lên đơn]) = BQ5)
)),
SUM(
_xlfn._xlws.FILTER(Table_Main[CK kênh],
(Table_Main[Kênh] = $Z$3)*
(Table_Main[Ngày lên đơn]&gt;=DATE(YEAR(Pivot!$AC$2),MONTH(Pivot!$AC$2),1))*
(Table_Main[Ngày lên đơn]&lt;=DATE(YEAR(Pivot!$AC$3), MONTH(Pivot!$AC$3)+1,1)-1)*
(MONTH(Table_Main[Ngày lên đơn]) = BQ5)
))
),0)</f>
        <v>0</v>
      </c>
      <c r="BS5" s="138" cm="1">
        <f t="array" ref="BS5">IFERROR(
IF(ISBLANK($Z$3),
SUM(_xlfn._xlws.FILTER(
Table_DonBan[Doanh thu ròng],
(Table_DonBan[Ngày lập]&gt;=DATE(YEAR(Pivot!$AC$2),MONTH(Pivot!$AC$2),1))*
(Table_DonBan[Ngày lập]&lt;=DATE(YEAR(Pivot!$AC$3), MONTH(Pivot!$AC$3)+1,1)-1)*
(MONTH(Table_DonBan[Ngày lập]) = BQ5)
)),
SUM(_xlfn._xlws.FILTER(
Table_DonBan[Doanh thu ròng],
(Table_DonBan[Kênh] = $Z$3)*
(Table_DonBan[Ngày lập]&gt;=DATE(YEAR(Pivot!$AC$2),MONTH(Pivot!$AC$2),1))*
(Table_DonBan[Ngày lập]&lt;=DATE(YEAR(Pivot!$AC$3), MONTH(Pivot!$AC$3)+1,1)-1)*
(MONTH(Table_DonBan[Ngày lập]) = BQ5)
))
),0)</f>
        <v>0</v>
      </c>
      <c r="BT5" s="144" t="str">
        <f>IFERROR(BR5/BS5,"")</f>
        <v/>
      </c>
      <c r="BU5" s="143" t="str">
        <f>IFERROR(BS5/(BT5*100),"")</f>
        <v/>
      </c>
      <c r="BV5" s="138" cm="1">
        <f t="array" ref="BV5">IFERROR(
IF(ISBLANK($AD$3),
SUM(_xlfn._xlws.FILTER(
Table_Main[Hoa hồng],
(Table_Main[Ngày lên đơn]&gt;=DATE(YEAR(Pivot!$AC$2),MONTH(Pivot!$AC$2),1))*
(Table_Main[Ngày lên đơn]&lt;=DATE(YEAR(Pivot!$AC$3), MONTH(Pivot!$AC$3)+1,1)-1)*
(Table_Main[Tháng lên đơn] = BQ5)
)),
SUM(_xlfn._xlws.FILTER(
Table_Main[Hoa hồng],
(Table_Main[NV Bán hàng] = $AD$3)*
(Table_Main[Ngày lên đơn]&gt;=DATE(YEAR(Pivot!$AC$2),MONTH(Pivot!$AC$2),1))*
(Table_Main[Ngày lên đơn]&lt;=DATE(YEAR(Pivot!$AC$3), MONTH(Pivot!$AC$3)+1,1)-1)*
(Table_Main[Tháng lên đơn] = BQ5)
))
),0)</f>
        <v>0</v>
      </c>
      <c r="BW5" s="138" cm="1">
        <f t="array" ref="BW5">IFERROR(
IF(ISBLANK($AD$3),
SUM(_xlfn._xlws.FILTER(
Table_DonBan[Doanh thu ròng],
(Table_DonBan[Ngày lập]&gt;=DATE(YEAR(Pivot!$AC$2),MONTH(Pivot!$AC$2),1))*
(Table_DonBan[Ngày lập]&lt;=DATE(YEAR(Pivot!$AC$3), MONTH(Pivot!$AC$3)+1,1)-1)*
(MONTH(Table_DonBan[Ngày lập]) = BQ5)
)),
SUM(_xlfn._xlws.FILTER(
Table_DonBan[Doanh thu ròng],
(Table_DonBan[Mã NV] = $AD$3)*
(Table_DonBan[Ngày lập]&gt;=DATE(YEAR(Pivot!$AC$2),MONTH(Pivot!$AC$2),1))*
(Table_DonBan[Ngày lập]&lt;=DATE(YEAR(Pivot!$AC$3), MONTH(Pivot!$AC$3)+1,1)-1)*
(MONTH(Table_DonBan[Ngày lập]) = BQ5)
))
),0)</f>
        <v>0</v>
      </c>
      <c r="BX5" s="144" t="str">
        <f>IFERROR(BV5/BW5,"")</f>
        <v/>
      </c>
      <c r="BY5" s="143" t="str">
        <f>IFERROR(BW5/(BX5*100),"")</f>
        <v/>
      </c>
      <c r="CD5" s="138" t="str" cm="1">
        <f t="array" ref="CD5">_xlfn.UNIQUE(Table_Kenh[Mã Kênh])</f>
        <v>A</v>
      </c>
      <c r="CE5" s="138" cm="1">
        <f t="array" ref="CE5">SUMIFS(Table_DonBan[Doanh thu ròng],
Table_DonBan[Kênh],_xlfn.ANCHORARRAY( CD5),
Table_DonBan[Ngày lập],"&gt;="&amp;DATE(YEAR(Pivot!$AC$2),MONTH(Pivot!$AC$2),1),
Table_DonBan[Ngày lập],"&lt;="&amp;DATE(YEAR(Pivot!$AC$3), MONTH(Pivot!$AC$3)+1,1)-1
)</f>
        <v>0</v>
      </c>
      <c r="CF5" s="138" t="str" cm="1">
        <f t="array" ref="CF5">IFERROR(TEXT(_xlfn.ANCHORARRAY(CE5),LOOKUP(_xlfn.ANCHORARRAY(CE5),Pivot!$B$6:$B$12,Pivot!$C$6:$C$12)),"")</f>
        <v/>
      </c>
      <c r="CG5" s="138" cm="1">
        <f t="array" ref="CG5">MAX(0,
SUMIFS(
Table_Main[CK kênh],
Table_Main[Kênh],_xlfn.ANCHORARRAY( CD5),
Table_Main[Ngày lên đơn], "&gt;="&amp;DATE(YEAR(Pivot!$AC$2),MONTH(Pivot!$AC$2)+1,1),
Table_Main[Ngày lên đơn], "&lt;="&amp;DATE(YEAR(Pivot!$AC$3), MONTH(Pivot!$AC$3)+1,1)-1
))</f>
        <v>0</v>
      </c>
      <c r="CH5" s="160" t="str" cm="1">
        <f t="array" ref="CH5">IFERROR(_xlfn.ANCHORARRAY(CG5)/_xlfn.ANCHORARRAY(CE5),"")</f>
        <v/>
      </c>
      <c r="CI5" s="138" t="str" cm="1">
        <f t="array" ref="CI5">IFERROR(_xlfn.ANCHORARRAY(CE5)/(_xlfn.ANCHORARRAY(CH5)*100),"")</f>
        <v/>
      </c>
      <c r="CJ5" s="138" t="str" cm="1">
        <f t="array" ref="CJ5">IFERROR(TEXT(_xlfn.ANCHORARRAY(CI5),LOOKUP(_xlfn.ANCHORARRAY(CI5),Pivot!$B$6:$B$12,Pivot!$C$6:$C$12)),"")</f>
        <v/>
      </c>
      <c r="CL5" s="138" cm="1">
        <f t="array" ref="CL5">_xlfn.UNIQUE(Table_NhanVien[Mã NV])</f>
        <v>0</v>
      </c>
      <c r="CM5" s="138" cm="1">
        <f t="array" ref="CM5">IFERROR(
SUMIFS(Table_DonBan[Doanh thu ròng],
Table_DonBan[Mã NV],_xlfn.ANCHORARRAY($CL$5),
Table_DonBan[Ngày lập], "&gt;="&amp;DATE(YEAR(Pivot!$AC$2),MONTH(Pivot!$AC$2),1),
Table_DonBan[Ngày lập],"&lt;="&amp;DATE(YEAR(Pivot!$AC$3), MONTH(Pivot!$AC$3)+1,1)-1
),0)</f>
        <v>0</v>
      </c>
      <c r="CN5" s="138" t="str" cm="1">
        <f t="array" ref="CN5">IFERROR(TEXT(_xlfn.ANCHORARRAY(CM5),LOOKUP(_xlfn.ANCHORARRAY(CM5),Pivot!$B$6:$B$12,Pivot!$C$6:$C$12)),"")</f>
        <v/>
      </c>
      <c r="CO5" s="138" cm="1">
        <f t="array" ref="CO5">IFERROR(
IF(
SUMIFS(Table_Main[Hoa hồng],
Table_Main[NV Bán hàng],_xlfn.ANCHORARRAY($CL$5),
Table_Main[Ngày lên đơn], "&gt;="&amp;DATE(YEAR(Pivot!$AC$2),MONTH(Pivot!$AC$2),1),
Table_Main[Ngày lên đơn],"&lt;="&amp;DATE(YEAR(Pivot!$AC$3), MONTH(Pivot!$AC$3)+1,1)-1
)&gt;0,
SUMIFS(Table_Main[Hoa hồng],
Table_Main[NV Bán hàng],_xlfn.ANCHORARRAY($CL$5),
Table_Main[Ngày lên đơn], "&gt;="&amp;DATE(YEAR(Pivot!$AC$2),MONTH(Pivot!$AC$2),1),
Table_Main[Ngày lên đơn],"&lt;="&amp;DATE(YEAR(Pivot!$AC$3), MONTH(Pivot!$AC$3)+1,1)-1
),0),0)</f>
        <v>0</v>
      </c>
      <c r="CP5" s="160" t="str" cm="1">
        <f t="array" ref="CP5">IFERROR(_xlfn.ANCHORARRAY(CO5)/_xlfn.ANCHORARRAY(CM5),"")</f>
        <v/>
      </c>
      <c r="CQ5" s="138" t="str" cm="1">
        <f t="array" ref="CQ5">IFERROR(_xlfn.ANCHORARRAY(CM5)/(_xlfn.ANCHORARRAY(CP5)*100),"")</f>
        <v/>
      </c>
      <c r="CR5" s="138" t="str" cm="1">
        <f t="array" ref="CR5">IFERROR(TEXT(_xlfn.ANCHORARRAY(CQ5),LOOKUP(_xlfn.ANCHORARRAY(CQ5),Pivot!$B$6:$B$12,Pivot!$C$6:$C$12)),"")</f>
        <v/>
      </c>
    </row>
    <row r="6" spans="1:96" ht="16.5" x14ac:dyDescent="0.3">
      <c r="A6" s="134"/>
      <c r="B6" s="134"/>
      <c r="C6" s="134"/>
      <c r="AP6" s="132" t="s">
        <v>940</v>
      </c>
      <c r="AQ6"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6" s="132">
        <f>IFERROR(VLOOKUP(Dashboard_KPI_Kenh[[#This Row],[Mã kênh]],_xlfn.ANCHORARRAY($CD$5):_xlfn.ANCHORARRAY($CH$5),5,0),0)</f>
        <v>0</v>
      </c>
      <c r="AS6" s="132">
        <f>IFERROR(VLOOKUP(Dashboard_KPI_Kenh[[#This Row],[Mã kênh]],_xlfn.ANCHORARRAY($CD$5):_xlfn.ANCHORARRAY($CI$5),6,0),0)</f>
        <v>0</v>
      </c>
      <c r="AT6" s="132" cm="1">
        <f t="array" ref="AT6">IFERROR(
SUM(_xlfn._xlws.FILTER(Table_KPI[Doanh thu KPI],
(Table_KPI[Kênh] = Dashboard_KPI_Kenh[[#This Row],[Mã kênh]])*
(Table_KPI[Kỳ] &gt;=DATE(YEAR(Pivot!$AC$2),MONTH(Pivot!$AC$2),1))*
(Table_KPI[Kỳ] &lt;=DATE(YEAR(Pivot!$AC$3),MONTH(Pivot!$AC$3)+1,1)-1)
)),0)</f>
        <v>0</v>
      </c>
      <c r="AU6" s="440" t="str">
        <f>IFERROR(Dashboard_KPI_Kenh[[#This Row],[Doanh thu]]/Dashboard_KPI_Kenh[[#This Row],[KPI]],"")</f>
        <v/>
      </c>
      <c r="AV6" s="441" t="str">
        <f>IF(Dashboard_KPI_Kenh[[#This Row],[Tỷ lệ KPI]]&gt;1,Dashboard_KPI_Kenh[[#This Row],[Tỷ lệ KPI]],"")</f>
        <v/>
      </c>
      <c r="AY6" s="132" t="s">
        <v>54</v>
      </c>
      <c r="AZ6"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6" s="132">
        <f>IFERROR(VLOOKUP(Dashboard_KPI_NhanVien[[#This Row],[Mã NV]],_xlfn.ANCHORARRAY($CL$5):_xlfn.ANCHORARRAY($CP$5),5,0),0)</f>
        <v>0</v>
      </c>
      <c r="BB6" s="132">
        <f>IFERROR(VLOOKUP(Dashboard_KPI_NhanVien[[#This Row],[Mã NV]],_xlfn.ANCHORARRAY($CL$5):_xlfn.ANCHORARRAY($CQ$5),6,0),0)</f>
        <v>0</v>
      </c>
      <c r="BC6" s="132" cm="1">
        <f t="array" ref="BC6">IFERROR(
SUM(_xlfn._xlws.FILTER(Table_KPI[Doanh thu KPI],
(Table_KPI[Nhân viên] = Dashboard_KPI_NhanVien[[#This Row],[Mã NV]])*
(Table_KPI[Kỳ] &gt;=DATE(YEAR(Pivot!$AC$2),MONTH(Pivot!$AC$2),1))*
(Table_KPI[Kỳ] &lt;=DATE(YEAR(Pivot!$AC$3),MONTH(Pivot!$AC$3)+1,1)-1)
)),0)</f>
        <v>0</v>
      </c>
      <c r="BD6" s="440" t="str">
        <f>IFERROR(Dashboard_KPI_NhanVien[[#This Row],[Doanh thu]]/Dashboard_KPI_NhanVien[[#This Row],[KPI]],"")</f>
        <v/>
      </c>
      <c r="BE6" s="441" t="str">
        <f>IF(Dashboard_KPI_NhanVien[[#This Row],[Tỷ lệ KPI]]&gt;1,Dashboard_KPI_NhanVien[[#This Row],[Tỷ lệ KPI]],"")</f>
        <v/>
      </c>
      <c r="BH6" s="132" t="s">
        <v>996</v>
      </c>
      <c r="BI6" s="441" cm="1">
        <f t="array" aca="1" ref="BI6"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0.5355385920271416</v>
      </c>
      <c r="BJ6" s="441" cm="1">
        <f t="array" aca="1" ref="BJ6"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0.5355385920271416</v>
      </c>
      <c r="BK6" s="340"/>
      <c r="BL6" s="340"/>
      <c r="BM6" s="132" t="s">
        <v>58</v>
      </c>
      <c r="BN6" s="441" cm="1">
        <f t="array" aca="1" ref="BN6"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0.30768447837150126</v>
      </c>
      <c r="BO6" s="441" cm="1">
        <f t="array" aca="1" ref="BO6"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0.30768447837150126</v>
      </c>
      <c r="BQ6" s="138">
        <v>2</v>
      </c>
      <c r="BR6" s="138" cm="1">
        <f t="array" ref="BR6">IFERROR(
IF(
ISBLANK($Z$3),
SUM(
_xlfn._xlws.FILTER(Table_Main[CK kênh],
(Table_Main[Ngày lên đơn]&gt;=DATE(YEAR(Pivot!$AC$2),MONTH(Pivot!$AC$2),1))*
(Table_Main[Ngày lên đơn]&lt;=DATE(YEAR(Pivot!$AC$3), MONTH(Pivot!$AC$3)+1,1)-1)*
(MONTH(Table_Main[Ngày lên đơn]) = BQ6)
)),
SUM(
_xlfn._xlws.FILTER(Table_Main[CK kênh],
(Table_Main[Kênh] = $Z$3)*
(Table_Main[Ngày lên đơn]&gt;=DATE(YEAR(Pivot!$AC$2),MONTH(Pivot!$AC$2),1))*
(Table_Main[Ngày lên đơn]&lt;=DATE(YEAR(Pivot!$AC$3), MONTH(Pivot!$AC$3)+1,1)-1)*
(MONTH(Table_Main[Ngày lên đơn]) = BQ6)
))
),0)</f>
        <v>0</v>
      </c>
      <c r="BS6" s="138" cm="1">
        <f t="array" ref="BS6">IFERROR(
IF(ISBLANK($Z$3),
SUM(_xlfn._xlws.FILTER(
Table_DonBan[Doanh thu ròng],
(Table_DonBan[Ngày lập]&gt;=DATE(YEAR(Pivot!$AC$2),MONTH(Pivot!$AC$2),1))*
(Table_DonBan[Ngày lập]&lt;=DATE(YEAR(Pivot!$AC$3), MONTH(Pivot!$AC$3)+1,1)-1)*
(MONTH(Table_DonBan[Ngày lập]) = BQ6)
)),
SUM(_xlfn._xlws.FILTER(
Table_DonBan[Doanh thu ròng],
(Table_DonBan[Kênh] = $Z$3)*
(Table_DonBan[Ngày lập]&gt;=DATE(YEAR(Pivot!$AC$2),MONTH(Pivot!$AC$2),1))*
(Table_DonBan[Ngày lập]&lt;=DATE(YEAR(Pivot!$AC$3), MONTH(Pivot!$AC$3)+1,1)-1)*
(MONTH(Table_DonBan[Ngày lập]) = BQ6)
))
),0)</f>
        <v>0</v>
      </c>
      <c r="BT6" s="144" t="str">
        <f t="shared" ref="BT6:BT16" si="0">IFERROR(BR6/BS6,"")</f>
        <v/>
      </c>
      <c r="BU6" s="143" t="str">
        <f t="shared" ref="BU6:BU16" si="1">IFERROR(BS6/(BT6*100),"")</f>
        <v/>
      </c>
      <c r="BV6" s="138" cm="1">
        <f t="array" ref="BV6">IFERROR(
IF(ISBLANK($AD$3),
SUM(_xlfn._xlws.FILTER(
Table_Main[Hoa hồng],
(Table_Main[Ngày lên đơn]&gt;=DATE(YEAR(Pivot!$AC$2),MONTH(Pivot!$AC$2),1))*
(Table_Main[Ngày lên đơn]&lt;=DATE(YEAR(Pivot!$AC$3), MONTH(Pivot!$AC$3)+1,1)-1)*
(Table_Main[Tháng lên đơn] = BQ6)
)),
SUM(_xlfn._xlws.FILTER(
Table_Main[Hoa hồng],
(Table_Main[NV Bán hàng] = $AD$3)*
(Table_Main[Ngày lên đơn]&gt;=DATE(YEAR(Pivot!$AC$2),MONTH(Pivot!$AC$2),1))*
(Table_Main[Ngày lên đơn]&lt;=DATE(YEAR(Pivot!$AC$3), MONTH(Pivot!$AC$3)+1,1)-1)*
(Table_Main[Tháng lên đơn] = BQ6)
))
),0)</f>
        <v>0</v>
      </c>
      <c r="BW6" s="138" cm="1">
        <f t="array" ref="BW6">IFERROR(
IF(ISBLANK($AD$3),
SUM(_xlfn._xlws.FILTER(
Table_DonBan[Doanh thu ròng],
(Table_DonBan[Ngày lập]&gt;=DATE(YEAR(Pivot!$AC$2),MONTH(Pivot!$AC$2),1))*
(Table_DonBan[Ngày lập]&lt;=DATE(YEAR(Pivot!$AC$3), MONTH(Pivot!$AC$3)+1,1)-1)*
(MONTH(Table_DonBan[Ngày lập]) = BQ6)
)),
SUM(_xlfn._xlws.FILTER(
Table_DonBan[Doanh thu ròng],
(Table_DonBan[Mã NV] = $AD$3)*
(Table_DonBan[Ngày lập]&gt;=DATE(YEAR(Pivot!$AC$2),MONTH(Pivot!$AC$2),1))*
(Table_DonBan[Ngày lập]&lt;=DATE(YEAR(Pivot!$AC$3), MONTH(Pivot!$AC$3)+1,1)-1)*
(MONTH(Table_DonBan[Ngày lập]) = BQ6)
))
),0)</f>
        <v>0</v>
      </c>
      <c r="BX6" s="144" t="str">
        <f t="shared" ref="BX6:BX16" si="2">IFERROR(BV6/BW6,"")</f>
        <v/>
      </c>
      <c r="BY6" s="143" t="str">
        <f t="shared" ref="BY6:BY16" si="3">IFERROR(BW6/(BX6*100),"")</f>
        <v/>
      </c>
      <c r="CH6" s="160"/>
    </row>
    <row r="7" spans="1:96" ht="16.5" x14ac:dyDescent="0.3">
      <c r="A7" s="134"/>
      <c r="B7" s="134"/>
      <c r="C7" s="134"/>
      <c r="AP7" s="132" t="s">
        <v>60</v>
      </c>
      <c r="AQ7"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7" s="132">
        <f>IFERROR(VLOOKUP(Dashboard_KPI_Kenh[[#This Row],[Mã kênh]],_xlfn.ANCHORARRAY($CD$5):_xlfn.ANCHORARRAY($CH$5),5,0),0)</f>
        <v>0</v>
      </c>
      <c r="AS7" s="132">
        <f>IFERROR(VLOOKUP(Dashboard_KPI_Kenh[[#This Row],[Mã kênh]],_xlfn.ANCHORARRAY($CD$5):_xlfn.ANCHORARRAY($CI$5),6,0),0)</f>
        <v>0</v>
      </c>
      <c r="AT7" s="132" cm="1">
        <f t="array" ref="AT7">IFERROR(
SUM(_xlfn._xlws.FILTER(Table_KPI[Doanh thu KPI],
(Table_KPI[Kênh] = Dashboard_KPI_Kenh[[#This Row],[Mã kênh]])*
(Table_KPI[Kỳ] &gt;=DATE(YEAR(Pivot!$AC$2),MONTH(Pivot!$AC$2),1))*
(Table_KPI[Kỳ] &lt;=DATE(YEAR(Pivot!$AC$3),MONTH(Pivot!$AC$3)+1,1)-1)
)),0)</f>
        <v>0</v>
      </c>
      <c r="AU7" s="440" t="str">
        <f>IFERROR(Dashboard_KPI_Kenh[[#This Row],[Doanh thu]]/Dashboard_KPI_Kenh[[#This Row],[KPI]],"")</f>
        <v/>
      </c>
      <c r="AV7" s="441" t="str">
        <f>IF(Dashboard_KPI_Kenh[[#This Row],[Tỷ lệ KPI]]&gt;1,Dashboard_KPI_Kenh[[#This Row],[Tỷ lệ KPI]],"")</f>
        <v/>
      </c>
      <c r="AY7" s="132" t="s">
        <v>65</v>
      </c>
      <c r="AZ7"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7" s="132">
        <f>IFERROR(VLOOKUP(Dashboard_KPI_NhanVien[[#This Row],[Mã NV]],_xlfn.ANCHORARRAY($CL$5):_xlfn.ANCHORARRAY($CP$5),5,0),0)</f>
        <v>0</v>
      </c>
      <c r="BB7" s="132">
        <f>IFERROR(VLOOKUP(Dashboard_KPI_NhanVien[[#This Row],[Mã NV]],_xlfn.ANCHORARRAY($CL$5):_xlfn.ANCHORARRAY($CQ$5),6,0),0)</f>
        <v>0</v>
      </c>
      <c r="BC7" s="132" cm="1">
        <f t="array" ref="BC7">IFERROR(
SUM(_xlfn._xlws.FILTER(Table_KPI[Doanh thu KPI],
(Table_KPI[Nhân viên] = Dashboard_KPI_NhanVien[[#This Row],[Mã NV]])*
(Table_KPI[Kỳ] &gt;=DATE(YEAR(Pivot!$AC$2),MONTH(Pivot!$AC$2),1))*
(Table_KPI[Kỳ] &lt;=DATE(YEAR(Pivot!$AC$3),MONTH(Pivot!$AC$3)+1,1)-1)
)),0)</f>
        <v>0</v>
      </c>
      <c r="BD7" s="440" t="str">
        <f>IFERROR(Dashboard_KPI_NhanVien[[#This Row],[Doanh thu]]/Dashboard_KPI_NhanVien[[#This Row],[KPI]],"")</f>
        <v/>
      </c>
      <c r="BE7" s="441" t="str">
        <f>IF(Dashboard_KPI_NhanVien[[#This Row],[Tỷ lệ KPI]]&gt;1,Dashboard_KPI_NhanVien[[#This Row],[Tỷ lệ KPI]],"")</f>
        <v/>
      </c>
      <c r="BM7" s="132" t="s">
        <v>62</v>
      </c>
      <c r="BN7" s="441" cm="1">
        <f t="array" aca="1" ref="BN7"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0.39592875318066156</v>
      </c>
      <c r="BO7" s="441" cm="1">
        <f t="array" aca="1" ref="BO7"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0.39592875318066156</v>
      </c>
      <c r="BQ7" s="138">
        <v>3</v>
      </c>
      <c r="BR7" s="138" cm="1">
        <f t="array" ref="BR7">IFERROR(
IF(
ISBLANK($Z$3),
SUM(
_xlfn._xlws.FILTER(Table_Main[CK kênh],
(Table_Main[Ngày lên đơn]&gt;=DATE(YEAR(Pivot!$AC$2),MONTH(Pivot!$AC$2),1))*
(Table_Main[Ngày lên đơn]&lt;=DATE(YEAR(Pivot!$AC$3), MONTH(Pivot!$AC$3)+1,1)-1)*
(MONTH(Table_Main[Ngày lên đơn]) = BQ7)
)),
SUM(
_xlfn._xlws.FILTER(Table_Main[CK kênh],
(Table_Main[Kênh] = $Z$3)*
(Table_Main[Ngày lên đơn]&gt;=DATE(YEAR(Pivot!$AC$2),MONTH(Pivot!$AC$2),1))*
(Table_Main[Ngày lên đơn]&lt;=DATE(YEAR(Pivot!$AC$3), MONTH(Pivot!$AC$3)+1,1)-1)*
(MONTH(Table_Main[Ngày lên đơn]) = BQ7)
))
),0)</f>
        <v>0</v>
      </c>
      <c r="BS7" s="138" cm="1">
        <f t="array" ref="BS7">IFERROR(
IF(ISBLANK($Z$3),
SUM(_xlfn._xlws.FILTER(
Table_DonBan[Doanh thu ròng],
(Table_DonBan[Ngày lập]&gt;=DATE(YEAR(Pivot!$AC$2),MONTH(Pivot!$AC$2),1))*
(Table_DonBan[Ngày lập]&lt;=DATE(YEAR(Pivot!$AC$3), MONTH(Pivot!$AC$3)+1,1)-1)*
(MONTH(Table_DonBan[Ngày lập]) = BQ7)
)),
SUM(_xlfn._xlws.FILTER(
Table_DonBan[Doanh thu ròng],
(Table_DonBan[Kênh] = $Z$3)*
(Table_DonBan[Ngày lập]&gt;=DATE(YEAR(Pivot!$AC$2),MONTH(Pivot!$AC$2),1))*
(Table_DonBan[Ngày lập]&lt;=DATE(YEAR(Pivot!$AC$3), MONTH(Pivot!$AC$3)+1,1)-1)*
(MONTH(Table_DonBan[Ngày lập]) = BQ7)
))
),0)</f>
        <v>0</v>
      </c>
      <c r="BT7" s="144" t="str">
        <f t="shared" si="0"/>
        <v/>
      </c>
      <c r="BU7" s="143" t="str">
        <f t="shared" si="1"/>
        <v/>
      </c>
      <c r="BV7" s="138" cm="1">
        <f t="array" ref="BV7">IFERROR(
IF(ISBLANK($AD$3),
SUM(_xlfn._xlws.FILTER(
Table_Main[Hoa hồng],
(Table_Main[Ngày lên đơn]&gt;=DATE(YEAR(Pivot!$AC$2),MONTH(Pivot!$AC$2),1))*
(Table_Main[Ngày lên đơn]&lt;=DATE(YEAR(Pivot!$AC$3), MONTH(Pivot!$AC$3)+1,1)-1)*
(Table_Main[Tháng lên đơn] = BQ7)
)),
SUM(_xlfn._xlws.FILTER(
Table_Main[Hoa hồng],
(Table_Main[NV Bán hàng] = $AD$3)*
(Table_Main[Ngày lên đơn]&gt;=DATE(YEAR(Pivot!$AC$2),MONTH(Pivot!$AC$2),1))*
(Table_Main[Ngày lên đơn]&lt;=DATE(YEAR(Pivot!$AC$3), MONTH(Pivot!$AC$3)+1,1)-1)*
(Table_Main[Tháng lên đơn] = BQ7)
))
),0)</f>
        <v>0</v>
      </c>
      <c r="BW7" s="138" cm="1">
        <f t="array" ref="BW7">IFERROR(
IF(ISBLANK($AD$3),
SUM(_xlfn._xlws.FILTER(
Table_DonBan[Doanh thu ròng],
(Table_DonBan[Ngày lập]&gt;=DATE(YEAR(Pivot!$AC$2),MONTH(Pivot!$AC$2),1))*
(Table_DonBan[Ngày lập]&lt;=DATE(YEAR(Pivot!$AC$3), MONTH(Pivot!$AC$3)+1,1)-1)*
(MONTH(Table_DonBan[Ngày lập]) = BQ7)
)),
SUM(_xlfn._xlws.FILTER(
Table_DonBan[Doanh thu ròng],
(Table_DonBan[Mã NV] = $AD$3)*
(Table_DonBan[Ngày lập]&gt;=DATE(YEAR(Pivot!$AC$2),MONTH(Pivot!$AC$2),1))*
(Table_DonBan[Ngày lập]&lt;=DATE(YEAR(Pivot!$AC$3), MONTH(Pivot!$AC$3)+1,1)-1)*
(MONTH(Table_DonBan[Ngày lập]) = BQ7)
))
),0)</f>
        <v>0</v>
      </c>
      <c r="BX7" s="144" t="str">
        <f t="shared" si="2"/>
        <v/>
      </c>
      <c r="BY7" s="143" t="str">
        <f t="shared" si="3"/>
        <v/>
      </c>
      <c r="CH7" s="160"/>
      <c r="CI7" s="166"/>
    </row>
    <row r="8" spans="1:96" ht="16.5" x14ac:dyDescent="0.3">
      <c r="A8" s="134"/>
      <c r="B8" s="134"/>
      <c r="C8" s="134"/>
      <c r="AP8" s="132" t="s">
        <v>56</v>
      </c>
      <c r="AQ8"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8" s="132">
        <f>IFERROR(VLOOKUP(Dashboard_KPI_Kenh[[#This Row],[Mã kênh]],_xlfn.ANCHORARRAY($CD$5):_xlfn.ANCHORARRAY($CH$5),5,0),0)</f>
        <v>0</v>
      </c>
      <c r="AS8" s="132">
        <f>IFERROR(VLOOKUP(Dashboard_KPI_Kenh[[#This Row],[Mã kênh]],_xlfn.ANCHORARRAY($CD$5):_xlfn.ANCHORARRAY($CI$5),6,0),0)</f>
        <v>0</v>
      </c>
      <c r="AT8" s="132" cm="1">
        <f t="array" ref="AT8">IFERROR(
SUM(_xlfn._xlws.FILTER(Table_KPI[Doanh thu KPI],
(Table_KPI[Kênh] = Dashboard_KPI_Kenh[[#This Row],[Mã kênh]])*
(Table_KPI[Kỳ] &gt;=DATE(YEAR(Pivot!$AC$2),MONTH(Pivot!$AC$2),1))*
(Table_KPI[Kỳ] &lt;=DATE(YEAR(Pivot!$AC$3),MONTH(Pivot!$AC$3)+1,1)-1)
)),0)</f>
        <v>0</v>
      </c>
      <c r="AU8" s="440" t="str">
        <f>IFERROR(Dashboard_KPI_Kenh[[#This Row],[Doanh thu]]/Dashboard_KPI_Kenh[[#This Row],[KPI]],"")</f>
        <v/>
      </c>
      <c r="AV8" s="441" t="str">
        <f>IF(Dashboard_KPI_Kenh[[#This Row],[Tỷ lệ KPI]]&gt;1,Dashboard_KPI_Kenh[[#This Row],[Tỷ lệ KPI]],"")</f>
        <v/>
      </c>
      <c r="AY8" s="132" t="s">
        <v>937</v>
      </c>
      <c r="AZ8"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8" s="132">
        <f>IFERROR(VLOOKUP(Dashboard_KPI_NhanVien[[#This Row],[Mã NV]],_xlfn.ANCHORARRAY($CL$5):_xlfn.ANCHORARRAY($CP$5),5,0),0)</f>
        <v>0</v>
      </c>
      <c r="BB8" s="132">
        <f>IFERROR(VLOOKUP(Dashboard_KPI_NhanVien[[#This Row],[Mã NV]],_xlfn.ANCHORARRAY($CL$5):_xlfn.ANCHORARRAY($CQ$5),6,0),0)</f>
        <v>0</v>
      </c>
      <c r="BC8" s="132" cm="1">
        <f t="array" ref="BC8">IFERROR(
SUM(_xlfn._xlws.FILTER(Table_KPI[Doanh thu KPI],
(Table_KPI[Nhân viên] = Dashboard_KPI_NhanVien[[#This Row],[Mã NV]])*
(Table_KPI[Kỳ] &gt;=DATE(YEAR(Pivot!$AC$2),MONTH(Pivot!$AC$2),1))*
(Table_KPI[Kỳ] &lt;=DATE(YEAR(Pivot!$AC$3),MONTH(Pivot!$AC$3)+1,1)-1)
)),0)</f>
        <v>0</v>
      </c>
      <c r="BD8" s="440" t="str">
        <f>IFERROR(Dashboard_KPI_NhanVien[[#This Row],[Doanh thu]]/Dashboard_KPI_NhanVien[[#This Row],[KPI]],"")</f>
        <v/>
      </c>
      <c r="BE8" s="441" t="str">
        <f>IF(Dashboard_KPI_NhanVien[[#This Row],[Tỷ lệ KPI]]&gt;1,Dashboard_KPI_NhanVien[[#This Row],[Tỷ lệ KPI]],"")</f>
        <v/>
      </c>
      <c r="BQ8" s="138">
        <v>4</v>
      </c>
      <c r="BR8" s="138" cm="1">
        <f t="array" ref="BR8">IFERROR(
IF(
ISBLANK($Z$3),
SUM(
_xlfn._xlws.FILTER(Table_Main[CK kênh],
(Table_Main[Ngày lên đơn]&gt;=DATE(YEAR(Pivot!$AC$2),MONTH(Pivot!$AC$2),1))*
(Table_Main[Ngày lên đơn]&lt;=DATE(YEAR(Pivot!$AC$3), MONTH(Pivot!$AC$3)+1,1)-1)*
(MONTH(Table_Main[Ngày lên đơn]) = BQ8)
)),
SUM(
_xlfn._xlws.FILTER(Table_Main[CK kênh],
(Table_Main[Kênh] = $Z$3)*
(Table_Main[Ngày lên đơn]&gt;=DATE(YEAR(Pivot!$AC$2),MONTH(Pivot!$AC$2),1))*
(Table_Main[Ngày lên đơn]&lt;=DATE(YEAR(Pivot!$AC$3), MONTH(Pivot!$AC$3)+1,1)-1)*
(MONTH(Table_Main[Ngày lên đơn]) = BQ8)
))
),0)</f>
        <v>0</v>
      </c>
      <c r="BS8" s="138" cm="1">
        <f t="array" ref="BS8">IFERROR(
IF(ISBLANK($Z$3),
SUM(_xlfn._xlws.FILTER(
Table_DonBan[Doanh thu ròng],
(Table_DonBan[Ngày lập]&gt;=DATE(YEAR(Pivot!$AC$2),MONTH(Pivot!$AC$2),1))*
(Table_DonBan[Ngày lập]&lt;=DATE(YEAR(Pivot!$AC$3), MONTH(Pivot!$AC$3)+1,1)-1)*
(MONTH(Table_DonBan[Ngày lập]) = BQ8)
)),
SUM(_xlfn._xlws.FILTER(
Table_DonBan[Doanh thu ròng],
(Table_DonBan[Kênh] = $Z$3)*
(Table_DonBan[Ngày lập]&gt;=DATE(YEAR(Pivot!$AC$2),MONTH(Pivot!$AC$2),1))*
(Table_DonBan[Ngày lập]&lt;=DATE(YEAR(Pivot!$AC$3), MONTH(Pivot!$AC$3)+1,1)-1)*
(MONTH(Table_DonBan[Ngày lập]) = BQ8)
))
),0)</f>
        <v>0</v>
      </c>
      <c r="BT8" s="144" t="str">
        <f t="shared" si="0"/>
        <v/>
      </c>
      <c r="BU8" s="143" t="str">
        <f t="shared" si="1"/>
        <v/>
      </c>
      <c r="BV8" s="138" cm="1">
        <f t="array" ref="BV8">IFERROR(
IF(ISBLANK($AD$3),
SUM(_xlfn._xlws.FILTER(
Table_Main[Hoa hồng],
(Table_Main[Ngày lên đơn]&gt;=DATE(YEAR(Pivot!$AC$2),MONTH(Pivot!$AC$2),1))*
(Table_Main[Ngày lên đơn]&lt;=DATE(YEAR(Pivot!$AC$3), MONTH(Pivot!$AC$3)+1,1)-1)*
(Table_Main[Tháng lên đơn] = BQ8)
)),
SUM(_xlfn._xlws.FILTER(
Table_Main[Hoa hồng],
(Table_Main[NV Bán hàng] = $AD$3)*
(Table_Main[Ngày lên đơn]&gt;=DATE(YEAR(Pivot!$AC$2),MONTH(Pivot!$AC$2),1))*
(Table_Main[Ngày lên đơn]&lt;=DATE(YEAR(Pivot!$AC$3), MONTH(Pivot!$AC$3)+1,1)-1)*
(Table_Main[Tháng lên đơn] = BQ8)
))
),0)</f>
        <v>0</v>
      </c>
      <c r="BW8" s="138" cm="1">
        <f t="array" ref="BW8">IFERROR(
IF(ISBLANK($AD$3),
SUM(_xlfn._xlws.FILTER(
Table_DonBan[Doanh thu ròng],
(Table_DonBan[Ngày lập]&gt;=DATE(YEAR(Pivot!$AC$2),MONTH(Pivot!$AC$2),1))*
(Table_DonBan[Ngày lập]&lt;=DATE(YEAR(Pivot!$AC$3), MONTH(Pivot!$AC$3)+1,1)-1)*
(MONTH(Table_DonBan[Ngày lập]) = BQ8)
)),
SUM(_xlfn._xlws.FILTER(
Table_DonBan[Doanh thu ròng],
(Table_DonBan[Mã NV] = $AD$3)*
(Table_DonBan[Ngày lập]&gt;=DATE(YEAR(Pivot!$AC$2),MONTH(Pivot!$AC$2),1))*
(Table_DonBan[Ngày lập]&lt;=DATE(YEAR(Pivot!$AC$3), MONTH(Pivot!$AC$3)+1,1)-1)*
(MONTH(Table_DonBan[Ngày lập]) = BQ8)
))
),0)</f>
        <v>0</v>
      </c>
      <c r="BX8" s="144" t="str">
        <f t="shared" si="2"/>
        <v/>
      </c>
      <c r="BY8" s="143" t="str">
        <f t="shared" si="3"/>
        <v/>
      </c>
      <c r="CH8" s="160"/>
      <c r="CI8" s="166"/>
    </row>
    <row r="9" spans="1:96" ht="16.5" x14ac:dyDescent="0.3">
      <c r="A9" s="134"/>
      <c r="B9" s="134"/>
      <c r="C9" s="134"/>
      <c r="AP9" s="132" t="s">
        <v>941</v>
      </c>
      <c r="AQ9"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9" s="132">
        <f>IFERROR(VLOOKUP(Dashboard_KPI_Kenh[[#This Row],[Mã kênh]],_xlfn.ANCHORARRAY($CD$5):_xlfn.ANCHORARRAY($CH$5),5,0),0)</f>
        <v>0</v>
      </c>
      <c r="AS9" s="132">
        <f>IFERROR(VLOOKUP(Dashboard_KPI_Kenh[[#This Row],[Mã kênh]],_xlfn.ANCHORARRAY($CD$5):_xlfn.ANCHORARRAY($CI$5),6,0),0)</f>
        <v>0</v>
      </c>
      <c r="AT9" s="132" cm="1">
        <f t="array" ref="AT9">IFERROR(
SUM(_xlfn._xlws.FILTER(Table_KPI[Doanh thu KPI],
(Table_KPI[Kênh] = Dashboard_KPI_Kenh[[#This Row],[Mã kênh]])*
(Table_KPI[Kỳ] &gt;=DATE(YEAR(Pivot!$AC$2),MONTH(Pivot!$AC$2),1))*
(Table_KPI[Kỳ] &lt;=DATE(YEAR(Pivot!$AC$3),MONTH(Pivot!$AC$3)+1,1)-1)
)),0)</f>
        <v>0</v>
      </c>
      <c r="AU9" s="440" t="str">
        <f>IFERROR(Dashboard_KPI_Kenh[[#This Row],[Doanh thu]]/Dashboard_KPI_Kenh[[#This Row],[KPI]],"")</f>
        <v/>
      </c>
      <c r="AV9" s="441" t="str">
        <f>IF(Dashboard_KPI_Kenh[[#This Row],[Tỷ lệ KPI]]&gt;1,Dashboard_KPI_Kenh[[#This Row],[Tỷ lệ KPI]],"")</f>
        <v/>
      </c>
      <c r="AY9" s="132" t="s">
        <v>938</v>
      </c>
      <c r="AZ9"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9" s="132">
        <f>IFERROR(VLOOKUP(Dashboard_KPI_NhanVien[[#This Row],[Mã NV]],_xlfn.ANCHORARRAY($CL$5):_xlfn.ANCHORARRAY($CP$5),5,0),0)</f>
        <v>0</v>
      </c>
      <c r="BB9" s="132">
        <f>IFERROR(VLOOKUP(Dashboard_KPI_NhanVien[[#This Row],[Mã NV]],_xlfn.ANCHORARRAY($CL$5):_xlfn.ANCHORARRAY($CQ$5),6,0),0)</f>
        <v>0</v>
      </c>
      <c r="BC9" s="132" cm="1">
        <f t="array" ref="BC9">IFERROR(
SUM(_xlfn._xlws.FILTER(Table_KPI[Doanh thu KPI],
(Table_KPI[Nhân viên] = Dashboard_KPI_NhanVien[[#This Row],[Mã NV]])*
(Table_KPI[Kỳ] &gt;=DATE(YEAR(Pivot!$AC$2),MONTH(Pivot!$AC$2),1))*
(Table_KPI[Kỳ] &lt;=DATE(YEAR(Pivot!$AC$3),MONTH(Pivot!$AC$3)+1,1)-1)
)),0)</f>
        <v>0</v>
      </c>
      <c r="BD9" s="440" t="str">
        <f>IFERROR(Dashboard_KPI_NhanVien[[#This Row],[Doanh thu]]/Dashboard_KPI_NhanVien[[#This Row],[KPI]],"")</f>
        <v/>
      </c>
      <c r="BE9" s="441" t="str">
        <f>IF(Dashboard_KPI_NhanVien[[#This Row],[Tỷ lệ KPI]]&gt;1,Dashboard_KPI_NhanVien[[#This Row],[Tỷ lệ KPI]],"")</f>
        <v/>
      </c>
      <c r="BQ9" s="138">
        <v>5</v>
      </c>
      <c r="BR9" s="138" cm="1">
        <f t="array" ref="BR9">IFERROR(
IF(
ISBLANK($Z$3),
SUM(
_xlfn._xlws.FILTER(Table_Main[CK kênh],
(Table_Main[Ngày lên đơn]&gt;=DATE(YEAR(Pivot!$AC$2),MONTH(Pivot!$AC$2),1))*
(Table_Main[Ngày lên đơn]&lt;=DATE(YEAR(Pivot!$AC$3), MONTH(Pivot!$AC$3)+1,1)-1)*
(MONTH(Table_Main[Ngày lên đơn]) = BQ9)
)),
SUM(
_xlfn._xlws.FILTER(Table_Main[CK kênh],
(Table_Main[Kênh] = $Z$3)*
(Table_Main[Ngày lên đơn]&gt;=DATE(YEAR(Pivot!$AC$2),MONTH(Pivot!$AC$2),1))*
(Table_Main[Ngày lên đơn]&lt;=DATE(YEAR(Pivot!$AC$3), MONTH(Pivot!$AC$3)+1,1)-1)*
(MONTH(Table_Main[Ngày lên đơn]) = BQ9)
))
),0)</f>
        <v>0</v>
      </c>
      <c r="BS9" s="138" cm="1">
        <f t="array" ref="BS9">IFERROR(
IF(ISBLANK($Z$3),
SUM(_xlfn._xlws.FILTER(
Table_DonBan[Doanh thu ròng],
(Table_DonBan[Ngày lập]&gt;=DATE(YEAR(Pivot!$AC$2),MONTH(Pivot!$AC$2),1))*
(Table_DonBan[Ngày lập]&lt;=DATE(YEAR(Pivot!$AC$3), MONTH(Pivot!$AC$3)+1,1)-1)*
(MONTH(Table_DonBan[Ngày lập]) = BQ9)
)),
SUM(_xlfn._xlws.FILTER(
Table_DonBan[Doanh thu ròng],
(Table_DonBan[Kênh] = $Z$3)*
(Table_DonBan[Ngày lập]&gt;=DATE(YEAR(Pivot!$AC$2),MONTH(Pivot!$AC$2),1))*
(Table_DonBan[Ngày lập]&lt;=DATE(YEAR(Pivot!$AC$3), MONTH(Pivot!$AC$3)+1,1)-1)*
(MONTH(Table_DonBan[Ngày lập]) = BQ9)
))
),0)</f>
        <v>0</v>
      </c>
      <c r="BT9" s="144" t="str">
        <f t="shared" si="0"/>
        <v/>
      </c>
      <c r="BU9" s="143" t="str">
        <f t="shared" si="1"/>
        <v/>
      </c>
      <c r="BV9" s="138" cm="1">
        <f t="array" ref="BV9">IFERROR(
IF(ISBLANK($AD$3),
SUM(_xlfn._xlws.FILTER(
Table_Main[Hoa hồng],
(Table_Main[Ngày lên đơn]&gt;=DATE(YEAR(Pivot!$AC$2),MONTH(Pivot!$AC$2),1))*
(Table_Main[Ngày lên đơn]&lt;=DATE(YEAR(Pivot!$AC$3), MONTH(Pivot!$AC$3)+1,1)-1)*
(Table_Main[Tháng lên đơn] = BQ9)
)),
SUM(_xlfn._xlws.FILTER(
Table_Main[Hoa hồng],
(Table_Main[NV Bán hàng] = $AD$3)*
(Table_Main[Ngày lên đơn]&gt;=DATE(YEAR(Pivot!$AC$2),MONTH(Pivot!$AC$2),1))*
(Table_Main[Ngày lên đơn]&lt;=DATE(YEAR(Pivot!$AC$3), MONTH(Pivot!$AC$3)+1,1)-1)*
(Table_Main[Tháng lên đơn] = BQ9)
))
),0)</f>
        <v>0</v>
      </c>
      <c r="BW9" s="138" cm="1">
        <f t="array" ref="BW9">IFERROR(
IF(ISBLANK($AD$3),
SUM(_xlfn._xlws.FILTER(
Table_DonBan[Doanh thu ròng],
(Table_DonBan[Ngày lập]&gt;=DATE(YEAR(Pivot!$AC$2),MONTH(Pivot!$AC$2),1))*
(Table_DonBan[Ngày lập]&lt;=DATE(YEAR(Pivot!$AC$3), MONTH(Pivot!$AC$3)+1,1)-1)*
(MONTH(Table_DonBan[Ngày lập]) = BQ9)
)),
SUM(_xlfn._xlws.FILTER(
Table_DonBan[Doanh thu ròng],
(Table_DonBan[Mã NV] = $AD$3)*
(Table_DonBan[Ngày lập]&gt;=DATE(YEAR(Pivot!$AC$2),MONTH(Pivot!$AC$2),1))*
(Table_DonBan[Ngày lập]&lt;=DATE(YEAR(Pivot!$AC$3), MONTH(Pivot!$AC$3)+1,1)-1)*
(MONTH(Table_DonBan[Ngày lập]) = BQ9)
))
),0)</f>
        <v>0</v>
      </c>
      <c r="BX9" s="144" t="str">
        <f t="shared" si="2"/>
        <v/>
      </c>
      <c r="BY9" s="143" t="str">
        <f t="shared" si="3"/>
        <v/>
      </c>
      <c r="CH9" s="160"/>
      <c r="CI9" s="166"/>
    </row>
    <row r="10" spans="1:96" ht="16.5" x14ac:dyDescent="0.3">
      <c r="A10" s="134"/>
      <c r="B10" s="134"/>
      <c r="C10" s="134"/>
      <c r="AP10" s="132" t="s">
        <v>942</v>
      </c>
      <c r="AQ10"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10" s="132">
        <f>IFERROR(VLOOKUP(Dashboard_KPI_Kenh[[#This Row],[Mã kênh]],_xlfn.ANCHORARRAY($CD$5):_xlfn.ANCHORARRAY($CH$5),5,0),0)</f>
        <v>0</v>
      </c>
      <c r="AS10" s="132">
        <f>IFERROR(VLOOKUP(Dashboard_KPI_Kenh[[#This Row],[Mã kênh]],_xlfn.ANCHORARRAY($CD$5):_xlfn.ANCHORARRAY($CI$5),6,0),0)</f>
        <v>0</v>
      </c>
      <c r="AT10" s="132" cm="1">
        <f t="array" ref="AT10">IFERROR(
SUM(_xlfn._xlws.FILTER(Table_KPI[Doanh thu KPI],
(Table_KPI[Kênh] = Dashboard_KPI_Kenh[[#This Row],[Mã kênh]])*
(Table_KPI[Kỳ] &gt;=DATE(YEAR(Pivot!$AC$2),MONTH(Pivot!$AC$2),1))*
(Table_KPI[Kỳ] &lt;=DATE(YEAR(Pivot!$AC$3),MONTH(Pivot!$AC$3)+1,1)-1)
)),0)</f>
        <v>0</v>
      </c>
      <c r="AU10" s="440" t="str">
        <f>IFERROR(Dashboard_KPI_Kenh[[#This Row],[Doanh thu]]/Dashboard_KPI_Kenh[[#This Row],[KPI]],"")</f>
        <v/>
      </c>
      <c r="AV10" s="441" t="str">
        <f>IF(Dashboard_KPI_Kenh[[#This Row],[Tỷ lệ KPI]]&gt;1,Dashboard_KPI_Kenh[[#This Row],[Tỷ lệ KPI]],"")</f>
        <v/>
      </c>
      <c r="BQ10" s="138">
        <v>6</v>
      </c>
      <c r="BR10" s="138" cm="1">
        <f t="array" ref="BR10">IFERROR(
IF(
ISBLANK($Z$3),
SUM(
_xlfn._xlws.FILTER(Table_Main[CK kênh],
(Table_Main[Ngày lên đơn]&gt;=DATE(YEAR(Pivot!$AC$2),MONTH(Pivot!$AC$2),1))*
(Table_Main[Ngày lên đơn]&lt;=DATE(YEAR(Pivot!$AC$3), MONTH(Pivot!$AC$3)+1,1)-1)*
(MONTH(Table_Main[Ngày lên đơn]) = BQ10)
)),
SUM(
_xlfn._xlws.FILTER(Table_Main[CK kênh],
(Table_Main[Kênh] = $Z$3)*
(Table_Main[Ngày lên đơn]&gt;=DATE(YEAR(Pivot!$AC$2),MONTH(Pivot!$AC$2),1))*
(Table_Main[Ngày lên đơn]&lt;=DATE(YEAR(Pivot!$AC$3), MONTH(Pivot!$AC$3)+1,1)-1)*
(MONTH(Table_Main[Ngày lên đơn]) = BQ10)
))
),0)</f>
        <v>0</v>
      </c>
      <c r="BS10" s="138" cm="1">
        <f t="array" ref="BS10">IFERROR(
IF(ISBLANK($Z$3),
SUM(_xlfn._xlws.FILTER(
Table_DonBan[Doanh thu ròng],
(Table_DonBan[Ngày lập]&gt;=DATE(YEAR(Pivot!$AC$2),MONTH(Pivot!$AC$2),1))*
(Table_DonBan[Ngày lập]&lt;=DATE(YEAR(Pivot!$AC$3), MONTH(Pivot!$AC$3)+1,1)-1)*
(MONTH(Table_DonBan[Ngày lập]) = BQ10)
)),
SUM(_xlfn._xlws.FILTER(
Table_DonBan[Doanh thu ròng],
(Table_DonBan[Kênh] = $Z$3)*
(Table_DonBan[Ngày lập]&gt;=DATE(YEAR(Pivot!$AC$2),MONTH(Pivot!$AC$2),1))*
(Table_DonBan[Ngày lập]&lt;=DATE(YEAR(Pivot!$AC$3), MONTH(Pivot!$AC$3)+1,1)-1)*
(MONTH(Table_DonBan[Ngày lập]) = BQ10)
))
),0)</f>
        <v>0</v>
      </c>
      <c r="BT10" s="144" t="str">
        <f t="shared" si="0"/>
        <v/>
      </c>
      <c r="BU10" s="143" t="str">
        <f t="shared" si="1"/>
        <v/>
      </c>
      <c r="BV10" s="138" cm="1">
        <f t="array" ref="BV10">IFERROR(
IF(ISBLANK($AD$3),
SUM(_xlfn._xlws.FILTER(
Table_Main[Hoa hồng],
(Table_Main[Ngày lên đơn]&gt;=DATE(YEAR(Pivot!$AC$2),MONTH(Pivot!$AC$2),1))*
(Table_Main[Ngày lên đơn]&lt;=DATE(YEAR(Pivot!$AC$3), MONTH(Pivot!$AC$3)+1,1)-1)*
(Table_Main[Tháng lên đơn] = BQ10)
)),
SUM(_xlfn._xlws.FILTER(
Table_Main[Hoa hồng],
(Table_Main[NV Bán hàng] = $AD$3)*
(Table_Main[Ngày lên đơn]&gt;=DATE(YEAR(Pivot!$AC$2),MONTH(Pivot!$AC$2),1))*
(Table_Main[Ngày lên đơn]&lt;=DATE(YEAR(Pivot!$AC$3), MONTH(Pivot!$AC$3)+1,1)-1)*
(Table_Main[Tháng lên đơn] = BQ10)
))
),0)</f>
        <v>0</v>
      </c>
      <c r="BW10" s="138" cm="1">
        <f t="array" ref="BW10">IFERROR(
IF(ISBLANK($AD$3),
SUM(_xlfn._xlws.FILTER(
Table_DonBan[Doanh thu ròng],
(Table_DonBan[Ngày lập]&gt;=DATE(YEAR(Pivot!$AC$2),MONTH(Pivot!$AC$2),1))*
(Table_DonBan[Ngày lập]&lt;=DATE(YEAR(Pivot!$AC$3), MONTH(Pivot!$AC$3)+1,1)-1)*
(MONTH(Table_DonBan[Ngày lập]) = BQ10)
)),
SUM(_xlfn._xlws.FILTER(
Table_DonBan[Doanh thu ròng],
(Table_DonBan[Mã NV] = $AD$3)*
(Table_DonBan[Ngày lập]&gt;=DATE(YEAR(Pivot!$AC$2),MONTH(Pivot!$AC$2),1))*
(Table_DonBan[Ngày lập]&lt;=DATE(YEAR(Pivot!$AC$3), MONTH(Pivot!$AC$3)+1,1)-1)*
(MONTH(Table_DonBan[Ngày lập]) = BQ10)
))
),0)</f>
        <v>0</v>
      </c>
      <c r="BX10" s="144" t="str">
        <f t="shared" si="2"/>
        <v/>
      </c>
      <c r="BY10" s="143" t="str">
        <f t="shared" si="3"/>
        <v/>
      </c>
      <c r="CH10" s="160"/>
      <c r="CI10" s="166"/>
    </row>
    <row r="11" spans="1:96" ht="16.5" x14ac:dyDescent="0.3">
      <c r="A11" s="134"/>
      <c r="B11" s="134"/>
      <c r="C11" s="134"/>
      <c r="BQ11" s="138">
        <v>7</v>
      </c>
      <c r="BR11" s="138" cm="1">
        <f t="array" ref="BR11">IFERROR(
IF(
ISBLANK($Z$3),
SUM(
_xlfn._xlws.FILTER(Table_Main[CK kênh],
(Table_Main[Ngày lên đơn]&gt;=DATE(YEAR(Pivot!$AC$2),MONTH(Pivot!$AC$2),1))*
(Table_Main[Ngày lên đơn]&lt;=DATE(YEAR(Pivot!$AC$3), MONTH(Pivot!$AC$3)+1,1)-1)*
(MONTH(Table_Main[Ngày lên đơn]) = BQ11)
)),
SUM(
_xlfn._xlws.FILTER(Table_Main[CK kênh],
(Table_Main[Kênh] = $Z$3)*
(Table_Main[Ngày lên đơn]&gt;=DATE(YEAR(Pivot!$AC$2),MONTH(Pivot!$AC$2),1))*
(Table_Main[Ngày lên đơn]&lt;=DATE(YEAR(Pivot!$AC$3), MONTH(Pivot!$AC$3)+1,1)-1)*
(MONTH(Table_Main[Ngày lên đơn]) = BQ11)
))
),0)</f>
        <v>0</v>
      </c>
      <c r="BS11" s="138" cm="1">
        <f t="array" ref="BS11">IFERROR(
IF(ISBLANK($Z$3),
SUM(_xlfn._xlws.FILTER(
Table_DonBan[Doanh thu ròng],
(Table_DonBan[Ngày lập]&gt;=DATE(YEAR(Pivot!$AC$2),MONTH(Pivot!$AC$2),1))*
(Table_DonBan[Ngày lập]&lt;=DATE(YEAR(Pivot!$AC$3), MONTH(Pivot!$AC$3)+1,1)-1)*
(MONTH(Table_DonBan[Ngày lập]) = BQ11)
)),
SUM(_xlfn._xlws.FILTER(
Table_DonBan[Doanh thu ròng],
(Table_DonBan[Kênh] = $Z$3)*
(Table_DonBan[Ngày lập]&gt;=DATE(YEAR(Pivot!$AC$2),MONTH(Pivot!$AC$2),1))*
(Table_DonBan[Ngày lập]&lt;=DATE(YEAR(Pivot!$AC$3), MONTH(Pivot!$AC$3)+1,1)-1)*
(MONTH(Table_DonBan[Ngày lập]) = BQ11)
))
),0)</f>
        <v>0</v>
      </c>
      <c r="BT11" s="144" t="str">
        <f t="shared" si="0"/>
        <v/>
      </c>
      <c r="BU11" s="143" t="str">
        <f t="shared" si="1"/>
        <v/>
      </c>
      <c r="BV11" s="138" cm="1">
        <f t="array" ref="BV11">IFERROR(
IF(ISBLANK($AD$3),
SUM(_xlfn._xlws.FILTER(
Table_Main[Hoa hồng],
(Table_Main[Ngày lên đơn]&gt;=DATE(YEAR(Pivot!$AC$2),MONTH(Pivot!$AC$2),1))*
(Table_Main[Ngày lên đơn]&lt;=DATE(YEAR(Pivot!$AC$3), MONTH(Pivot!$AC$3)+1,1)-1)*
(Table_Main[Tháng lên đơn] = BQ11)
)),
SUM(_xlfn._xlws.FILTER(
Table_Main[Hoa hồng],
(Table_Main[NV Bán hàng] = $AD$3)*
(Table_Main[Ngày lên đơn]&gt;=DATE(YEAR(Pivot!$AC$2),MONTH(Pivot!$AC$2),1))*
(Table_Main[Ngày lên đơn]&lt;=DATE(YEAR(Pivot!$AC$3), MONTH(Pivot!$AC$3)+1,1)-1)*
(Table_Main[Tháng lên đơn] = BQ11)
))
),0)</f>
        <v>0</v>
      </c>
      <c r="BW11" s="138" cm="1">
        <f t="array" ref="BW11">IFERROR(
IF(ISBLANK($AD$3),
SUM(_xlfn._xlws.FILTER(
Table_DonBan[Doanh thu ròng],
(Table_DonBan[Ngày lập]&gt;=DATE(YEAR(Pivot!$AC$2),MONTH(Pivot!$AC$2),1))*
(Table_DonBan[Ngày lập]&lt;=DATE(YEAR(Pivot!$AC$3), MONTH(Pivot!$AC$3)+1,1)-1)*
(MONTH(Table_DonBan[Ngày lập]) = BQ11)
)),
SUM(_xlfn._xlws.FILTER(
Table_DonBan[Doanh thu ròng],
(Table_DonBan[Mã NV] = $AD$3)*
(Table_DonBan[Ngày lập]&gt;=DATE(YEAR(Pivot!$AC$2),MONTH(Pivot!$AC$2),1))*
(Table_DonBan[Ngày lập]&lt;=DATE(YEAR(Pivot!$AC$3), MONTH(Pivot!$AC$3)+1,1)-1)*
(MONTH(Table_DonBan[Ngày lập]) = BQ11)
))
),0)</f>
        <v>0</v>
      </c>
      <c r="BX11" s="144" t="str">
        <f t="shared" si="2"/>
        <v/>
      </c>
      <c r="BY11" s="143" t="str">
        <f t="shared" si="3"/>
        <v/>
      </c>
    </row>
    <row r="12" spans="1:96" ht="16.5" x14ac:dyDescent="0.3">
      <c r="A12" s="134"/>
      <c r="B12" s="134"/>
      <c r="C12" s="134"/>
      <c r="BQ12" s="138">
        <v>8</v>
      </c>
      <c r="BR12" s="138" cm="1">
        <f t="array" ref="BR12">IFERROR(
IF(
ISBLANK($Z$3),
SUM(
_xlfn._xlws.FILTER(Table_Main[CK kênh],
(Table_Main[Ngày lên đơn]&gt;=DATE(YEAR(Pivot!$AC$2),MONTH(Pivot!$AC$2),1))*
(Table_Main[Ngày lên đơn]&lt;=DATE(YEAR(Pivot!$AC$3), MONTH(Pivot!$AC$3)+1,1)-1)*
(MONTH(Table_Main[Ngày lên đơn]) = BQ12)
)),
SUM(
_xlfn._xlws.FILTER(Table_Main[CK kênh],
(Table_Main[Kênh] = $Z$3)*
(Table_Main[Ngày lên đơn]&gt;=DATE(YEAR(Pivot!$AC$2),MONTH(Pivot!$AC$2),1))*
(Table_Main[Ngày lên đơn]&lt;=DATE(YEAR(Pivot!$AC$3), MONTH(Pivot!$AC$3)+1,1)-1)*
(MONTH(Table_Main[Ngày lên đơn]) = BQ12)
))
),0)</f>
        <v>0</v>
      </c>
      <c r="BS12" s="138" cm="1">
        <f t="array" ref="BS12">IFERROR(
IF(ISBLANK($Z$3),
SUM(_xlfn._xlws.FILTER(
Table_DonBan[Doanh thu ròng],
(Table_DonBan[Ngày lập]&gt;=DATE(YEAR(Pivot!$AC$2),MONTH(Pivot!$AC$2),1))*
(Table_DonBan[Ngày lập]&lt;=DATE(YEAR(Pivot!$AC$3), MONTH(Pivot!$AC$3)+1,1)-1)*
(MONTH(Table_DonBan[Ngày lập]) = BQ12)
)),
SUM(_xlfn._xlws.FILTER(
Table_DonBan[Doanh thu ròng],
(Table_DonBan[Kênh] = $Z$3)*
(Table_DonBan[Ngày lập]&gt;=DATE(YEAR(Pivot!$AC$2),MONTH(Pivot!$AC$2),1))*
(Table_DonBan[Ngày lập]&lt;=DATE(YEAR(Pivot!$AC$3), MONTH(Pivot!$AC$3)+1,1)-1)*
(MONTH(Table_DonBan[Ngày lập]) = BQ12)
))
),0)</f>
        <v>0</v>
      </c>
      <c r="BT12" s="144" t="str">
        <f t="shared" si="0"/>
        <v/>
      </c>
      <c r="BU12" s="143" t="str">
        <f t="shared" si="1"/>
        <v/>
      </c>
      <c r="BV12" s="138" cm="1">
        <f t="array" ref="BV12">IFERROR(
IF(ISBLANK($AD$3),
SUM(_xlfn._xlws.FILTER(
Table_Main[Hoa hồng],
(Table_Main[Ngày lên đơn]&gt;=DATE(YEAR(Pivot!$AC$2),MONTH(Pivot!$AC$2),1))*
(Table_Main[Ngày lên đơn]&lt;=DATE(YEAR(Pivot!$AC$3), MONTH(Pivot!$AC$3)+1,1)-1)*
(Table_Main[Tháng lên đơn] = BQ12)
)),
SUM(_xlfn._xlws.FILTER(
Table_Main[Hoa hồng],
(Table_Main[NV Bán hàng] = $AD$3)*
(Table_Main[Ngày lên đơn]&gt;=DATE(YEAR(Pivot!$AC$2),MONTH(Pivot!$AC$2),1))*
(Table_Main[Ngày lên đơn]&lt;=DATE(YEAR(Pivot!$AC$3), MONTH(Pivot!$AC$3)+1,1)-1)*
(Table_Main[Tháng lên đơn] = BQ12)
))
),0)</f>
        <v>0</v>
      </c>
      <c r="BW12" s="138" cm="1">
        <f t="array" ref="BW12">IFERROR(
IF(ISBLANK($AD$3),
SUM(_xlfn._xlws.FILTER(
Table_DonBan[Doanh thu ròng],
(Table_DonBan[Ngày lập]&gt;=DATE(YEAR(Pivot!$AC$2),MONTH(Pivot!$AC$2),1))*
(Table_DonBan[Ngày lập]&lt;=DATE(YEAR(Pivot!$AC$3), MONTH(Pivot!$AC$3)+1,1)-1)*
(MONTH(Table_DonBan[Ngày lập]) = BQ12)
)),
SUM(_xlfn._xlws.FILTER(
Table_DonBan[Doanh thu ròng],
(Table_DonBan[Mã NV] = $AD$3)*
(Table_DonBan[Ngày lập]&gt;=DATE(YEAR(Pivot!$AC$2),MONTH(Pivot!$AC$2),1))*
(Table_DonBan[Ngày lập]&lt;=DATE(YEAR(Pivot!$AC$3), MONTH(Pivot!$AC$3)+1,1)-1)*
(MONTH(Table_DonBan[Ngày lập]) = BQ12)
))
),0)</f>
        <v>0</v>
      </c>
      <c r="BX12" s="144" t="str">
        <f t="shared" si="2"/>
        <v/>
      </c>
      <c r="BY12" s="143" t="str">
        <f t="shared" si="3"/>
        <v/>
      </c>
    </row>
    <row r="13" spans="1:96" ht="16.5" x14ac:dyDescent="0.3">
      <c r="A13" s="134"/>
      <c r="B13" s="134"/>
      <c r="C13" s="134"/>
      <c r="BQ13" s="138">
        <v>9</v>
      </c>
      <c r="BR13" s="138" cm="1">
        <f t="array" ref="BR13">IFERROR(
IF(
ISBLANK($Z$3),
SUM(
_xlfn._xlws.FILTER(Table_Main[CK kênh],
(Table_Main[Ngày lên đơn]&gt;=DATE(YEAR(Pivot!$AC$2),MONTH(Pivot!$AC$2),1))*
(Table_Main[Ngày lên đơn]&lt;=DATE(YEAR(Pivot!$AC$3), MONTH(Pivot!$AC$3)+1,1)-1)*
(MONTH(Table_Main[Ngày lên đơn]) = BQ13)
)),
SUM(
_xlfn._xlws.FILTER(Table_Main[CK kênh],
(Table_Main[Kênh] = $Z$3)*
(Table_Main[Ngày lên đơn]&gt;=DATE(YEAR(Pivot!$AC$2),MONTH(Pivot!$AC$2),1))*
(Table_Main[Ngày lên đơn]&lt;=DATE(YEAR(Pivot!$AC$3), MONTH(Pivot!$AC$3)+1,1)-1)*
(MONTH(Table_Main[Ngày lên đơn]) = BQ13)
))
),0)</f>
        <v>0</v>
      </c>
      <c r="BS13" s="138" cm="1">
        <f t="array" ref="BS13">IFERROR(
IF(ISBLANK($Z$3),
SUM(_xlfn._xlws.FILTER(
Table_DonBan[Doanh thu ròng],
(Table_DonBan[Ngày lập]&gt;=DATE(YEAR(Pivot!$AC$2),MONTH(Pivot!$AC$2),1))*
(Table_DonBan[Ngày lập]&lt;=DATE(YEAR(Pivot!$AC$3), MONTH(Pivot!$AC$3)+1,1)-1)*
(MONTH(Table_DonBan[Ngày lập]) = BQ13)
)),
SUM(_xlfn._xlws.FILTER(
Table_DonBan[Doanh thu ròng],
(Table_DonBan[Kênh] = $Z$3)*
(Table_DonBan[Ngày lập]&gt;=DATE(YEAR(Pivot!$AC$2),MONTH(Pivot!$AC$2),1))*
(Table_DonBan[Ngày lập]&lt;=DATE(YEAR(Pivot!$AC$3), MONTH(Pivot!$AC$3)+1,1)-1)*
(MONTH(Table_DonBan[Ngày lập]) = BQ13)
))
),0)</f>
        <v>0</v>
      </c>
      <c r="BT13" s="144" t="str">
        <f t="shared" si="0"/>
        <v/>
      </c>
      <c r="BU13" s="143" t="str">
        <f t="shared" si="1"/>
        <v/>
      </c>
      <c r="BV13" s="138" cm="1">
        <f t="array" ref="BV13">IFERROR(
IF(ISBLANK($AD$3),
SUM(_xlfn._xlws.FILTER(
Table_Main[Hoa hồng],
(Table_Main[Ngày lên đơn]&gt;=DATE(YEAR(Pivot!$AC$2),MONTH(Pivot!$AC$2),1))*
(Table_Main[Ngày lên đơn]&lt;=DATE(YEAR(Pivot!$AC$3), MONTH(Pivot!$AC$3)+1,1)-1)*
(Table_Main[Tháng lên đơn] = BQ13)
)),
SUM(_xlfn._xlws.FILTER(
Table_Main[Hoa hồng],
(Table_Main[NV Bán hàng] = $AD$3)*
(Table_Main[Ngày lên đơn]&gt;=DATE(YEAR(Pivot!$AC$2),MONTH(Pivot!$AC$2),1))*
(Table_Main[Ngày lên đơn]&lt;=DATE(YEAR(Pivot!$AC$3), MONTH(Pivot!$AC$3)+1,1)-1)*
(Table_Main[Tháng lên đơn] = BQ13)
))
),0)</f>
        <v>0</v>
      </c>
      <c r="BW13" s="138" cm="1">
        <f t="array" ref="BW13">IFERROR(
IF(ISBLANK($AD$3),
SUM(_xlfn._xlws.FILTER(
Table_DonBan[Doanh thu ròng],
(Table_DonBan[Ngày lập]&gt;=DATE(YEAR(Pivot!$AC$2),MONTH(Pivot!$AC$2),1))*
(Table_DonBan[Ngày lập]&lt;=DATE(YEAR(Pivot!$AC$3), MONTH(Pivot!$AC$3)+1,1)-1)*
(MONTH(Table_DonBan[Ngày lập]) = BQ13)
)),
SUM(_xlfn._xlws.FILTER(
Table_DonBan[Doanh thu ròng],
(Table_DonBan[Mã NV] = $AD$3)*
(Table_DonBan[Ngày lập]&gt;=DATE(YEAR(Pivot!$AC$2),MONTH(Pivot!$AC$2),1))*
(Table_DonBan[Ngày lập]&lt;=DATE(YEAR(Pivot!$AC$3), MONTH(Pivot!$AC$3)+1,1)-1)*
(MONTH(Table_DonBan[Ngày lập]) = BQ13)
))
),0)</f>
        <v>0</v>
      </c>
      <c r="BX13" s="144" t="str">
        <f t="shared" si="2"/>
        <v/>
      </c>
      <c r="BY13" s="143" t="str">
        <f t="shared" si="3"/>
        <v/>
      </c>
    </row>
    <row r="14" spans="1:96" ht="16.5" x14ac:dyDescent="0.3">
      <c r="A14" s="134"/>
      <c r="B14" s="134"/>
      <c r="C14" s="134"/>
      <c r="BQ14" s="138">
        <v>10</v>
      </c>
      <c r="BR14" s="138" cm="1">
        <f t="array" ref="BR14">IFERROR(
IF(
ISBLANK($Z$3),
SUM(
_xlfn._xlws.FILTER(Table_Main[CK kênh],
(Table_Main[Ngày lên đơn]&gt;=DATE(YEAR(Pivot!$AC$2),MONTH(Pivot!$AC$2),1))*
(Table_Main[Ngày lên đơn]&lt;=DATE(YEAR(Pivot!$AC$3), MONTH(Pivot!$AC$3)+1,1)-1)*
(MONTH(Table_Main[Ngày lên đơn]) = BQ14)
)),
SUM(
_xlfn._xlws.FILTER(Table_Main[CK kênh],
(Table_Main[Kênh] = $Z$3)*
(Table_Main[Ngày lên đơn]&gt;=DATE(YEAR(Pivot!$AC$2),MONTH(Pivot!$AC$2),1))*
(Table_Main[Ngày lên đơn]&lt;=DATE(YEAR(Pivot!$AC$3), MONTH(Pivot!$AC$3)+1,1)-1)*
(MONTH(Table_Main[Ngày lên đơn]) = BQ14)
))
),0)</f>
        <v>0</v>
      </c>
      <c r="BS14" s="138" cm="1">
        <f t="array" ref="BS14">IFERROR(
IF(ISBLANK($Z$3),
SUM(_xlfn._xlws.FILTER(
Table_DonBan[Doanh thu ròng],
(Table_DonBan[Ngày lập]&gt;=DATE(YEAR(Pivot!$AC$2),MONTH(Pivot!$AC$2),1))*
(Table_DonBan[Ngày lập]&lt;=DATE(YEAR(Pivot!$AC$3), MONTH(Pivot!$AC$3)+1,1)-1)*
(MONTH(Table_DonBan[Ngày lập]) = BQ14)
)),
SUM(_xlfn._xlws.FILTER(
Table_DonBan[Doanh thu ròng],
(Table_DonBan[Kênh] = $Z$3)*
(Table_DonBan[Ngày lập]&gt;=DATE(YEAR(Pivot!$AC$2),MONTH(Pivot!$AC$2),1))*
(Table_DonBan[Ngày lập]&lt;=DATE(YEAR(Pivot!$AC$3), MONTH(Pivot!$AC$3)+1,1)-1)*
(MONTH(Table_DonBan[Ngày lập]) = BQ14)
))
),0)</f>
        <v>0</v>
      </c>
      <c r="BT14" s="144" t="str">
        <f t="shared" si="0"/>
        <v/>
      </c>
      <c r="BU14" s="143" t="str">
        <f t="shared" si="1"/>
        <v/>
      </c>
      <c r="BV14" s="138" cm="1">
        <f t="array" ref="BV14">IFERROR(
IF(ISBLANK($AD$3),
SUM(_xlfn._xlws.FILTER(
Table_Main[Hoa hồng],
(Table_Main[Ngày lên đơn]&gt;=DATE(YEAR(Pivot!$AC$2),MONTH(Pivot!$AC$2),1))*
(Table_Main[Ngày lên đơn]&lt;=DATE(YEAR(Pivot!$AC$3), MONTH(Pivot!$AC$3)+1,1)-1)*
(Table_Main[Tháng lên đơn] = BQ14)
)),
SUM(_xlfn._xlws.FILTER(
Table_Main[Hoa hồng],
(Table_Main[NV Bán hàng] = $AD$3)*
(Table_Main[Ngày lên đơn]&gt;=DATE(YEAR(Pivot!$AC$2),MONTH(Pivot!$AC$2),1))*
(Table_Main[Ngày lên đơn]&lt;=DATE(YEAR(Pivot!$AC$3), MONTH(Pivot!$AC$3)+1,1)-1)*
(Table_Main[Tháng lên đơn] = BQ14)
))
),0)</f>
        <v>0</v>
      </c>
      <c r="BW14" s="138" cm="1">
        <f t="array" ref="BW14">IFERROR(
IF(ISBLANK($AD$3),
SUM(_xlfn._xlws.FILTER(
Table_DonBan[Doanh thu ròng],
(Table_DonBan[Ngày lập]&gt;=DATE(YEAR(Pivot!$AC$2),MONTH(Pivot!$AC$2),1))*
(Table_DonBan[Ngày lập]&lt;=DATE(YEAR(Pivot!$AC$3), MONTH(Pivot!$AC$3)+1,1)-1)*
(MONTH(Table_DonBan[Ngày lập]) = BQ14)
)),
SUM(_xlfn._xlws.FILTER(
Table_DonBan[Doanh thu ròng],
(Table_DonBan[Mã NV] = $AD$3)*
(Table_DonBan[Ngày lập]&gt;=DATE(YEAR(Pivot!$AC$2),MONTH(Pivot!$AC$2),1))*
(Table_DonBan[Ngày lập]&lt;=DATE(YEAR(Pivot!$AC$3), MONTH(Pivot!$AC$3)+1,1)-1)*
(MONTH(Table_DonBan[Ngày lập]) = BQ14)
))
),0)</f>
        <v>0</v>
      </c>
      <c r="BX14" s="144" t="str">
        <f t="shared" si="2"/>
        <v/>
      </c>
      <c r="BY14" s="143" t="str">
        <f t="shared" si="3"/>
        <v/>
      </c>
    </row>
    <row r="15" spans="1:96" ht="16.5" x14ac:dyDescent="0.3">
      <c r="A15" s="134"/>
      <c r="B15" s="134"/>
      <c r="C15" s="134"/>
      <c r="BQ15" s="138">
        <v>11</v>
      </c>
      <c r="BR15" s="138" cm="1">
        <f t="array" ref="BR15">IFERROR(
IF(
ISBLANK($Z$3),
SUM(
_xlfn._xlws.FILTER(Table_Main[CK kênh],
(Table_Main[Ngày lên đơn]&gt;=DATE(YEAR(Pivot!$AC$2),MONTH(Pivot!$AC$2),1))*
(Table_Main[Ngày lên đơn]&lt;=DATE(YEAR(Pivot!$AC$3), MONTH(Pivot!$AC$3)+1,1)-1)*
(MONTH(Table_Main[Ngày lên đơn]) = BQ15)
)),
SUM(
_xlfn._xlws.FILTER(Table_Main[CK kênh],
(Table_Main[Kênh] = $Z$3)*
(Table_Main[Ngày lên đơn]&gt;=DATE(YEAR(Pivot!$AC$2),MONTH(Pivot!$AC$2),1))*
(Table_Main[Ngày lên đơn]&lt;=DATE(YEAR(Pivot!$AC$3), MONTH(Pivot!$AC$3)+1,1)-1)*
(MONTH(Table_Main[Ngày lên đơn]) = BQ15)
))
),0)</f>
        <v>0</v>
      </c>
      <c r="BS15" s="138" cm="1">
        <f t="array" ref="BS15">IFERROR(
IF(ISBLANK($Z$3),
SUM(_xlfn._xlws.FILTER(
Table_DonBan[Doanh thu ròng],
(Table_DonBan[Ngày lập]&gt;=DATE(YEAR(Pivot!$AC$2),MONTH(Pivot!$AC$2),1))*
(Table_DonBan[Ngày lập]&lt;=DATE(YEAR(Pivot!$AC$3), MONTH(Pivot!$AC$3)+1,1)-1)*
(MONTH(Table_DonBan[Ngày lập]) = BQ15)
)),
SUM(_xlfn._xlws.FILTER(
Table_DonBan[Doanh thu ròng],
(Table_DonBan[Kênh] = $Z$3)*
(Table_DonBan[Ngày lập]&gt;=DATE(YEAR(Pivot!$AC$2),MONTH(Pivot!$AC$2),1))*
(Table_DonBan[Ngày lập]&lt;=DATE(YEAR(Pivot!$AC$3), MONTH(Pivot!$AC$3)+1,1)-1)*
(MONTH(Table_DonBan[Ngày lập]) = BQ15)
))
),0)</f>
        <v>0</v>
      </c>
      <c r="BT15" s="144" t="str">
        <f t="shared" si="0"/>
        <v/>
      </c>
      <c r="BU15" s="143" t="str">
        <f t="shared" si="1"/>
        <v/>
      </c>
      <c r="BV15" s="138" cm="1">
        <f t="array" ref="BV15">IFERROR(
IF(ISBLANK($AD$3),
SUM(_xlfn._xlws.FILTER(
Table_Main[Hoa hồng],
(Table_Main[Ngày lên đơn]&gt;=DATE(YEAR(Pivot!$AC$2),MONTH(Pivot!$AC$2),1))*
(Table_Main[Ngày lên đơn]&lt;=DATE(YEAR(Pivot!$AC$3), MONTH(Pivot!$AC$3)+1,1)-1)*
(Table_Main[Tháng lên đơn] = BQ15)
)),
SUM(_xlfn._xlws.FILTER(
Table_Main[Hoa hồng],
(Table_Main[NV Bán hàng] = $AD$3)*
(Table_Main[Ngày lên đơn]&gt;=DATE(YEAR(Pivot!$AC$2),MONTH(Pivot!$AC$2),1))*
(Table_Main[Ngày lên đơn]&lt;=DATE(YEAR(Pivot!$AC$3), MONTH(Pivot!$AC$3)+1,1)-1)*
(Table_Main[Tháng lên đơn] = BQ15)
))
),0)</f>
        <v>0</v>
      </c>
      <c r="BW15" s="138" cm="1">
        <f t="array" ref="BW15">IFERROR(
IF(ISBLANK($AD$3),
SUM(_xlfn._xlws.FILTER(
Table_DonBan[Doanh thu ròng],
(Table_DonBan[Ngày lập]&gt;=DATE(YEAR(Pivot!$AC$2),MONTH(Pivot!$AC$2),1))*
(Table_DonBan[Ngày lập]&lt;=DATE(YEAR(Pivot!$AC$3), MONTH(Pivot!$AC$3)+1,1)-1)*
(MONTH(Table_DonBan[Ngày lập]) = BQ15)
)),
SUM(_xlfn._xlws.FILTER(
Table_DonBan[Doanh thu ròng],
(Table_DonBan[Mã NV] = $AD$3)*
(Table_DonBan[Ngày lập]&gt;=DATE(YEAR(Pivot!$AC$2),MONTH(Pivot!$AC$2),1))*
(Table_DonBan[Ngày lập]&lt;=DATE(YEAR(Pivot!$AC$3), MONTH(Pivot!$AC$3)+1,1)-1)*
(MONTH(Table_DonBan[Ngày lập]) = BQ15)
))
),0)</f>
        <v>0</v>
      </c>
      <c r="BX15" s="144" t="str">
        <f t="shared" si="2"/>
        <v/>
      </c>
      <c r="BY15" s="143" t="str">
        <f t="shared" si="3"/>
        <v/>
      </c>
    </row>
    <row r="16" spans="1:96" ht="16.5" x14ac:dyDescent="0.3">
      <c r="A16" s="134"/>
      <c r="B16" s="134"/>
      <c r="C16" s="134"/>
      <c r="BQ16" s="138">
        <v>12</v>
      </c>
      <c r="BR16" s="138" cm="1">
        <f t="array" ref="BR16">IFERROR(
IF(
ISBLANK($Z$3),
SUM(
_xlfn._xlws.FILTER(Table_Main[CK kênh],
(Table_Main[Ngày lên đơn]&gt;=DATE(YEAR(Pivot!$AC$2),MONTH(Pivot!$AC$2),1))*
(Table_Main[Ngày lên đơn]&lt;=DATE(YEAR(Pivot!$AC$3), MONTH(Pivot!$AC$3)+1,1)-1)*
(MONTH(Table_Main[Ngày lên đơn]) = BQ16)
)),
SUM(
_xlfn._xlws.FILTER(Table_Main[CK kênh],
(Table_Main[Kênh] = $Z$3)*
(Table_Main[Ngày lên đơn]&gt;=DATE(YEAR(Pivot!$AC$2),MONTH(Pivot!$AC$2),1))*
(Table_Main[Ngày lên đơn]&lt;=DATE(YEAR(Pivot!$AC$3), MONTH(Pivot!$AC$3)+1,1)-1)*
(MONTH(Table_Main[Ngày lên đơn]) = BQ16)
))
),0)</f>
        <v>0</v>
      </c>
      <c r="BS16" s="138" cm="1">
        <f t="array" ref="BS16">IFERROR(
IF(ISBLANK($Z$3),
SUM(_xlfn._xlws.FILTER(
Table_DonBan[Doanh thu ròng],
(Table_DonBan[Ngày lập]&gt;=DATE(YEAR(Pivot!$AC$2),MONTH(Pivot!$AC$2),1))*
(Table_DonBan[Ngày lập]&lt;=DATE(YEAR(Pivot!$AC$3), MONTH(Pivot!$AC$3)+1,1)-1)*
(MONTH(Table_DonBan[Ngày lập]) = BQ16)
)),
SUM(_xlfn._xlws.FILTER(
Table_DonBan[Doanh thu ròng],
(Table_DonBan[Kênh] = $Z$3)*
(Table_DonBan[Ngày lập]&gt;=DATE(YEAR(Pivot!$AC$2),MONTH(Pivot!$AC$2),1))*
(Table_DonBan[Ngày lập]&lt;=DATE(YEAR(Pivot!$AC$3), MONTH(Pivot!$AC$3)+1,1)-1)*
(MONTH(Table_DonBan[Ngày lập]) = BQ16)
))
),0)</f>
        <v>0</v>
      </c>
      <c r="BT16" s="144" t="str">
        <f t="shared" si="0"/>
        <v/>
      </c>
      <c r="BU16" s="143" t="str">
        <f t="shared" si="1"/>
        <v/>
      </c>
      <c r="BV16" s="138" cm="1">
        <f t="array" ref="BV16">IFERROR(
IF(ISBLANK($AD$3),
SUM(_xlfn._xlws.FILTER(
Table_Main[Hoa hồng],
(Table_Main[Ngày lên đơn]&gt;=DATE(YEAR(Pivot!$AC$2),MONTH(Pivot!$AC$2),1))*
(Table_Main[Ngày lên đơn]&lt;=DATE(YEAR(Pivot!$AC$3), MONTH(Pivot!$AC$3)+1,1)-1)*
(Table_Main[Tháng lên đơn] = BQ16)
)),
SUM(_xlfn._xlws.FILTER(
Table_Main[Hoa hồng],
(Table_Main[NV Bán hàng] = $AD$3)*
(Table_Main[Ngày lên đơn]&gt;=DATE(YEAR(Pivot!$AC$2),MONTH(Pivot!$AC$2),1))*
(Table_Main[Ngày lên đơn]&lt;=DATE(YEAR(Pivot!$AC$3), MONTH(Pivot!$AC$3)+1,1)-1)*
(Table_Main[Tháng lên đơn] = BQ16)
))
),0)</f>
        <v>0</v>
      </c>
      <c r="BW16" s="138" cm="1">
        <f t="array" ref="BW16">IFERROR(
IF(ISBLANK($AD$3),
SUM(_xlfn._xlws.FILTER(
Table_DonBan[Doanh thu ròng],
(Table_DonBan[Ngày lập]&gt;=DATE(YEAR(Pivot!$AC$2),MONTH(Pivot!$AC$2),1))*
(Table_DonBan[Ngày lập]&lt;=DATE(YEAR(Pivot!$AC$3), MONTH(Pivot!$AC$3)+1,1)-1)*
(MONTH(Table_DonBan[Ngày lập]) = BQ16)
)),
SUM(_xlfn._xlws.FILTER(
Table_DonBan[Doanh thu ròng],
(Table_DonBan[Mã NV] = $AD$3)*
(Table_DonBan[Ngày lập]&gt;=DATE(YEAR(Pivot!$AC$2),MONTH(Pivot!$AC$2),1))*
(Table_DonBan[Ngày lập]&lt;=DATE(YEAR(Pivot!$AC$3), MONTH(Pivot!$AC$3)+1,1)-1)*
(MONTH(Table_DonBan[Ngày lập]) = BQ16)
))
),0)</f>
        <v>0</v>
      </c>
      <c r="BX16" s="144" t="str">
        <f t="shared" si="2"/>
        <v/>
      </c>
      <c r="BY16" s="143" t="str">
        <f t="shared" si="3"/>
        <v/>
      </c>
    </row>
    <row r="17" spans="1:79" ht="16.5" x14ac:dyDescent="0.3">
      <c r="A17" s="134"/>
      <c r="B17" s="134"/>
      <c r="C17" s="134"/>
    </row>
    <row r="18" spans="1:79" ht="16.5" x14ac:dyDescent="0.3">
      <c r="A18" s="134"/>
      <c r="B18" s="134"/>
      <c r="C18" s="134"/>
    </row>
    <row r="19" spans="1:79" ht="16.5" x14ac:dyDescent="0.3">
      <c r="A19" s="134"/>
      <c r="B19" s="134"/>
      <c r="C19" s="134"/>
    </row>
    <row r="20" spans="1:79" ht="16.5" x14ac:dyDescent="0.3">
      <c r="A20" s="134"/>
      <c r="BR20" s="138" t="s">
        <v>227</v>
      </c>
      <c r="BS20" s="138" t="s">
        <v>228</v>
      </c>
      <c r="BT20" s="138" t="s">
        <v>229</v>
      </c>
      <c r="BU20" s="138" t="s">
        <v>230</v>
      </c>
      <c r="BV20" s="138" t="s">
        <v>231</v>
      </c>
      <c r="BW20" s="138" t="s">
        <v>232</v>
      </c>
      <c r="BX20" s="138" t="s">
        <v>233</v>
      </c>
      <c r="BY20" s="138" t="s">
        <v>22</v>
      </c>
      <c r="BZ20" s="138" t="s">
        <v>234</v>
      </c>
      <c r="CA20" s="138" t="s">
        <v>22</v>
      </c>
    </row>
    <row r="21" spans="1:79" ht="16.5" x14ac:dyDescent="0.3">
      <c r="A21" s="134"/>
      <c r="BQ21" s="138">
        <v>1</v>
      </c>
      <c r="BR21" s="138" cm="1">
        <f t="array" aca="1" ref="BR21" ca="1">IF(ISBLANK($Z$3),
IFERROR(SUM(_xlfn._xlws.FILTER(Pivot_KPI_DthuCP,
(PIvot_KPI_ThangCP = $BQ21)*
(Pivot_KPI_NhanVienCP = "(blank)")
)),0),
IFERROR(SUM(_xlfn._xlws.FILTER(Pivot_KPI_DthuCP,
(PIvot_KPI_ThangCP = $BQ21)*
(Pivot_KPI_NhanVienCP = "(blank)")*
(Pivot_KPI_KenhCP=$Z$3)
)),0))</f>
        <v>109500000</v>
      </c>
      <c r="BS21" s="138" cm="1">
        <f t="array" aca="1" ref="BS21" ca="1">IF(ISBLANK($Z$3),
IFERROR(SUM(_xlfn._xlws.FILTER(Pivot_KPI_KPICP,
(PIvot_KPI_ThangCP = $BQ21)*
(Pivot_KPI_NhanVienCP = "(blank)")
)),0),
IFERROR(SUM(_xlfn._xlws.FILTER(Pivot_KPI_KPICP,
(PIvot_KPI_ThangCP = $BQ21)*
(Pivot_KPI_NhanVienCP = "(blank)")*
(Pivot_KPI_KenhCP=$Z$3)
)),0))</f>
        <v>300000000</v>
      </c>
      <c r="BT21" s="138">
        <f ca="1">BR21/BS21</f>
        <v>0.36499999999999999</v>
      </c>
      <c r="BU21" s="138" cm="1">
        <f t="array" aca="1" ref="BU21" ca="1">IF(ISBLANK($AD$3),
IFERROR(SUM(_xlfn._xlws.FILTER(Pivot_KPI_DthuCP,
(PIvot_KPI_ThangCP = $BQ21)*
(Pivot_KPI_KenhCP = "(blank)")
)),0),
IFERROR(SUM(_xlfn._xlws.FILTER(Pivot_KPI_DthuCP,
(PIvot_KPI_ThangCP = $BQ21)*
(Pivot_KPI_KenhCP = "(blank)")*
(Pivot_KPI_NhanVienCP=$AD$3)
)),0))</f>
        <v>330700000</v>
      </c>
      <c r="BV21" s="138" cm="1">
        <f t="array" aca="1" ref="BV21" ca="1">IF(ISBLANK($AD$3),
IFERROR(SUM(_xlfn._xlws.FILTER(Pivot_KPI_KPICP,
(PIvot_KPI_ThangCP = $BQ21)*
(Pivot_KPI_KenhCP = "(blank)")
)),0),
IFERROR(SUM(_xlfn._xlws.FILTER(Pivot_KPI_KPICP,
(PIvot_KPI_ThangCP = $BQ21)*
(Pivot_KPI_KenhCP = "(blank)")*
(Pivot_KPI_NhanVienCP=$AD$3)
)),0))</f>
        <v>450000000</v>
      </c>
      <c r="BW21" s="138">
        <f ca="1">BU21/BV21</f>
        <v>0.73488888888888892</v>
      </c>
      <c r="BX21" s="138">
        <f ca="1">IF(BT21&gt;=1,BR21,0)</f>
        <v>0</v>
      </c>
      <c r="BY21" s="138" t="str">
        <f ca="1">IFERROR(TEXT(BX21,LOOKUP(BX21,Pivot!$B$6:$B$12,Pivot!$C$6:$C$12)),"")</f>
        <v/>
      </c>
      <c r="BZ21" s="138">
        <f ca="1">IF(BW21&gt;=1,BU21,0)</f>
        <v>0</v>
      </c>
      <c r="CA21" s="138" t="str">
        <f ca="1">IFERROR(TEXT(BZ21,LOOKUP(BZ21,Pivot!$B$6:$B$12,Pivot!$C$6:$C$12)),"")</f>
        <v/>
      </c>
    </row>
    <row r="22" spans="1:79" ht="16.5" x14ac:dyDescent="0.3">
      <c r="A22" s="134"/>
      <c r="BQ22" s="138">
        <v>2</v>
      </c>
      <c r="BR22" s="138" cm="1">
        <f t="array" aca="1" ref="BR22" ca="1">IF(ISBLANK($Z$3),
IFERROR(SUM(_xlfn._xlws.FILTER(Pivot_KPI_DthuCP,
(PIvot_KPI_ThangCP = $BQ22)*
(Pivot_KPI_NhanVienCP = "(blank)")
)),0),
IFERROR(SUM(_xlfn._xlws.FILTER(Pivot_KPI_DthuCP,
(PIvot_KPI_ThangCP = $BQ22)*
(Pivot_KPI_NhanVienCP = "(blank)")*
(Pivot_KPI_KenhCP=$Z$3)
)),0))</f>
        <v>0</v>
      </c>
      <c r="BS22" s="138" cm="1">
        <f t="array" aca="1" ref="BS22" ca="1">IF(ISBLANK($Z$3),
IFERROR(SUM(_xlfn._xlws.FILTER(Pivot_KPI_KPICP,
(PIvot_KPI_ThangCP = $BQ22)*
(Pivot_KPI_NhanVienCP = "(blank)")
)),0),
IFERROR(SUM(_xlfn._xlws.FILTER(Pivot_KPI_KPICP,
(PIvot_KPI_ThangCP = $BQ22)*
(Pivot_KPI_NhanVienCP = "(blank)")*
(Pivot_KPI_KenhCP=$Z$3)
)),0))</f>
        <v>300000000</v>
      </c>
      <c r="BT22" s="138">
        <f t="shared" ref="BT22:BT33" ca="1" si="4">BR22/BS22</f>
        <v>0</v>
      </c>
      <c r="BU22" s="138" cm="1">
        <f t="array" aca="1" ref="BU22" ca="1">IF(ISBLANK($AD$3),
IFERROR(SUM(_xlfn._xlws.FILTER(Pivot_KPI_DthuCP,
(PIvot_KPI_ThangCP = $BQ22)*
(Pivot_KPI_KenhCP = "(blank)")
)),0),
IFERROR(SUM(_xlfn._xlws.FILTER(Pivot_KPI_DthuCP,
(PIvot_KPI_ThangCP = $BQ22)*
(Pivot_KPI_KenhCP = "(blank)")*
(Pivot_KPI_NhanVienCP=$AD$3)
)),0))</f>
        <v>343900000</v>
      </c>
      <c r="BV22" s="138" cm="1">
        <f t="array" aca="1" ref="BV22" ca="1">IF(ISBLANK($AD$3),
IFERROR(SUM(_xlfn._xlws.FILTER(Pivot_KPI_KPICP,
(PIvot_KPI_ThangCP = $BQ22)*
(Pivot_KPI_KenhCP = "(blank)")
)),0),
IFERROR(SUM(_xlfn._xlws.FILTER(Pivot_KPI_KPICP,
(PIvot_KPI_ThangCP = $BQ22)*
(Pivot_KPI_KenhCP = "(blank)")*
(Pivot_KPI_NhanVienCP=$AD$3)
)),0))</f>
        <v>450000000</v>
      </c>
      <c r="BW22" s="138">
        <f t="shared" ref="BW22:BW33" ca="1" si="5">BU22/BV22</f>
        <v>0.76422222222222225</v>
      </c>
      <c r="BX22" s="138">
        <f t="shared" ref="BX22:BX33" ca="1" si="6">IF(BT22&gt;=1,BR22,0)</f>
        <v>0</v>
      </c>
      <c r="BY22" s="138" t="str">
        <f ca="1">IFERROR(TEXT(BX22,LOOKUP(BX22,Pivot!$B$6:$B$12,Pivot!$C$6:$C$12)),"")</f>
        <v/>
      </c>
      <c r="BZ22" s="138">
        <f t="shared" ref="BZ22:BZ33" ca="1" si="7">IF(BW22&gt;=1,BU22,0)</f>
        <v>0</v>
      </c>
      <c r="CA22" s="138" t="str">
        <f ca="1">IFERROR(TEXT(BZ22,LOOKUP(BZ22,Pivot!$B$6:$B$12,Pivot!$C$6:$C$12)),"")</f>
        <v/>
      </c>
    </row>
    <row r="23" spans="1:79" ht="16.5" x14ac:dyDescent="0.3">
      <c r="A23" s="134"/>
      <c r="BQ23" s="138">
        <v>3</v>
      </c>
      <c r="BR23" s="138" cm="1">
        <f t="array" aca="1" ref="BR23" ca="1">IF(ISBLANK($Z$3),
IFERROR(SUM(_xlfn._xlws.FILTER(Pivot_KPI_DthuCP,
(PIvot_KPI_ThangCP = $BQ23)*
(Pivot_KPI_NhanVienCP = "(blank)")
)),0),
IFERROR(SUM(_xlfn._xlws.FILTER(Pivot_KPI_DthuCP,
(PIvot_KPI_ThangCP = $BQ23)*
(Pivot_KPI_NhanVienCP = "(blank)")*
(Pivot_KPI_KenhCP=$Z$3)
)),0))</f>
        <v>113500000</v>
      </c>
      <c r="BS23" s="138" cm="1">
        <f t="array" aca="1" ref="BS23" ca="1">IF(ISBLANK($Z$3),
IFERROR(SUM(_xlfn._xlws.FILTER(Pivot_KPI_KPICP,
(PIvot_KPI_ThangCP = $BQ23)*
(Pivot_KPI_NhanVienCP = "(blank)")
)),0),
IFERROR(SUM(_xlfn._xlws.FILTER(Pivot_KPI_KPICP,
(PIvot_KPI_ThangCP = $BQ23)*
(Pivot_KPI_NhanVienCP = "(blank)")*
(Pivot_KPI_KenhCP=$Z$3)
)),0))</f>
        <v>300000000</v>
      </c>
      <c r="BT23" s="138">
        <f t="shared" ca="1" si="4"/>
        <v>0.37833333333333335</v>
      </c>
      <c r="BU23" s="138" cm="1">
        <f t="array" aca="1" ref="BU23" ca="1">IF(ISBLANK($AD$3),
IFERROR(SUM(_xlfn._xlws.FILTER(Pivot_KPI_DthuCP,
(PIvot_KPI_ThangCP = $BQ23)*
(Pivot_KPI_KenhCP = "(blank)")
)),0),
IFERROR(SUM(_xlfn._xlws.FILTER(Pivot_KPI_DthuCP,
(PIvot_KPI_ThangCP = $BQ23)*
(Pivot_KPI_KenhCP = "(blank)")*
(Pivot_KPI_NhanVienCP=$AD$3)
)),0))</f>
        <v>338900000</v>
      </c>
      <c r="BV23" s="138" cm="1">
        <f t="array" aca="1" ref="BV23" ca="1">IF(ISBLANK($AD$3),
IFERROR(SUM(_xlfn._xlws.FILTER(Pivot_KPI_KPICP,
(PIvot_KPI_ThangCP = $BQ23)*
(Pivot_KPI_KenhCP = "(blank)")
)),0),
IFERROR(SUM(_xlfn._xlws.FILTER(Pivot_KPI_KPICP,
(PIvot_KPI_ThangCP = $BQ23)*
(Pivot_KPI_KenhCP = "(blank)")*
(Pivot_KPI_NhanVienCP=$AD$3)
)),0))</f>
        <v>450000000</v>
      </c>
      <c r="BW23" s="138">
        <f t="shared" ca="1" si="5"/>
        <v>0.75311111111111106</v>
      </c>
      <c r="BX23" s="138">
        <f t="shared" ca="1" si="6"/>
        <v>0</v>
      </c>
      <c r="BY23" s="138" t="str">
        <f ca="1">IFERROR(TEXT(BX23,LOOKUP(BX23,Pivot!$B$6:$B$12,Pivot!$C$6:$C$12)),"")</f>
        <v/>
      </c>
      <c r="BZ23" s="138">
        <f t="shared" ca="1" si="7"/>
        <v>0</v>
      </c>
      <c r="CA23" s="138" t="str">
        <f ca="1">IFERROR(TEXT(BZ23,LOOKUP(BZ23,Pivot!$B$6:$B$12,Pivot!$C$6:$C$12)),"")</f>
        <v/>
      </c>
    </row>
    <row r="24" spans="1:79" ht="16.5" x14ac:dyDescent="0.3">
      <c r="A24" s="134"/>
      <c r="BQ24" s="138">
        <v>4</v>
      </c>
      <c r="BR24" s="138" cm="1">
        <f t="array" aca="1" ref="BR24" ca="1">IF(ISBLANK($Z$3),
IFERROR(SUM(_xlfn._xlws.FILTER(Pivot_KPI_DthuCP,
(PIvot_KPI_ThangCP = $BQ24)*
(Pivot_KPI_NhanVienCP = "(blank)")
)),0),
IFERROR(SUM(_xlfn._xlws.FILTER(Pivot_KPI_DthuCP,
(PIvot_KPI_ThangCP = $BQ24)*
(Pivot_KPI_NhanVienCP = "(blank)")*
(Pivot_KPI_KenhCP=$Z$3)
)),0))</f>
        <v>121300000</v>
      </c>
      <c r="BS24" s="138" cm="1">
        <f t="array" aca="1" ref="BS24" ca="1">IF(ISBLANK($Z$3),
IFERROR(SUM(_xlfn._xlws.FILTER(Pivot_KPI_KPICP,
(PIvot_KPI_ThangCP = $BQ24)*
(Pivot_KPI_NhanVienCP = "(blank)")
)),0),
IFERROR(SUM(_xlfn._xlws.FILTER(Pivot_KPI_KPICP,
(PIvot_KPI_ThangCP = $BQ24)*
(Pivot_KPI_NhanVienCP = "(blank)")*
(Pivot_KPI_KenhCP=$Z$3)
)),0))</f>
        <v>300000000</v>
      </c>
      <c r="BT24" s="138">
        <f t="shared" ca="1" si="4"/>
        <v>0.40433333333333332</v>
      </c>
      <c r="BU24" s="138" cm="1">
        <f t="array" aca="1" ref="BU24" ca="1">IF(ISBLANK($AD$3),
IFERROR(SUM(_xlfn._xlws.FILTER(Pivot_KPI_DthuCP,
(PIvot_KPI_ThangCP = $BQ24)*
(Pivot_KPI_KenhCP = "(blank)")
)),0),
IFERROR(SUM(_xlfn._xlws.FILTER(Pivot_KPI_DthuCP,
(PIvot_KPI_ThangCP = $BQ24)*
(Pivot_KPI_KenhCP = "(blank)")*
(Pivot_KPI_NhanVienCP=$AD$3)
)),0))</f>
        <v>355100000</v>
      </c>
      <c r="BV24" s="138" cm="1">
        <f t="array" aca="1" ref="BV24" ca="1">IF(ISBLANK($AD$3),
IFERROR(SUM(_xlfn._xlws.FILTER(Pivot_KPI_KPICP,
(PIvot_KPI_ThangCP = $BQ24)*
(Pivot_KPI_KenhCP = "(blank)")
)),0),
IFERROR(SUM(_xlfn._xlws.FILTER(Pivot_KPI_KPICP,
(PIvot_KPI_ThangCP = $BQ24)*
(Pivot_KPI_KenhCP = "(blank)")*
(Pivot_KPI_NhanVienCP=$AD$3)
)),0))</f>
        <v>450000000</v>
      </c>
      <c r="BW24" s="138">
        <f t="shared" ca="1" si="5"/>
        <v>0.7891111111111111</v>
      </c>
      <c r="BX24" s="138">
        <f t="shared" ca="1" si="6"/>
        <v>0</v>
      </c>
      <c r="BY24" s="138" t="str">
        <f ca="1">IFERROR(TEXT(BX24,LOOKUP(BX24,Pivot!$B$6:$B$12,Pivot!$C$6:$C$12)),"")</f>
        <v/>
      </c>
      <c r="BZ24" s="138">
        <f t="shared" ca="1" si="7"/>
        <v>0</v>
      </c>
      <c r="CA24" s="138" t="str">
        <f ca="1">IFERROR(TEXT(BZ24,LOOKUP(BZ24,Pivot!$B$6:$B$12,Pivot!$C$6:$C$12)),"")</f>
        <v/>
      </c>
    </row>
    <row r="25" spans="1:79" ht="16.5" x14ac:dyDescent="0.3">
      <c r="A25" s="134"/>
      <c r="BQ25" s="138">
        <v>5</v>
      </c>
      <c r="BR25" s="138" cm="1">
        <f t="array" aca="1" ref="BR25" ca="1">IF(ISBLANK($Z$3),
IFERROR(SUM(_xlfn._xlws.FILTER(Pivot_KPI_DthuCP,
(PIvot_KPI_ThangCP = $BQ25)*
(Pivot_KPI_NhanVienCP = "(blank)")
)),0),
IFERROR(SUM(_xlfn._xlws.FILTER(Pivot_KPI_DthuCP,
(PIvot_KPI_ThangCP = $BQ25)*
(Pivot_KPI_NhanVienCP = "(blank)")*
(Pivot_KPI_KenhCP=$Z$3)
)),0))</f>
        <v>249800000</v>
      </c>
      <c r="BS25" s="138" cm="1">
        <f t="array" aca="1" ref="BS25" ca="1">IF(ISBLANK($Z$3),
IFERROR(SUM(_xlfn._xlws.FILTER(Pivot_KPI_KPICP,
(PIvot_KPI_ThangCP = $BQ25)*
(Pivot_KPI_NhanVienCP = "(blank)")
)),0),
IFERROR(SUM(_xlfn._xlws.FILTER(Pivot_KPI_KPICP,
(PIvot_KPI_ThangCP = $BQ25)*
(Pivot_KPI_NhanVienCP = "(blank)")*
(Pivot_KPI_KenhCP=$Z$3)
)),0))</f>
        <v>300000000</v>
      </c>
      <c r="BT25" s="138">
        <f t="shared" ca="1" si="4"/>
        <v>0.83266666666666667</v>
      </c>
      <c r="BU25" s="138" cm="1">
        <f t="array" aca="1" ref="BU25" ca="1">IF(ISBLANK($AD$3),
IFERROR(SUM(_xlfn._xlws.FILTER(Pivot_KPI_DthuCP,
(PIvot_KPI_ThangCP = $BQ25)*
(Pivot_KPI_KenhCP = "(blank)")
)),0),
IFERROR(SUM(_xlfn._xlws.FILTER(Pivot_KPI_DthuCP,
(PIvot_KPI_ThangCP = $BQ25)*
(Pivot_KPI_KenhCP = "(blank)")*
(Pivot_KPI_NhanVienCP=$AD$3)
)),0))</f>
        <v>376400000</v>
      </c>
      <c r="BV25" s="138" cm="1">
        <f t="array" aca="1" ref="BV25" ca="1">IF(ISBLANK($AD$3),
IFERROR(SUM(_xlfn._xlws.FILTER(Pivot_KPI_KPICP,
(PIvot_KPI_ThangCP = $BQ25)*
(Pivot_KPI_KenhCP = "(blank)")
)),0),
IFERROR(SUM(_xlfn._xlws.FILTER(Pivot_KPI_KPICP,
(PIvot_KPI_ThangCP = $BQ25)*
(Pivot_KPI_KenhCP = "(blank)")*
(Pivot_KPI_NhanVienCP=$AD$3)
)),0))</f>
        <v>450000000</v>
      </c>
      <c r="BW25" s="138">
        <f t="shared" ca="1" si="5"/>
        <v>0.83644444444444443</v>
      </c>
      <c r="BX25" s="138">
        <f t="shared" ca="1" si="6"/>
        <v>0</v>
      </c>
      <c r="BY25" s="138" t="str">
        <f ca="1">IFERROR(TEXT(BX25,LOOKUP(BX25,Pivot!$B$6:$B$12,Pivot!$C$6:$C$12)),"")</f>
        <v/>
      </c>
      <c r="BZ25" s="138">
        <f t="shared" ca="1" si="7"/>
        <v>0</v>
      </c>
      <c r="CA25" s="138" t="str">
        <f ca="1">IFERROR(TEXT(BZ25,LOOKUP(BZ25,Pivot!$B$6:$B$12,Pivot!$C$6:$C$12)),"")</f>
        <v/>
      </c>
    </row>
    <row r="26" spans="1:79" ht="16.5" x14ac:dyDescent="0.3">
      <c r="A26" s="134"/>
      <c r="BQ26" s="138">
        <v>6</v>
      </c>
      <c r="BR26" s="138" cm="1">
        <f t="array" aca="1" ref="BR26" ca="1">IF(ISBLANK($Z$3),
IFERROR(SUM(_xlfn._xlws.FILTER(Pivot_KPI_DthuCP,
(PIvot_KPI_ThangCP = $BQ26)*
(Pivot_KPI_NhanVienCP = "(blank)")
)),0),
IFERROR(SUM(_xlfn._xlws.FILTER(Pivot_KPI_DthuCP,
(PIvot_KPI_ThangCP = $BQ26)*
(Pivot_KPI_NhanVienCP = "(blank)")*
(Pivot_KPI_KenhCP=$Z$3)
)),0))</f>
        <v>0</v>
      </c>
      <c r="BS26" s="138" cm="1">
        <f t="array" aca="1" ref="BS26" ca="1">IF(ISBLANK($Z$3),
IFERROR(SUM(_xlfn._xlws.FILTER(Pivot_KPI_KPICP,
(PIvot_KPI_ThangCP = $BQ26)*
(Pivot_KPI_NhanVienCP = "(blank)")
)),0),
IFERROR(SUM(_xlfn._xlws.FILTER(Pivot_KPI_KPICP,
(PIvot_KPI_ThangCP = $BQ26)*
(Pivot_KPI_NhanVienCP = "(blank)")*
(Pivot_KPI_KenhCP=$Z$3)
)),0))</f>
        <v>300000000</v>
      </c>
      <c r="BT26" s="138">
        <f t="shared" ca="1" si="4"/>
        <v>0</v>
      </c>
      <c r="BU26" s="138" cm="1">
        <f t="array" aca="1" ref="BU26" ca="1">IF(ISBLANK($AD$3),
IFERROR(SUM(_xlfn._xlws.FILTER(Pivot_KPI_DthuCP,
(PIvot_KPI_ThangCP = $BQ26)*
(Pivot_KPI_KenhCP = "(blank)")
)),0),
IFERROR(SUM(_xlfn._xlws.FILTER(Pivot_KPI_DthuCP,
(PIvot_KPI_ThangCP = $BQ26)*
(Pivot_KPI_KenhCP = "(blank)")*
(Pivot_KPI_NhanVienCP=$AD$3)
)),0))</f>
        <v>384600000</v>
      </c>
      <c r="BV26" s="138" cm="1">
        <f t="array" aca="1" ref="BV26" ca="1">IF(ISBLANK($AD$3),
IFERROR(SUM(_xlfn._xlws.FILTER(Pivot_KPI_KPICP,
(PIvot_KPI_ThangCP = $BQ26)*
(Pivot_KPI_KenhCP = "(blank)")
)),0),
IFERROR(SUM(_xlfn._xlws.FILTER(Pivot_KPI_KPICP,
(PIvot_KPI_ThangCP = $BQ26)*
(Pivot_KPI_KenhCP = "(blank)")*
(Pivot_KPI_NhanVienCP=$AD$3)
)),0))</f>
        <v>450000000</v>
      </c>
      <c r="BW26" s="138">
        <f t="shared" ca="1" si="5"/>
        <v>0.85466666666666669</v>
      </c>
      <c r="BX26" s="138">
        <f t="shared" ca="1" si="6"/>
        <v>0</v>
      </c>
      <c r="BY26" s="138" t="str">
        <f ca="1">IFERROR(TEXT(BX26,LOOKUP(BX26,Pivot!$B$6:$B$12,Pivot!$C$6:$C$12)),"")</f>
        <v/>
      </c>
      <c r="BZ26" s="138">
        <f t="shared" ca="1" si="7"/>
        <v>0</v>
      </c>
      <c r="CA26" s="138" t="str">
        <f ca="1">IFERROR(TEXT(BZ26,LOOKUP(BZ26,Pivot!$B$6:$B$12,Pivot!$C$6:$C$12)),"")</f>
        <v/>
      </c>
    </row>
    <row r="27" spans="1:79" ht="16.5" x14ac:dyDescent="0.3">
      <c r="A27" s="134"/>
      <c r="BQ27" s="138">
        <v>7</v>
      </c>
      <c r="BR27" s="138" cm="1">
        <f t="array" aca="1" ref="BR27" ca="1">IF(ISBLANK($Z$3),
IFERROR(SUM(_xlfn._xlws.FILTER(Pivot_KPI_DthuCP,
(PIvot_KPI_ThangCP = $BQ27)*
(Pivot_KPI_NhanVienCP = "(blank)")
)),0),
IFERROR(SUM(_xlfn._xlws.FILTER(Pivot_KPI_DthuCP,
(PIvot_KPI_ThangCP = $BQ27)*
(Pivot_KPI_NhanVienCP = "(blank)")*
(Pivot_KPI_KenhCP=$Z$3)
)),0))</f>
        <v>131700000</v>
      </c>
      <c r="BS27" s="138" cm="1">
        <f t="array" aca="1" ref="BS27" ca="1">IF(ISBLANK($Z$3),
IFERROR(SUM(_xlfn._xlws.FILTER(Pivot_KPI_KPICP,
(PIvot_KPI_ThangCP = $BQ27)*
(Pivot_KPI_NhanVienCP = "(blank)")
)),0),
IFERROR(SUM(_xlfn._xlws.FILTER(Pivot_KPI_KPICP,
(PIvot_KPI_ThangCP = $BQ27)*
(Pivot_KPI_NhanVienCP = "(blank)")*
(Pivot_KPI_KenhCP=$Z$3)
)),0))</f>
        <v>300000000</v>
      </c>
      <c r="BT27" s="138">
        <f t="shared" ca="1" si="4"/>
        <v>0.439</v>
      </c>
      <c r="BU27" s="138" cm="1">
        <f t="array" aca="1" ref="BU27" ca="1">IF(ISBLANK($AD$3),
IFERROR(SUM(_xlfn._xlws.FILTER(Pivot_KPI_DthuCP,
(PIvot_KPI_ThangCP = $BQ27)*
(Pivot_KPI_KenhCP = "(blank)")
)),0),
IFERROR(SUM(_xlfn._xlws.FILTER(Pivot_KPI_DthuCP,
(PIvot_KPI_ThangCP = $BQ27)*
(Pivot_KPI_KenhCP = "(blank)")*
(Pivot_KPI_NhanVienCP=$AD$3)
)),0))</f>
        <v>396900000</v>
      </c>
      <c r="BV27" s="138" cm="1">
        <f t="array" aca="1" ref="BV27" ca="1">IF(ISBLANK($AD$3),
IFERROR(SUM(_xlfn._xlws.FILTER(Pivot_KPI_KPICP,
(PIvot_KPI_ThangCP = $BQ27)*
(Pivot_KPI_KenhCP = "(blank)")
)),0),
IFERROR(SUM(_xlfn._xlws.FILTER(Pivot_KPI_KPICP,
(PIvot_KPI_ThangCP = $BQ27)*
(Pivot_KPI_KenhCP = "(blank)")*
(Pivot_KPI_NhanVienCP=$AD$3)
)),0))</f>
        <v>450000000</v>
      </c>
      <c r="BW27" s="138">
        <f t="shared" ca="1" si="5"/>
        <v>0.88200000000000001</v>
      </c>
      <c r="BX27" s="138">
        <f t="shared" ca="1" si="6"/>
        <v>0</v>
      </c>
      <c r="BY27" s="138" t="str">
        <f ca="1">IFERROR(TEXT(BX27,LOOKUP(BX27,Pivot!$B$6:$B$12,Pivot!$C$6:$C$12)),"")</f>
        <v/>
      </c>
      <c r="BZ27" s="138">
        <f t="shared" ca="1" si="7"/>
        <v>0</v>
      </c>
      <c r="CA27" s="138" t="str">
        <f ca="1">IFERROR(TEXT(BZ27,LOOKUP(BZ27,Pivot!$B$6:$B$12,Pivot!$C$6:$C$12)),"")</f>
        <v/>
      </c>
    </row>
    <row r="28" spans="1:79" ht="16.5" x14ac:dyDescent="0.3">
      <c r="A28" s="134"/>
      <c r="BQ28" s="138">
        <v>8</v>
      </c>
      <c r="BR28" s="138" cm="1">
        <f t="array" aca="1" ref="BR28" ca="1">IF(ISBLANK($Z$3),
IFERROR(SUM(_xlfn._xlws.FILTER(Pivot_KPI_DthuCP,
(PIvot_KPI_ThangCP = $BQ28)*
(Pivot_KPI_NhanVienCP = "(blank)")
)),0),
IFERROR(SUM(_xlfn._xlws.FILTER(Pivot_KPI_DthuCP,
(PIvot_KPI_ThangCP = $BQ28)*
(Pivot_KPI_NhanVienCP = "(blank)")*
(Pivot_KPI_KenhCP=$Z$3)
)),0))</f>
        <v>0</v>
      </c>
      <c r="BS28" s="138" cm="1">
        <f t="array" aca="1" ref="BS28" ca="1">IF(ISBLANK($Z$3),
IFERROR(SUM(_xlfn._xlws.FILTER(Pivot_KPI_KPICP,
(PIvot_KPI_ThangCP = $BQ28)*
(Pivot_KPI_NhanVienCP = "(blank)")
)),0),
IFERROR(SUM(_xlfn._xlws.FILTER(Pivot_KPI_KPICP,
(PIvot_KPI_ThangCP = $BQ28)*
(Pivot_KPI_NhanVienCP = "(blank)")*
(Pivot_KPI_KenhCP=$Z$3)
)),0))</f>
        <v>300000000</v>
      </c>
      <c r="BT28" s="138">
        <f t="shared" ca="1" si="4"/>
        <v>0</v>
      </c>
      <c r="BU28" s="138" cm="1">
        <f t="array" aca="1" ref="BU28" ca="1">IF(ISBLANK($AD$3),
IFERROR(SUM(_xlfn._xlws.FILTER(Pivot_KPI_DthuCP,
(PIvot_KPI_ThangCP = $BQ28)*
(Pivot_KPI_KenhCP = "(blank)")
)),0),
IFERROR(SUM(_xlfn._xlws.FILTER(Pivot_KPI_DthuCP,
(PIvot_KPI_ThangCP = $BQ28)*
(Pivot_KPI_KenhCP = "(blank)")*
(Pivot_KPI_NhanVienCP=$AD$3)
)),0))</f>
        <v>421000000</v>
      </c>
      <c r="BV28" s="138" cm="1">
        <f t="array" aca="1" ref="BV28" ca="1">IF(ISBLANK($AD$3),
IFERROR(SUM(_xlfn._xlws.FILTER(Pivot_KPI_KPICP,
(PIvot_KPI_ThangCP = $BQ28)*
(Pivot_KPI_KenhCP = "(blank)")
)),0),
IFERROR(SUM(_xlfn._xlws.FILTER(Pivot_KPI_KPICP,
(PIvot_KPI_ThangCP = $BQ28)*
(Pivot_KPI_KenhCP = "(blank)")*
(Pivot_KPI_NhanVienCP=$AD$3)
)),0))</f>
        <v>450000000</v>
      </c>
      <c r="BW28" s="138">
        <f t="shared" ca="1" si="5"/>
        <v>0.93555555555555558</v>
      </c>
      <c r="BX28" s="138">
        <f t="shared" ca="1" si="6"/>
        <v>0</v>
      </c>
      <c r="BY28" s="138" t="str">
        <f ca="1">IFERROR(TEXT(BX28,LOOKUP(BX28,Pivot!$B$6:$B$12,Pivot!$C$6:$C$12)),"")</f>
        <v/>
      </c>
      <c r="BZ28" s="138">
        <f t="shared" ca="1" si="7"/>
        <v>0</v>
      </c>
      <c r="CA28" s="138" t="str">
        <f ca="1">IFERROR(TEXT(BZ28,LOOKUP(BZ28,Pivot!$B$6:$B$12,Pivot!$C$6:$C$12)),"")</f>
        <v/>
      </c>
    </row>
    <row r="29" spans="1:79" ht="16.5" x14ac:dyDescent="0.3">
      <c r="A29" s="134"/>
      <c r="BQ29" s="138">
        <v>9</v>
      </c>
      <c r="BR29" s="138" cm="1">
        <f t="array" aca="1" ref="BR29" ca="1">IF(ISBLANK($Z$3),
IFERROR(SUM(_xlfn._xlws.FILTER(Pivot_KPI_DthuCP,
(PIvot_KPI_ThangCP = $BQ29)*
(Pivot_KPI_NhanVienCP = "(blank)")
)),0),
IFERROR(SUM(_xlfn._xlws.FILTER(Pivot_KPI_DthuCP,
(PIvot_KPI_ThangCP = $BQ29)*
(Pivot_KPI_NhanVienCP = "(blank)")*
(Pivot_KPI_KenhCP=$Z$3)
)),0))</f>
        <v>292800000</v>
      </c>
      <c r="BS29" s="138" cm="1">
        <f t="array" aca="1" ref="BS29" ca="1">IF(ISBLANK($Z$3),
IFERROR(SUM(_xlfn._xlws.FILTER(Pivot_KPI_KPICP,
(PIvot_KPI_ThangCP = $BQ29)*
(Pivot_KPI_NhanVienCP = "(blank)")
)),0),
IFERROR(SUM(_xlfn._xlws.FILTER(Pivot_KPI_KPICP,
(PIvot_KPI_ThangCP = $BQ29)*
(Pivot_KPI_NhanVienCP = "(blank)")*
(Pivot_KPI_KenhCP=$Z$3)
)),0))</f>
        <v>300000000</v>
      </c>
      <c r="BT29" s="138">
        <f t="shared" ca="1" si="4"/>
        <v>0.97599999999999998</v>
      </c>
      <c r="BU29" s="138" cm="1">
        <f t="array" aca="1" ref="BU29" ca="1">IF(ISBLANK($AD$3),
IFERROR(SUM(_xlfn._xlws.FILTER(Pivot_KPI_DthuCP,
(PIvot_KPI_ThangCP = $BQ29)*
(Pivot_KPI_KenhCP = "(blank)")
)),0),
IFERROR(SUM(_xlfn._xlws.FILTER(Pivot_KPI_DthuCP,
(PIvot_KPI_ThangCP = $BQ29)*
(Pivot_KPI_KenhCP = "(blank)")*
(Pivot_KPI_NhanVienCP=$AD$3)
)),0))</f>
        <v>442700000</v>
      </c>
      <c r="BV29" s="138" cm="1">
        <f t="array" aca="1" ref="BV29" ca="1">IF(ISBLANK($AD$3),
IFERROR(SUM(_xlfn._xlws.FILTER(Pivot_KPI_KPICP,
(PIvot_KPI_ThangCP = $BQ29)*
(Pivot_KPI_KenhCP = "(blank)")
)),0),
IFERROR(SUM(_xlfn._xlws.FILTER(Pivot_KPI_KPICP,
(PIvot_KPI_ThangCP = $BQ29)*
(Pivot_KPI_KenhCP = "(blank)")*
(Pivot_KPI_NhanVienCP=$AD$3)
)),0))</f>
        <v>450000000</v>
      </c>
      <c r="BW29" s="138">
        <f t="shared" ca="1" si="5"/>
        <v>0.98377777777777775</v>
      </c>
      <c r="BX29" s="138">
        <f t="shared" ca="1" si="6"/>
        <v>0</v>
      </c>
      <c r="BY29" s="138" t="str">
        <f ca="1">IFERROR(TEXT(BX29,LOOKUP(BX29,Pivot!$B$6:$B$12,Pivot!$C$6:$C$12)),"")</f>
        <v/>
      </c>
      <c r="BZ29" s="138">
        <f t="shared" ca="1" si="7"/>
        <v>0</v>
      </c>
      <c r="CA29" s="138" t="str">
        <f ca="1">IFERROR(TEXT(BZ29,LOOKUP(BZ29,Pivot!$B$6:$B$12,Pivot!$C$6:$C$12)),"")</f>
        <v/>
      </c>
    </row>
    <row r="30" spans="1:79" ht="16.5" x14ac:dyDescent="0.3">
      <c r="A30" s="134"/>
      <c r="BQ30" s="138">
        <v>10</v>
      </c>
      <c r="BR30" s="138" cm="1">
        <f t="array" aca="1" ref="BR30" ca="1">IF(ISBLANK($Z$3),
IFERROR(SUM(_xlfn._xlws.FILTER(Pivot_KPI_DthuCP,
(PIvot_KPI_ThangCP = $BQ30)*
(Pivot_KPI_NhanVienCP = "(blank)")
)),0),
IFERROR(SUM(_xlfn._xlws.FILTER(Pivot_KPI_DthuCP,
(PIvot_KPI_ThangCP = $BQ30)*
(Pivot_KPI_NhanVienCP = "(blank)")*
(Pivot_KPI_KenhCP=$Z$3)
)),0))</f>
        <v>314300000</v>
      </c>
      <c r="BS30" s="138" cm="1">
        <f t="array" aca="1" ref="BS30" ca="1">IF(ISBLANK($Z$3),
IFERROR(SUM(_xlfn._xlws.FILTER(Pivot_KPI_KPICP,
(PIvot_KPI_ThangCP = $BQ30)*
(Pivot_KPI_NhanVienCP = "(blank)")
)),0),
IFERROR(SUM(_xlfn._xlws.FILTER(Pivot_KPI_KPICP,
(PIvot_KPI_ThangCP = $BQ30)*
(Pivot_KPI_NhanVienCP = "(blank)")*
(Pivot_KPI_KenhCP=$Z$3)
)),0))</f>
        <v>300000000</v>
      </c>
      <c r="BT30" s="138">
        <f t="shared" ca="1" si="4"/>
        <v>1.0476666666666667</v>
      </c>
      <c r="BU30" s="138" cm="1">
        <f t="array" aca="1" ref="BU30" ca="1">IF(ISBLANK($AD$3),
IFERROR(SUM(_xlfn._xlws.FILTER(Pivot_KPI_DthuCP,
(PIvot_KPI_ThangCP = $BQ30)*
(Pivot_KPI_KenhCP = "(blank)")
)),0),
IFERROR(SUM(_xlfn._xlws.FILTER(Pivot_KPI_DthuCP,
(PIvot_KPI_ThangCP = $BQ30)*
(Pivot_KPI_KenhCP = "(blank)")*
(Pivot_KPI_NhanVienCP=$AD$3)
)),0))</f>
        <v>469300000</v>
      </c>
      <c r="BV30" s="138" cm="1">
        <f t="array" aca="1" ref="BV30" ca="1">IF(ISBLANK($AD$3),
IFERROR(SUM(_xlfn._xlws.FILTER(Pivot_KPI_KPICP,
(PIvot_KPI_ThangCP = $BQ30)*
(Pivot_KPI_KenhCP = "(blank)")
)),0),
IFERROR(SUM(_xlfn._xlws.FILTER(Pivot_KPI_KPICP,
(PIvot_KPI_ThangCP = $BQ30)*
(Pivot_KPI_KenhCP = "(blank)")*
(Pivot_KPI_NhanVienCP=$AD$3)
)),0))</f>
        <v>450000000</v>
      </c>
      <c r="BW30" s="138">
        <f t="shared" ca="1" si="5"/>
        <v>1.042888888888889</v>
      </c>
      <c r="BX30" s="138">
        <f t="shared" ca="1" si="6"/>
        <v>314300000</v>
      </c>
      <c r="BY30" s="138" t="str">
        <f ca="1">IFERROR(TEXT(BX30,LOOKUP(BX30,Pivot!$B$6:$B$12,Pivot!$C$6:$C$12)),"")</f>
        <v>314.3tr</v>
      </c>
      <c r="BZ30" s="138">
        <f t="shared" ca="1" si="7"/>
        <v>469300000</v>
      </c>
      <c r="CA30" s="138" t="str">
        <f ca="1">IFERROR(TEXT(BZ30,LOOKUP(BZ30,Pivot!$B$6:$B$12,Pivot!$C$6:$C$12)),"")</f>
        <v>469.3tr</v>
      </c>
    </row>
    <row r="31" spans="1:79" ht="16.5" x14ac:dyDescent="0.3">
      <c r="A31" s="134"/>
      <c r="BQ31" s="138">
        <v>11</v>
      </c>
      <c r="BR31" s="138" cm="1">
        <f t="array" aca="1" ref="BR31" ca="1">IF(ISBLANK($Z$3),
IFERROR(SUM(_xlfn._xlws.FILTER(Pivot_KPI_DthuCP,
(PIvot_KPI_ThangCP = $BQ31)*
(Pivot_KPI_NhanVienCP = "(blank)")
)),0),
IFERROR(SUM(_xlfn._xlws.FILTER(Pivot_KPI_DthuCP,
(PIvot_KPI_ThangCP = $BQ31)*
(Pivot_KPI_NhanVienCP = "(blank)")*
(Pivot_KPI_KenhCP=$Z$3)
)),0))</f>
        <v>0</v>
      </c>
      <c r="BS31" s="138" cm="1">
        <f t="array" aca="1" ref="BS31" ca="1">IF(ISBLANK($Z$3),
IFERROR(SUM(_xlfn._xlws.FILTER(Pivot_KPI_KPICP,
(PIvot_KPI_ThangCP = $BQ31)*
(Pivot_KPI_NhanVienCP = "(blank)")
)),0),
IFERROR(SUM(_xlfn._xlws.FILTER(Pivot_KPI_KPICP,
(PIvot_KPI_ThangCP = $BQ31)*
(Pivot_KPI_NhanVienCP = "(blank)")*
(Pivot_KPI_KenhCP=$Z$3)
)),0))</f>
        <v>300000000</v>
      </c>
      <c r="BT31" s="138">
        <f t="shared" ca="1" si="4"/>
        <v>0</v>
      </c>
      <c r="BU31" s="138" cm="1">
        <f t="array" aca="1" ref="BU31" ca="1">IF(ISBLANK($AD$3),
IFERROR(SUM(_xlfn._xlws.FILTER(Pivot_KPI_DthuCP,
(PIvot_KPI_ThangCP = $BQ31)*
(Pivot_KPI_KenhCP = "(blank)")
)),0),
IFERROR(SUM(_xlfn._xlws.FILTER(Pivot_KPI_DthuCP,
(PIvot_KPI_ThangCP = $BQ31)*
(Pivot_KPI_KenhCP = "(blank)")*
(Pivot_KPI_NhanVienCP=$AD$3)
)),0))</f>
        <v>492200000</v>
      </c>
      <c r="BV31" s="138" cm="1">
        <f t="array" aca="1" ref="BV31" ca="1">IF(ISBLANK($AD$3),
IFERROR(SUM(_xlfn._xlws.FILTER(Pivot_KPI_KPICP,
(PIvot_KPI_ThangCP = $BQ31)*
(Pivot_KPI_KenhCP = "(blank)")
)),0),
IFERROR(SUM(_xlfn._xlws.FILTER(Pivot_KPI_KPICP,
(PIvot_KPI_ThangCP = $BQ31)*
(Pivot_KPI_KenhCP = "(blank)")*
(Pivot_KPI_NhanVienCP=$AD$3)
)),0))</f>
        <v>450000000</v>
      </c>
      <c r="BW31" s="138">
        <f t="shared" ca="1" si="5"/>
        <v>1.0937777777777777</v>
      </c>
      <c r="BX31" s="138">
        <f t="shared" ca="1" si="6"/>
        <v>0</v>
      </c>
      <c r="BY31" s="138" t="str">
        <f ca="1">IFERROR(TEXT(BX31,LOOKUP(BX31,Pivot!$B$6:$B$12,Pivot!$C$6:$C$12)),"")</f>
        <v/>
      </c>
      <c r="BZ31" s="138">
        <f t="shared" ca="1" si="7"/>
        <v>492200000</v>
      </c>
      <c r="CA31" s="138" t="str">
        <f ca="1">IFERROR(TEXT(BZ31,LOOKUP(BZ31,Pivot!$B$6:$B$12,Pivot!$C$6:$C$12)),"")</f>
        <v>492.2tr</v>
      </c>
    </row>
    <row r="32" spans="1:79" ht="16.5" x14ac:dyDescent="0.3">
      <c r="A32" s="134"/>
      <c r="BQ32" s="138">
        <v>12</v>
      </c>
      <c r="BR32" s="138" cm="1">
        <f t="array" aca="1" ref="BR32" ca="1">IF(ISBLANK($Z$3),
IFERROR(SUM(_xlfn._xlws.FILTER(Pivot_KPI_DthuCP,
(PIvot_KPI_ThangCP = $BQ32)*
(Pivot_KPI_NhanVienCP = "(blank)")
)),0),
IFERROR(SUM(_xlfn._xlws.FILTER(Pivot_KPI_DthuCP,
(PIvot_KPI_ThangCP = $BQ32)*
(Pivot_KPI_NhanVienCP = "(blank)")*
(Pivot_KPI_KenhCP=$Z$3)
)),0))</f>
        <v>162900000</v>
      </c>
      <c r="BS32" s="138" cm="1">
        <f t="array" aca="1" ref="BS32" ca="1">IF(ISBLANK($Z$3),
IFERROR(SUM(_xlfn._xlws.FILTER(Pivot_KPI_KPICP,
(PIvot_KPI_ThangCP = $BQ32)*
(Pivot_KPI_NhanVienCP = "(blank)")
)),0),
IFERROR(SUM(_xlfn._xlws.FILTER(Pivot_KPI_KPICP,
(PIvot_KPI_ThangCP = $BQ32)*
(Pivot_KPI_NhanVienCP = "(blank)")*
(Pivot_KPI_KenhCP=$Z$3)
)),0))</f>
        <v>300000000</v>
      </c>
      <c r="BT32" s="138">
        <f t="shared" ca="1" si="4"/>
        <v>0.54300000000000004</v>
      </c>
      <c r="BU32" s="138" cm="1">
        <f t="array" aca="1" ref="BU32" ca="1">IF(ISBLANK($AD$3),
IFERROR(SUM(_xlfn._xlws.FILTER(Pivot_KPI_DthuCP,
(PIvot_KPI_ThangCP = $BQ32)*
(Pivot_KPI_KenhCP = "(blank)")
)),0),
IFERROR(SUM(_xlfn._xlws.FILTER(Pivot_KPI_DthuCP,
(PIvot_KPI_ThangCP = $BQ32)*
(Pivot_KPI_KenhCP = "(blank)")*
(Pivot_KPI_NhanVienCP=$AD$3)
)),0))</f>
        <v>510800000</v>
      </c>
      <c r="BV32" s="138" cm="1">
        <f t="array" aca="1" ref="BV32" ca="1">IF(ISBLANK($AD$3),
IFERROR(SUM(_xlfn._xlws.FILTER(Pivot_KPI_KPICP,
(PIvot_KPI_ThangCP = $BQ32)*
(Pivot_KPI_KenhCP = "(blank)")
)),0),
IFERROR(SUM(_xlfn._xlws.FILTER(Pivot_KPI_KPICP,
(PIvot_KPI_ThangCP = $BQ32)*
(Pivot_KPI_KenhCP = "(blank)")*
(Pivot_KPI_NhanVienCP=$AD$3)
)),0))</f>
        <v>450000000</v>
      </c>
      <c r="BW32" s="138">
        <f t="shared" ca="1" si="5"/>
        <v>1.1351111111111112</v>
      </c>
      <c r="BX32" s="138">
        <f t="shared" ca="1" si="6"/>
        <v>0</v>
      </c>
      <c r="BY32" s="138" t="str">
        <f ca="1">IFERROR(TEXT(BX32,LOOKUP(BX32,Pivot!$B$6:$B$12,Pivot!$C$6:$C$12)),"")</f>
        <v/>
      </c>
      <c r="BZ32" s="138">
        <f t="shared" ca="1" si="7"/>
        <v>510800000</v>
      </c>
      <c r="CA32" s="138" t="str">
        <f ca="1">IFERROR(TEXT(BZ32,LOOKUP(BZ32,Pivot!$B$6:$B$12,Pivot!$C$6:$C$12)),"")</f>
        <v>510.8tr</v>
      </c>
    </row>
    <row r="33" spans="1:79" ht="16.5" x14ac:dyDescent="0.3">
      <c r="A33" s="134"/>
      <c r="BQ33" s="138" t="s">
        <v>55</v>
      </c>
      <c r="BR33" s="138" cm="1">
        <f t="array" aca="1" ref="BR33" ca="1">IF(ISBLANK($Z$3),
IFERROR(SUM(_xlfn._xlws.FILTER(Pivot_KPI_DthuCP,
(PIvot_KPI_ThangCP = $BQ33)*
(Pivot_KPI_NhanVienCP = "(blank)")
)),0),
IFERROR(SUM(_xlfn._xlws.FILTER(Pivot_KPI_DthuCP,
(PIvot_KPI_ThangCP = $BQ33)*
(Pivot_KPI_NhanVienCP = "(blank)")*
(Pivot_KPI_KenhCP=$Z$3)
)),0))</f>
        <v>1495800000</v>
      </c>
      <c r="BS33" s="138" cm="1">
        <f t="array" aca="1" ref="BS33" ca="1">IF(ISBLANK($Z$3),
IFERROR(SUM(_xlfn._xlws.FILTER(Pivot_KPI_KPICP,
(PIvot_KPI_ThangCP = $BQ33)*
(Pivot_KPI_NhanVienCP = "(blank)")
)),0),
IFERROR(SUM(_xlfn._xlws.FILTER(Pivot_KPI_KPICP,
(PIvot_KPI_ThangCP = $BQ33)*
(Pivot_KPI_NhanVienCP = "(blank)")*
(Pivot_KPI_KenhCP=$Z$3)
)),0))</f>
        <v>2000000000</v>
      </c>
      <c r="BT33" s="160">
        <f t="shared" ca="1" si="4"/>
        <v>0.74790000000000001</v>
      </c>
      <c r="BU33" s="138" cm="1">
        <f t="array" aca="1" ref="BU33" ca="1">IF(ISBLANK($AD$3),
IFERROR(SUM(_xlfn._xlws.FILTER(Pivot_KPI_DthuCP,
(PIvot_KPI_ThangCP = $BQ33)*
(Pivot_KPI_KenhCP = "(blank)")
)),0),
IFERROR(SUM(_xlfn._xlws.FILTER(Pivot_KPI_DthuCP,
(PIvot_KPI_ThangCP = $BQ33)*
(Pivot_KPI_KenhCP = "(blank)")*
(Pivot_KPI_NhanVienCP=$AD$3)
)),0))</f>
        <v>4862500000</v>
      </c>
      <c r="BV33" s="138" cm="1">
        <f t="array" aca="1" ref="BV33" ca="1">IF(ISBLANK($AD$3),
IFERROR(SUM(_xlfn._xlws.FILTER(Pivot_KPI_KPICP,
(PIvot_KPI_ThangCP = $BQ33)*
(Pivot_KPI_KenhCP = "(blank)")
)),0),
IFERROR(SUM(_xlfn._xlws.FILTER(Pivot_KPI_KPICP,
(PIvot_KPI_ThangCP = $BQ33)*
(Pivot_KPI_KenhCP = "(blank)")*
(Pivot_KPI_NhanVienCP=$AD$3)
)),0))</f>
        <v>5400000000</v>
      </c>
      <c r="BW33" s="160">
        <f t="shared" ca="1" si="5"/>
        <v>0.90046296296296291</v>
      </c>
      <c r="BX33" s="138">
        <f t="shared" ca="1" si="6"/>
        <v>0</v>
      </c>
      <c r="BY33" s="138" t="str">
        <f ca="1">IFERROR(TEXT(BX33,LOOKUP(BX33,Pivot!$B$6:$B$12,Pivot!$C$6:$C$12)),"")</f>
        <v/>
      </c>
      <c r="BZ33" s="138">
        <f t="shared" ca="1" si="7"/>
        <v>0</v>
      </c>
      <c r="CA33" s="138" t="str">
        <f ca="1">IFERROR(TEXT(BZ33,LOOKUP(BZ33,Pivot!$B$6:$B$12,Pivot!$C$6:$C$12)),"")</f>
        <v/>
      </c>
    </row>
    <row r="34" spans="1:79" ht="16.5" x14ac:dyDescent="0.3">
      <c r="A34" s="134"/>
    </row>
    <row r="35" spans="1:79" ht="16.5" x14ac:dyDescent="0.3">
      <c r="A35" s="134"/>
    </row>
    <row r="36" spans="1:79" ht="16.5" x14ac:dyDescent="0.3">
      <c r="A36" s="134"/>
    </row>
    <row r="37" spans="1:79" ht="16.5" x14ac:dyDescent="0.3">
      <c r="A37" s="134"/>
    </row>
    <row r="38" spans="1:79" ht="16.5" x14ac:dyDescent="0.3">
      <c r="A38" s="134"/>
    </row>
    <row r="39" spans="1:79" ht="16.5" x14ac:dyDescent="0.3">
      <c r="A39" s="134"/>
    </row>
    <row r="40" spans="1:79" ht="16.5" x14ac:dyDescent="0.3">
      <c r="A40" s="134"/>
    </row>
    <row r="41" spans="1:79" ht="16.5" x14ac:dyDescent="0.3">
      <c r="A41" s="134"/>
    </row>
    <row r="42" spans="1:79" ht="16.5" x14ac:dyDescent="0.3">
      <c r="A42" s="134"/>
    </row>
    <row r="43" spans="1:79" ht="16.5" x14ac:dyDescent="0.3">
      <c r="A43" s="134"/>
    </row>
    <row r="44" spans="1:79" ht="16.5" x14ac:dyDescent="0.3">
      <c r="A44" s="134"/>
    </row>
    <row r="45" spans="1:79" ht="16.5" x14ac:dyDescent="0.3">
      <c r="A45" s="134"/>
    </row>
    <row r="46" spans="1:79" ht="16.5" x14ac:dyDescent="0.3">
      <c r="A46" s="134"/>
    </row>
  </sheetData>
  <sheetProtection algorithmName="SHA-512" hashValue="q9q2ucxJ4IlqGV6b8kAVNZ74VFvx3OkpGoqglFgfVNGgQk+bgrN4szjKNpDGmTpvZ0IscMBiFwdigFp2mj3dQg==" saltValue="DTLNP6z2mgF4RHcA2Mu9Wg==" spinCount="100000" sheet="1" scenarios="1" formatCells="0" formatColumns="0" formatRows="0" insertColumns="0" insertRows="0" deleteColumns="0" deleteRows="0" sort="0" autoFilter="0" pivotTables="0"/>
  <mergeCells count="4">
    <mergeCell ref="Z3:AB3"/>
    <mergeCell ref="AD3:AF3"/>
    <mergeCell ref="Z2:AB2"/>
    <mergeCell ref="AD2:AF2"/>
  </mergeCells>
  <dataValidations disablePrompts="1" count="2">
    <dataValidation type="list" allowBlank="1" showInputMessage="1" showErrorMessage="1" sqref="Z3:AB3" xr:uid="{1801D6DA-8A8B-4B5C-86CB-9125C5D2E45B}">
      <formula1>MaKenh</formula1>
    </dataValidation>
    <dataValidation type="list" allowBlank="1" showInputMessage="1" showErrorMessage="1" sqref="AD3:AF3" xr:uid="{D2EB85C1-50ED-4E63-B39C-DBA04941EA6D}">
      <formula1>MaNhanVien</formula1>
    </dataValidation>
  </dataValidations>
  <pageMargins left="0.7" right="0.7" top="0.75" bottom="0.75" header="0.3" footer="0.3"/>
  <drawing r:id="rId1"/>
  <tableParts count="4">
    <tablePart r:id="rId2"/>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E8D0-D953-490D-8B9E-D3432AB9F718}">
  <sheetPr codeName="Sheet9">
    <tabColor theme="9" tint="0.39997558519241921"/>
  </sheetPr>
  <dimension ref="Z3:CI28"/>
  <sheetViews>
    <sheetView showGridLines="0" zoomScaleNormal="100" workbookViewId="0">
      <selection activeCell="AG42" sqref="AG42"/>
    </sheetView>
  </sheetViews>
  <sheetFormatPr defaultRowHeight="18" customHeight="1" x14ac:dyDescent="0.3"/>
  <cols>
    <col min="1" max="37" width="9" style="130"/>
    <col min="38" max="38" width="9" style="132"/>
    <col min="39" max="39" width="12.5" style="132" customWidth="1"/>
    <col min="40" max="58" width="9" style="132"/>
    <col min="59" max="59" width="9" style="138" customWidth="1"/>
    <col min="60" max="63" width="9" style="138"/>
    <col min="64" max="64" width="9.375" style="138" bestFit="1" customWidth="1"/>
    <col min="65" max="74" width="9" style="138"/>
    <col min="75" max="75" width="11.5" style="138" bestFit="1" customWidth="1"/>
    <col min="76" max="76" width="10.875" style="138" bestFit="1" customWidth="1"/>
    <col min="77" max="77" width="9" style="138"/>
    <col min="78" max="78" width="10.375" style="138" bestFit="1" customWidth="1"/>
    <col min="79" max="81" width="9" style="138"/>
    <col min="82" max="82" width="8.875" style="138" bestFit="1" customWidth="1"/>
    <col min="83" max="84" width="9" style="138"/>
    <col min="85" max="87" width="9" style="132"/>
    <col min="88" max="16384" width="9" style="130"/>
  </cols>
  <sheetData>
    <row r="3" spans="26:66" ht="18" customHeight="1" x14ac:dyDescent="0.3">
      <c r="Z3" s="559" t="s">
        <v>928</v>
      </c>
      <c r="AA3" s="559"/>
      <c r="AB3" s="559"/>
    </row>
    <row r="4" spans="26:66" ht="18" customHeight="1" x14ac:dyDescent="0.3">
      <c r="BI4" s="138" t="s">
        <v>235</v>
      </c>
      <c r="BL4" s="138" t="s">
        <v>47</v>
      </c>
    </row>
    <row r="5" spans="26:66" ht="18" customHeight="1" x14ac:dyDescent="0.3">
      <c r="AM5" s="132" t="s">
        <v>236</v>
      </c>
      <c r="AN5" s="132" t="s">
        <v>237</v>
      </c>
      <c r="AO5" s="132" t="s">
        <v>238</v>
      </c>
      <c r="AP5" s="132" t="s">
        <v>239</v>
      </c>
      <c r="AQ5" s="132" t="s">
        <v>186</v>
      </c>
      <c r="AR5" s="132" t="s">
        <v>240</v>
      </c>
      <c r="AS5" s="132" t="s">
        <v>241</v>
      </c>
      <c r="AT5" s="132" t="s">
        <v>242</v>
      </c>
      <c r="AU5" s="132" t="s">
        <v>243</v>
      </c>
      <c r="AV5" s="132" t="s">
        <v>244</v>
      </c>
      <c r="AY5" s="132" t="s">
        <v>42</v>
      </c>
      <c r="AZ5" s="132" t="s">
        <v>21</v>
      </c>
      <c r="BA5" s="132" t="s">
        <v>178</v>
      </c>
      <c r="BD5" s="132" t="s">
        <v>47</v>
      </c>
      <c r="BE5" s="132" t="s">
        <v>21</v>
      </c>
      <c r="BF5" s="132" t="s">
        <v>178</v>
      </c>
      <c r="BH5" s="138" t="s">
        <v>1</v>
      </c>
      <c r="BI5" s="138" t="s">
        <v>245</v>
      </c>
      <c r="BJ5" s="138" t="s">
        <v>246</v>
      </c>
      <c r="BK5" s="138" t="s">
        <v>156</v>
      </c>
      <c r="BL5" s="138" t="s">
        <v>245</v>
      </c>
      <c r="BM5" s="138" t="s">
        <v>246</v>
      </c>
      <c r="BN5" s="138" t="s">
        <v>156</v>
      </c>
    </row>
    <row r="6" spans="26:66" ht="18" customHeight="1" x14ac:dyDescent="0.3">
      <c r="AL6" s="132" t="str" cm="1">
        <f t="array" ref="AL6">_xlfn.UNIQUE(Table_ChuongTrinh[Mã Chương trình])</f>
        <v>A</v>
      </c>
      <c r="AM6" s="132" t="s">
        <v>928</v>
      </c>
      <c r="AN6" s="132" t="e">
        <f>VLOOKUP(Dashboard_Ctr_Ctr[[#This Row],[Chương trình]],_xlfn.ANCHORARRAY($BH$25):_xlfn.ANCHORARRAY($BL$25),5,0)</f>
        <v>#N/A</v>
      </c>
      <c r="AO6" s="132" t="e">
        <f ca="1">VLOOKUP(Dashboard_Ctr_Ctr[[#This Row],[Chương trình]],_xlfn.ANCHORARRAY($BH$25):_xlfn.ANCHORARRAY($BX$25),17,0)</f>
        <v>#N/A</v>
      </c>
      <c r="AP6" s="132" t="e">
        <f ca="1">VLOOKUP(Dashboard_Ctr_Ctr[[#This Row],[Chương trình]],_xlfn.ANCHORARRAY($BH$25):_xlfn.ANCHORARRAY($BZ$25),19,0)</f>
        <v>#N/A</v>
      </c>
      <c r="AQ6" s="132" t="e">
        <f ca="1">VLOOKUP(Dashboard_Ctr_Ctr[[#This Row],[Chương trình]],_xlfn.ANCHORARRAY($BH$25):_xlfn.ANCHORARRAY($BI$25),2,0)</f>
        <v>#N/A</v>
      </c>
      <c r="AR6" s="132" t="e">
        <f ca="1">VLOOKUP(Dashboard_Ctr_Ctr[[#This Row],[Chương trình]],_xlfn.ANCHORARRAY($BH$25):_xlfn.ANCHORARRAY($BW$25),16,0)</f>
        <v>#N/A</v>
      </c>
      <c r="AS6" s="132" t="e">
        <f>VLOOKUP(Dashboard_Ctr_Ctr[[#This Row],[Chương trình]],_xlfn.ANCHORARRAY($BH$25):_xlfn.ANCHORARRAY($CA$25),20,0)</f>
        <v>#N/A</v>
      </c>
      <c r="AT6" s="132" t="e">
        <f>VLOOKUP(Dashboard_Ctr_Ctr[[#This Row],[Chương trình]],_xlfn.ANCHORARRAY($BH$25):_xlfn.ANCHORARRAY($CB$25),21,0)</f>
        <v>#N/A</v>
      </c>
      <c r="AU6" s="132" t="e">
        <f>VLOOKUP(Dashboard_Ctr_Ctr[[#This Row],[Chương trình]],_xlfn.ANCHORARRAY($BH$25):_xlfn.ANCHORARRAY($CC$25),22,0)</f>
        <v>#N/A</v>
      </c>
      <c r="AV6" s="132" t="e">
        <f>VLOOKUP(Dashboard_Ctr_Ctr[[#This Row],[Chương trình]],_xlfn.ANCHORARRAY($BH$25):_xlfn.ANCHORARRAY($CD$25),23,0)</f>
        <v>#N/A</v>
      </c>
      <c r="AX6" s="132" t="str" cm="1">
        <f t="array" ref="AX6:AX8">_xlfn.UNIQUE(Table_KhachHang[Mã KH])</f>
        <v>KH3</v>
      </c>
      <c r="AY6" s="132" t="s">
        <v>929</v>
      </c>
      <c r="AZ6" s="132" cm="1">
        <f t="array" aca="1" ref="AZ6" ca="1">IFERROR(
SUM(_xlfn._xlws.FILTER(Pivot_Ctr_DthuDon,
(Pivot_Ctr_CtrDon=$Z$3)*
(Pivot_Ctr_Khach=Dashboard_Ctr_Khach[[#This Row],[Khách]])
)),0)
+IFERROR(
SUM(_xlfn._xlws.FILTER(Pivot_Ctr_DthuSKU,
(Pivot_Ctr_CtrSKU=$Z$3)*
(Pivot_Ctr_Khach=Dashboard_Ctr_Khach[[#This Row],[Khách]])
)),0)</f>
        <v>0</v>
      </c>
      <c r="BA6" s="340" t="e">
        <f ca="1">Dashboard_Ctr_Khach[[#This Row],[Giá trị]]/SUM(Dashboard_Ctr_Khach[Giá trị])</f>
        <v>#DIV/0!</v>
      </c>
      <c r="BC6" s="132" t="str" cm="1">
        <f t="array" ref="BC6:BC8">_xlfn.UNIQUE(Table_SKU[Mã SKU])</f>
        <v>TP2</v>
      </c>
      <c r="BD6" s="132" t="s">
        <v>52</v>
      </c>
      <c r="BE6" s="132" cm="1">
        <f t="array" aca="1" ref="BE6" ca="1">IFERROR(
SUM(_xlfn._xlws.FILTER(Pivot_Ctr_DthuSKU,
(Pivot_Ctr_CtrDon=$Z$3)*
(Pivot_Ctr_SKU=Dashboard_Ctr_SKU[[#This Row],[SKU]])
)),0)
+IFERROR(
SUM(_xlfn._xlws.FILTER(Pivot_Ctr_DthuSKU,
(Pivot_Ctr_CtrSKU=$Z$3)*
(Pivot_Ctr_SKU=Dashboard_Ctr_SKU[[#This Row],[SKU]])
)),0)</f>
        <v>0</v>
      </c>
      <c r="BF6" s="340" t="e">
        <f ca="1">Dashboard_Ctr_SKU[[#This Row],[Giá trị]]/SUM(Dashboard_Ctr_SKU[Giá trị])</f>
        <v>#DIV/0!</v>
      </c>
      <c r="BH6" s="138">
        <v>1</v>
      </c>
      <c r="BI6" s="138" cm="1">
        <f t="array" ref="BI6">IFERROR(SUM(_xlfn._xlws.FILTER(Table_DonBan[Doanh thu ròng],
(Table_DonBan[Ngày lập] &gt;= Pivot!$AS$2)*
(Table_DonBan[Ngày lập] &lt;= Pivot!$AS$3)*
(MONTH(Table_DonBan[Ngày lập]) = $BH6)
)),0)</f>
        <v>0</v>
      </c>
      <c r="BJ6" s="138" cm="1">
        <f t="array" ref="BJ6">IFERROR(SUM(_xlfn._xlws.FILTER(Table_DonBan[Doanh thu ròng],
(Table_DonBan[Giá trị CK] &gt; 0)*
(Table_DonBan[Ngày lập] &gt;= Pivot!$AS$2)*
(Table_DonBan[Ngày lập] &lt;= Pivot!$AS$3)*
(MONTH(Table_DonBan[Ngày lập]) = $BH6)
)),0)</f>
        <v>0</v>
      </c>
      <c r="BK6" s="144" t="e">
        <f>IF(BJ6/BI6=0,"",BJ6/BI6)</f>
        <v>#DIV/0!</v>
      </c>
      <c r="BL6" s="138" cm="1">
        <f t="array" ref="BL6">IFERROR(SUM(_xlfn._xlws.FILTER(Table_Main[Giá trị bán trước VAT],
(Table_Main[Ngày lên đơn] &gt;= Pivot!$AS$2)*
(Table_Main[Ngày lên đơn] &lt;= Pivot!$AS$3)*
(Table_Main[Tháng lên đơn] = $BH6)
)),0)</f>
        <v>0</v>
      </c>
      <c r="BM6" s="138" cm="1">
        <f t="array" ref="BM6">IFERROR(SUM(_xlfn._xlws.FILTER(Table_Main[Giá trị bán trước VAT],
(Table_Main[Giá trị CK] &gt;0)*
(Table_Main[Ngày lên đơn] &gt;= Pivot!$AS$2)*
(Table_Main[Ngày lên đơn] &lt;= Pivot!$AS$3)*
(Table_Main[Tháng lên đơn] = $BH6)
)),0)</f>
        <v>0</v>
      </c>
      <c r="BN6" s="144" t="e">
        <f>IF(BM6/BL6=0,"",BM6/BL6)</f>
        <v>#DIV/0!</v>
      </c>
    </row>
    <row r="7" spans="26:66" ht="18" customHeight="1" x14ac:dyDescent="0.3">
      <c r="AM7" s="132" t="s">
        <v>993</v>
      </c>
      <c r="AN7" s="132" t="e">
        <f>VLOOKUP(Dashboard_Ctr_Ctr[[#This Row],[Chương trình]],_xlfn.ANCHORARRAY($BH$25):_xlfn.ANCHORARRAY($BL$25),5,0)</f>
        <v>#N/A</v>
      </c>
      <c r="AO7" s="132" t="e">
        <f ca="1">VLOOKUP(Dashboard_Ctr_Ctr[[#This Row],[Chương trình]],_xlfn.ANCHORARRAY($BH$25):_xlfn.ANCHORARRAY($BX$25),17,0)</f>
        <v>#N/A</v>
      </c>
      <c r="AP7" s="132" t="e">
        <f ca="1">VLOOKUP(Dashboard_Ctr_Ctr[[#This Row],[Chương trình]],_xlfn.ANCHORARRAY($BH$25):_xlfn.ANCHORARRAY($BZ$25),19,0)</f>
        <v>#N/A</v>
      </c>
      <c r="AQ7" s="132" t="e">
        <f ca="1">VLOOKUP(Dashboard_Ctr_Ctr[[#This Row],[Chương trình]],_xlfn.ANCHORARRAY($BH$25):_xlfn.ANCHORARRAY($BI$25),2,0)</f>
        <v>#N/A</v>
      </c>
      <c r="AR7" s="132" t="e">
        <f ca="1">VLOOKUP(Dashboard_Ctr_Ctr[[#This Row],[Chương trình]],_xlfn.ANCHORARRAY($BH$25):_xlfn.ANCHORARRAY($BW$25),16,0)</f>
        <v>#N/A</v>
      </c>
      <c r="AS7" s="132" t="e">
        <f>VLOOKUP(Dashboard_Ctr_Ctr[[#This Row],[Chương trình]],_xlfn.ANCHORARRAY($BH$25):_xlfn.ANCHORARRAY($CA$25),20,0)</f>
        <v>#N/A</v>
      </c>
      <c r="AT7" s="132" t="e">
        <f>VLOOKUP(Dashboard_Ctr_Ctr[[#This Row],[Chương trình]],_xlfn.ANCHORARRAY($BH$25):_xlfn.ANCHORARRAY($CB$25),21,0)</f>
        <v>#N/A</v>
      </c>
      <c r="AU7" s="132" t="e">
        <f>VLOOKUP(Dashboard_Ctr_Ctr[[#This Row],[Chương trình]],_xlfn.ANCHORARRAY($BH$25):_xlfn.ANCHORARRAY($CC$25),22,0)</f>
        <v>#N/A</v>
      </c>
      <c r="AV7" s="132" t="e">
        <f>VLOOKUP(Dashboard_Ctr_Ctr[[#This Row],[Chương trình]],_xlfn.ANCHORARRAY($BH$25):_xlfn.ANCHORARRAY($CD$25),23,0)</f>
        <v>#N/A</v>
      </c>
      <c r="AX7" s="132" t="str">
        <v>KH2</v>
      </c>
      <c r="AY7" s="132" t="s">
        <v>930</v>
      </c>
      <c r="AZ7" s="132" cm="1">
        <f t="array" aca="1" ref="AZ7" ca="1">IFERROR(
SUM(_xlfn._xlws.FILTER(Pivot_Ctr_DthuDon,
(Pivot_Ctr_CtrDon=$Z$3)*
(Pivot_Ctr_Khach=Dashboard_Ctr_Khach[[#This Row],[Khách]])
)),0)
+IFERROR(
SUM(_xlfn._xlws.FILTER(Pivot_Ctr_DthuSKU,
(Pivot_Ctr_CtrSKU=$Z$3)*
(Pivot_Ctr_Khach=Dashboard_Ctr_Khach[[#This Row],[Khách]])
)),0)</f>
        <v>0</v>
      </c>
      <c r="BA7" s="132" t="e">
        <f ca="1">Dashboard_Ctr_Khach[[#This Row],[Giá trị]]/SUM(Dashboard_Ctr_Khach[Giá trị])</f>
        <v>#DIV/0!</v>
      </c>
      <c r="BC7" s="132" t="str">
        <v>TP1</v>
      </c>
      <c r="BD7" s="132" t="s">
        <v>59</v>
      </c>
      <c r="BE7" s="132" cm="1">
        <f t="array" aca="1" ref="BE7" ca="1">IFERROR(
SUM(_xlfn._xlws.FILTER(Pivot_Ctr_DthuSKU,
(Pivot_Ctr_CtrDon=$Z$3)*
(Pivot_Ctr_SKU=Dashboard_Ctr_SKU[[#This Row],[SKU]])
)),0)
+IFERROR(
SUM(_xlfn._xlws.FILTER(Pivot_Ctr_DthuSKU,
(Pivot_Ctr_CtrSKU=$Z$3)*
(Pivot_Ctr_SKU=Dashboard_Ctr_SKU[[#This Row],[SKU]])
)),0)</f>
        <v>0</v>
      </c>
      <c r="BF7" s="132" t="e">
        <f ca="1">Dashboard_Ctr_SKU[[#This Row],[Giá trị]]/SUM(Dashboard_Ctr_SKU[Giá trị])</f>
        <v>#DIV/0!</v>
      </c>
      <c r="BH7" s="138">
        <v>2</v>
      </c>
      <c r="BI7" s="138" cm="1">
        <f t="array" ref="BI7">IFERROR(SUM(_xlfn._xlws.FILTER(Table_DonBan[Doanh thu ròng],
(Table_DonBan[Ngày lập] &gt;= Pivot!$AS$2)*
(Table_DonBan[Ngày lập] &lt;= Pivot!$AS$3)*
(MONTH(Table_DonBan[Ngày lập]) = $BH7)
)),0)</f>
        <v>0</v>
      </c>
      <c r="BJ7" s="138" cm="1">
        <f t="array" ref="BJ7">IFERROR(SUM(_xlfn._xlws.FILTER(Table_DonBan[Doanh thu ròng],
(Table_DonBan[Giá trị CK] &gt; 0)*
(Table_DonBan[Ngày lập] &gt;= Pivot!$AS$2)*
(Table_DonBan[Ngày lập] &lt;= Pivot!$AS$3)*
(MONTH(Table_DonBan[Ngày lập]) = $BH7)
)),0)</f>
        <v>0</v>
      </c>
      <c r="BK7" s="144" t="e">
        <f t="shared" ref="BK7:BK17" si="0">IF(BJ7/BI7=0,"",BJ7/BI7)</f>
        <v>#DIV/0!</v>
      </c>
      <c r="BL7" s="138" cm="1">
        <f t="array" ref="BL7">IFERROR(SUM(_xlfn._xlws.FILTER(Table_Main[Giá trị bán trước VAT],
(Table_Main[Ngày lên đơn] &gt;= Pivot!$AS$2)*
(Table_Main[Ngày lên đơn] &lt;= Pivot!$AS$3)*
(Table_Main[Tháng lên đơn] = $BH7)
)),0)</f>
        <v>0</v>
      </c>
      <c r="BM7" s="138" cm="1">
        <f t="array" ref="BM7">IFERROR(SUM(_xlfn._xlws.FILTER(Table_Main[Giá trị bán trước VAT],
(Table_Main[Giá trị CK] &gt;0)*
(Table_Main[Ngày lên đơn] &gt;= Pivot!$AS$2)*
(Table_Main[Ngày lên đơn] &lt;= Pivot!$AS$3)*
(Table_Main[Tháng lên đơn] = $BH7)
)),0)</f>
        <v>0</v>
      </c>
      <c r="BN7" s="144" t="e">
        <f t="shared" ref="BN7:BN17" si="1">IF(BM7/BL7=0,"",BM7/BL7)</f>
        <v>#DIV/0!</v>
      </c>
    </row>
    <row r="8" spans="26:66" ht="18" customHeight="1" x14ac:dyDescent="0.3">
      <c r="AM8" s="132" t="s">
        <v>985</v>
      </c>
      <c r="AN8" s="132" t="e">
        <f>VLOOKUP(Dashboard_Ctr_Ctr[[#This Row],[Chương trình]],_xlfn.ANCHORARRAY($BH$25):_xlfn.ANCHORARRAY($BL$25),5,0)</f>
        <v>#N/A</v>
      </c>
      <c r="AO8" s="132" t="e">
        <f ca="1">VLOOKUP(Dashboard_Ctr_Ctr[[#This Row],[Chương trình]],_xlfn.ANCHORARRAY($BH$25):_xlfn.ANCHORARRAY($BX$25),17,0)</f>
        <v>#N/A</v>
      </c>
      <c r="AP8" s="132" t="e">
        <f ca="1">VLOOKUP(Dashboard_Ctr_Ctr[[#This Row],[Chương trình]],_xlfn.ANCHORARRAY($BH$25):_xlfn.ANCHORARRAY($BZ$25),19,0)</f>
        <v>#N/A</v>
      </c>
      <c r="AQ8" s="132" t="e">
        <f ca="1">VLOOKUP(Dashboard_Ctr_Ctr[[#This Row],[Chương trình]],_xlfn.ANCHORARRAY($BH$25):_xlfn.ANCHORARRAY($BI$25),2,0)</f>
        <v>#N/A</v>
      </c>
      <c r="AR8" s="132" t="e">
        <f ca="1">VLOOKUP(Dashboard_Ctr_Ctr[[#This Row],[Chương trình]],_xlfn.ANCHORARRAY($BH$25):_xlfn.ANCHORARRAY($BW$25),16,0)</f>
        <v>#N/A</v>
      </c>
      <c r="AS8" s="132" t="e">
        <f>VLOOKUP(Dashboard_Ctr_Ctr[[#This Row],[Chương trình]],_xlfn.ANCHORARRAY($BH$25):_xlfn.ANCHORARRAY($CA$25),20,0)</f>
        <v>#N/A</v>
      </c>
      <c r="AT8" s="132" t="e">
        <f>VLOOKUP(Dashboard_Ctr_Ctr[[#This Row],[Chương trình]],_xlfn.ANCHORARRAY($BH$25):_xlfn.ANCHORARRAY($CB$25),21,0)</f>
        <v>#N/A</v>
      </c>
      <c r="AU8" s="132" t="e">
        <f>VLOOKUP(Dashboard_Ctr_Ctr[[#This Row],[Chương trình]],_xlfn.ANCHORARRAY($BH$25):_xlfn.ANCHORARRAY($CC$25),22,0)</f>
        <v>#N/A</v>
      </c>
      <c r="AV8" s="132" t="e">
        <f>VLOOKUP(Dashboard_Ctr_Ctr[[#This Row],[Chương trình]],_xlfn.ANCHORARRAY($BH$25):_xlfn.ANCHORARRAY($CD$25),23,0)</f>
        <v>#N/A</v>
      </c>
      <c r="AX8" s="132" t="str">
        <v>KH1</v>
      </c>
      <c r="AY8" s="132" t="s">
        <v>931</v>
      </c>
      <c r="AZ8" s="132" cm="1">
        <f t="array" aca="1" ref="AZ8" ca="1">IFERROR(
SUM(_xlfn._xlws.FILTER(Pivot_Ctr_DthuDon,
(Pivot_Ctr_CtrDon=$Z$3)*
(Pivot_Ctr_Khach=Dashboard_Ctr_Khach[[#This Row],[Khách]])
)),0)
+IFERROR(
SUM(_xlfn._xlws.FILTER(Pivot_Ctr_DthuSKU,
(Pivot_Ctr_CtrSKU=$Z$3)*
(Pivot_Ctr_Khach=Dashboard_Ctr_Khach[[#This Row],[Khách]])
)),0)</f>
        <v>0</v>
      </c>
      <c r="BA8" s="132" t="e">
        <f ca="1">Dashboard_Ctr_Khach[[#This Row],[Giá trị]]/SUM(Dashboard_Ctr_Khach[Giá trị])</f>
        <v>#DIV/0!</v>
      </c>
      <c r="BC8" s="132" t="str">
        <v>HH1</v>
      </c>
      <c r="BD8" s="132" t="s">
        <v>63</v>
      </c>
      <c r="BE8" s="132" cm="1">
        <f t="array" aca="1" ref="BE8" ca="1">IFERROR(
SUM(_xlfn._xlws.FILTER(Pivot_Ctr_DthuSKU,
(Pivot_Ctr_CtrDon=$Z$3)*
(Pivot_Ctr_SKU=Dashboard_Ctr_SKU[[#This Row],[SKU]])
)),0)
+IFERROR(
SUM(_xlfn._xlws.FILTER(Pivot_Ctr_DthuSKU,
(Pivot_Ctr_CtrSKU=$Z$3)*
(Pivot_Ctr_SKU=Dashboard_Ctr_SKU[[#This Row],[SKU]])
)),0)</f>
        <v>0</v>
      </c>
      <c r="BF8" s="132" t="e">
        <f ca="1">Dashboard_Ctr_SKU[[#This Row],[Giá trị]]/SUM(Dashboard_Ctr_SKU[Giá trị])</f>
        <v>#DIV/0!</v>
      </c>
      <c r="BH8" s="138">
        <v>3</v>
      </c>
      <c r="BI8" s="138" cm="1">
        <f t="array" ref="BI8">IFERROR(SUM(_xlfn._xlws.FILTER(Table_DonBan[Doanh thu ròng],
(Table_DonBan[Ngày lập] &gt;= Pivot!$AS$2)*
(Table_DonBan[Ngày lập] &lt;= Pivot!$AS$3)*
(MONTH(Table_DonBan[Ngày lập]) = $BH8)
)),0)</f>
        <v>0</v>
      </c>
      <c r="BJ8" s="138" cm="1">
        <f t="array" ref="BJ8">IFERROR(SUM(_xlfn._xlws.FILTER(Table_DonBan[Doanh thu ròng],
(Table_DonBan[Giá trị CK] &gt; 0)*
(Table_DonBan[Ngày lập] &gt;= Pivot!$AS$2)*
(Table_DonBan[Ngày lập] &lt;= Pivot!$AS$3)*
(MONTH(Table_DonBan[Ngày lập]) = $BH8)
)),0)</f>
        <v>0</v>
      </c>
      <c r="BK8" s="144" t="e">
        <f t="shared" si="0"/>
        <v>#DIV/0!</v>
      </c>
      <c r="BL8" s="138" cm="1">
        <f t="array" ref="BL8">IFERROR(SUM(_xlfn._xlws.FILTER(Table_Main[Giá trị bán trước VAT],
(Table_Main[Ngày lên đơn] &gt;= Pivot!$AS$2)*
(Table_Main[Ngày lên đơn] &lt;= Pivot!$AS$3)*
(Table_Main[Tháng lên đơn] = $BH8)
)),0)</f>
        <v>0</v>
      </c>
      <c r="BM8" s="138" cm="1">
        <f t="array" ref="BM8">IFERROR(SUM(_xlfn._xlws.FILTER(Table_Main[Giá trị bán trước VAT],
(Table_Main[Giá trị CK] &gt;0)*
(Table_Main[Ngày lên đơn] &gt;= Pivot!$AS$2)*
(Table_Main[Ngày lên đơn] &lt;= Pivot!$AS$3)*
(Table_Main[Tháng lên đơn] = $BH8)
)),0)</f>
        <v>0</v>
      </c>
      <c r="BN8" s="144" t="e">
        <f t="shared" si="1"/>
        <v>#DIV/0!</v>
      </c>
    </row>
    <row r="9" spans="26:66" ht="18" customHeight="1" x14ac:dyDescent="0.3">
      <c r="AM9" s="132" t="s">
        <v>994</v>
      </c>
      <c r="AN9" s="132" t="e">
        <f>VLOOKUP(Dashboard_Ctr_Ctr[[#This Row],[Chương trình]],_xlfn.ANCHORARRAY($BH$25):_xlfn.ANCHORARRAY($BL$25),5,0)</f>
        <v>#N/A</v>
      </c>
      <c r="AO9" s="132" t="e">
        <f ca="1">VLOOKUP(Dashboard_Ctr_Ctr[[#This Row],[Chương trình]],_xlfn.ANCHORARRAY($BH$25):_xlfn.ANCHORARRAY($BX$25),17,0)</f>
        <v>#N/A</v>
      </c>
      <c r="AP9" s="132" t="e">
        <f ca="1">VLOOKUP(Dashboard_Ctr_Ctr[[#This Row],[Chương trình]],_xlfn.ANCHORARRAY($BH$25):_xlfn.ANCHORARRAY($BZ$25),19,0)</f>
        <v>#N/A</v>
      </c>
      <c r="AQ9" s="132" t="e">
        <f ca="1">VLOOKUP(Dashboard_Ctr_Ctr[[#This Row],[Chương trình]],_xlfn.ANCHORARRAY($BH$25):_xlfn.ANCHORARRAY($BI$25),2,0)</f>
        <v>#N/A</v>
      </c>
      <c r="AR9" s="132" t="e">
        <f ca="1">VLOOKUP(Dashboard_Ctr_Ctr[[#This Row],[Chương trình]],_xlfn.ANCHORARRAY($BH$25):_xlfn.ANCHORARRAY($BW$25),16,0)</f>
        <v>#N/A</v>
      </c>
      <c r="AS9" s="132" t="e">
        <f>VLOOKUP(Dashboard_Ctr_Ctr[[#This Row],[Chương trình]],_xlfn.ANCHORARRAY($BH$25):_xlfn.ANCHORARRAY($CA$25),20,0)</f>
        <v>#N/A</v>
      </c>
      <c r="AT9" s="132" t="e">
        <f>VLOOKUP(Dashboard_Ctr_Ctr[[#This Row],[Chương trình]],_xlfn.ANCHORARRAY($BH$25):_xlfn.ANCHORARRAY($CB$25),21,0)</f>
        <v>#N/A</v>
      </c>
      <c r="AU9" s="132" t="e">
        <f>VLOOKUP(Dashboard_Ctr_Ctr[[#This Row],[Chương trình]],_xlfn.ANCHORARRAY($BH$25):_xlfn.ANCHORARRAY($CC$25),22,0)</f>
        <v>#N/A</v>
      </c>
      <c r="AV9" s="132" t="e">
        <f>VLOOKUP(Dashboard_Ctr_Ctr[[#This Row],[Chương trình]],_xlfn.ANCHORARRAY($BH$25):_xlfn.ANCHORARRAY($CD$25),23,0)</f>
        <v>#N/A</v>
      </c>
      <c r="AY9" s="132" t="s">
        <v>932</v>
      </c>
      <c r="AZ9" s="132" cm="1">
        <f t="array" aca="1" ref="AZ9" ca="1">IFERROR(
SUM(_xlfn._xlws.FILTER(Pivot_Ctr_DthuDon,
(Pivot_Ctr_CtrDon=$Z$3)*
(Pivot_Ctr_Khach=Dashboard_Ctr_Khach[[#This Row],[Khách]])
)),0)
+IFERROR(
SUM(_xlfn._xlws.FILTER(Pivot_Ctr_DthuSKU,
(Pivot_Ctr_CtrSKU=$Z$3)*
(Pivot_Ctr_Khach=Dashboard_Ctr_Khach[[#This Row],[Khách]])
)),0)</f>
        <v>0</v>
      </c>
      <c r="BA9" s="132" t="e">
        <f ca="1">Dashboard_Ctr_Khach[[#This Row],[Giá trị]]/SUM(Dashboard_Ctr_Khach[Giá trị])</f>
        <v>#DIV/0!</v>
      </c>
      <c r="BH9" s="138">
        <v>4</v>
      </c>
      <c r="BI9" s="138" cm="1">
        <f t="array" ref="BI9">IFERROR(SUM(_xlfn._xlws.FILTER(Table_DonBan[Doanh thu ròng],
(Table_DonBan[Ngày lập] &gt;= Pivot!$AS$2)*
(Table_DonBan[Ngày lập] &lt;= Pivot!$AS$3)*
(MONTH(Table_DonBan[Ngày lập]) = $BH9)
)),0)</f>
        <v>0</v>
      </c>
      <c r="BJ9" s="138" cm="1">
        <f t="array" ref="BJ9">IFERROR(SUM(_xlfn._xlws.FILTER(Table_DonBan[Doanh thu ròng],
(Table_DonBan[Giá trị CK] &gt; 0)*
(Table_DonBan[Ngày lập] &gt;= Pivot!$AS$2)*
(Table_DonBan[Ngày lập] &lt;= Pivot!$AS$3)*
(MONTH(Table_DonBan[Ngày lập]) = $BH9)
)),0)</f>
        <v>0</v>
      </c>
      <c r="BK9" s="144" t="e">
        <f t="shared" si="0"/>
        <v>#DIV/0!</v>
      </c>
      <c r="BL9" s="138" cm="1">
        <f t="array" ref="BL9">IFERROR(SUM(_xlfn._xlws.FILTER(Table_Main[Giá trị bán trước VAT],
(Table_Main[Ngày lên đơn] &gt;= Pivot!$AS$2)*
(Table_Main[Ngày lên đơn] &lt;= Pivot!$AS$3)*
(Table_Main[Tháng lên đơn] = $BH9)
)),0)</f>
        <v>0</v>
      </c>
      <c r="BM9" s="138" cm="1">
        <f t="array" ref="BM9">IFERROR(SUM(_xlfn._xlws.FILTER(Table_Main[Giá trị bán trước VAT],
(Table_Main[Giá trị CK] &gt;0)*
(Table_Main[Ngày lên đơn] &gt;= Pivot!$AS$2)*
(Table_Main[Ngày lên đơn] &lt;= Pivot!$AS$3)*
(Table_Main[Tháng lên đơn] = $BH9)
)),0)</f>
        <v>0</v>
      </c>
      <c r="BN9" s="144" t="e">
        <f t="shared" si="1"/>
        <v>#DIV/0!</v>
      </c>
    </row>
    <row r="10" spans="26:66" ht="18" customHeight="1" x14ac:dyDescent="0.3">
      <c r="AY10" s="132" t="s">
        <v>933</v>
      </c>
      <c r="AZ10" s="132" cm="1">
        <f t="array" aca="1" ref="AZ10" ca="1">IFERROR(
SUM(_xlfn._xlws.FILTER(Pivot_Ctr_DthuDon,
(Pivot_Ctr_CtrDon=$Z$3)*
(Pivot_Ctr_Khach=Dashboard_Ctr_Khach[[#This Row],[Khách]])
)),0)
+IFERROR(
SUM(_xlfn._xlws.FILTER(Pivot_Ctr_DthuSKU,
(Pivot_Ctr_CtrSKU=$Z$3)*
(Pivot_Ctr_Khach=Dashboard_Ctr_Khach[[#This Row],[Khách]])
)),0)</f>
        <v>0</v>
      </c>
      <c r="BA10" s="132" t="e">
        <f ca="1">Dashboard_Ctr_Khach[[#This Row],[Giá trị]]/SUM(Dashboard_Ctr_Khach[Giá trị])</f>
        <v>#DIV/0!</v>
      </c>
      <c r="BH10" s="138">
        <v>5</v>
      </c>
      <c r="BI10" s="138" cm="1">
        <f t="array" ref="BI10">IFERROR(SUM(_xlfn._xlws.FILTER(Table_DonBan[Doanh thu ròng],
(Table_DonBan[Ngày lập] &gt;= Pivot!$AS$2)*
(Table_DonBan[Ngày lập] &lt;= Pivot!$AS$3)*
(MONTH(Table_DonBan[Ngày lập]) = $BH10)
)),0)</f>
        <v>0</v>
      </c>
      <c r="BJ10" s="138" cm="1">
        <f t="array" ref="BJ10">IFERROR(SUM(_xlfn._xlws.FILTER(Table_DonBan[Doanh thu ròng],
(Table_DonBan[Giá trị CK] &gt; 0)*
(Table_DonBan[Ngày lập] &gt;= Pivot!$AS$2)*
(Table_DonBan[Ngày lập] &lt;= Pivot!$AS$3)*
(MONTH(Table_DonBan[Ngày lập]) = $BH10)
)),0)</f>
        <v>0</v>
      </c>
      <c r="BK10" s="144" t="e">
        <f t="shared" si="0"/>
        <v>#DIV/0!</v>
      </c>
      <c r="BL10" s="138" cm="1">
        <f t="array" ref="BL10">IFERROR(SUM(_xlfn._xlws.FILTER(Table_Main[Giá trị bán trước VAT],
(Table_Main[Ngày lên đơn] &gt;= Pivot!$AS$2)*
(Table_Main[Ngày lên đơn] &lt;= Pivot!$AS$3)*
(Table_Main[Tháng lên đơn] = $BH10)
)),0)</f>
        <v>0</v>
      </c>
      <c r="BM10" s="138" cm="1">
        <f t="array" ref="BM10">IFERROR(SUM(_xlfn._xlws.FILTER(Table_Main[Giá trị bán trước VAT],
(Table_Main[Giá trị CK] &gt;0)*
(Table_Main[Ngày lên đơn] &gt;= Pivot!$AS$2)*
(Table_Main[Ngày lên đơn] &lt;= Pivot!$AS$3)*
(Table_Main[Tháng lên đơn] = $BH10)
)),0)</f>
        <v>0</v>
      </c>
      <c r="BN10" s="144" t="e">
        <f t="shared" si="1"/>
        <v>#DIV/0!</v>
      </c>
    </row>
    <row r="11" spans="26:66" ht="18" customHeight="1" x14ac:dyDescent="0.3">
      <c r="AY11" s="132" t="s">
        <v>934</v>
      </c>
      <c r="AZ11" s="132" cm="1">
        <f t="array" aca="1" ref="AZ11" ca="1">IFERROR(
SUM(_xlfn._xlws.FILTER(Pivot_Ctr_DthuDon,
(Pivot_Ctr_CtrDon=$Z$3)*
(Pivot_Ctr_Khach=Dashboard_Ctr_Khach[[#This Row],[Khách]])
)),0)
+IFERROR(
SUM(_xlfn._xlws.FILTER(Pivot_Ctr_DthuSKU,
(Pivot_Ctr_CtrSKU=$Z$3)*
(Pivot_Ctr_Khach=Dashboard_Ctr_Khach[[#This Row],[Khách]])
)),0)</f>
        <v>0</v>
      </c>
      <c r="BA11" s="132" t="e">
        <f ca="1">Dashboard_Ctr_Khach[[#This Row],[Giá trị]]/SUM(Dashboard_Ctr_Khach[Giá trị])</f>
        <v>#DIV/0!</v>
      </c>
      <c r="BH11" s="138">
        <v>6</v>
      </c>
      <c r="BI11" s="138" cm="1">
        <f t="array" ref="BI11">IFERROR(SUM(_xlfn._xlws.FILTER(Table_DonBan[Doanh thu ròng],
(Table_DonBan[Ngày lập] &gt;= Pivot!$AS$2)*
(Table_DonBan[Ngày lập] &lt;= Pivot!$AS$3)*
(MONTH(Table_DonBan[Ngày lập]) = $BH11)
)),0)</f>
        <v>0</v>
      </c>
      <c r="BJ11" s="138" cm="1">
        <f t="array" ref="BJ11">IFERROR(SUM(_xlfn._xlws.FILTER(Table_DonBan[Doanh thu ròng],
(Table_DonBan[Giá trị CK] &gt; 0)*
(Table_DonBan[Ngày lập] &gt;= Pivot!$AS$2)*
(Table_DonBan[Ngày lập] &lt;= Pivot!$AS$3)*
(MONTH(Table_DonBan[Ngày lập]) = $BH11)
)),0)</f>
        <v>0</v>
      </c>
      <c r="BK11" s="144" t="e">
        <f t="shared" si="0"/>
        <v>#DIV/0!</v>
      </c>
      <c r="BL11" s="138" cm="1">
        <f t="array" ref="BL11">IFERROR(SUM(_xlfn._xlws.FILTER(Table_Main[Giá trị bán trước VAT],
(Table_Main[Ngày lên đơn] &gt;= Pivot!$AS$2)*
(Table_Main[Ngày lên đơn] &lt;= Pivot!$AS$3)*
(Table_Main[Tháng lên đơn] = $BH11)
)),0)</f>
        <v>0</v>
      </c>
      <c r="BM11" s="138" cm="1">
        <f t="array" ref="BM11">IFERROR(SUM(_xlfn._xlws.FILTER(Table_Main[Giá trị bán trước VAT],
(Table_Main[Giá trị CK] &gt;0)*
(Table_Main[Ngày lên đơn] &gt;= Pivot!$AS$2)*
(Table_Main[Ngày lên đơn] &lt;= Pivot!$AS$3)*
(Table_Main[Tháng lên đơn] = $BH11)
)),0)</f>
        <v>0</v>
      </c>
      <c r="BN11" s="144" t="e">
        <f t="shared" si="1"/>
        <v>#DIV/0!</v>
      </c>
    </row>
    <row r="12" spans="26:66" ht="18" customHeight="1" x14ac:dyDescent="0.3">
      <c r="AY12" s="132" t="s">
        <v>935</v>
      </c>
      <c r="AZ12" s="132" cm="1">
        <f t="array" aca="1" ref="AZ12" ca="1">IFERROR(
SUM(_xlfn._xlws.FILTER(Pivot_Ctr_DthuDon,
(Pivot_Ctr_CtrDon=$Z$3)*
(Pivot_Ctr_Khach=Dashboard_Ctr_Khach[[#This Row],[Khách]])
)),0)
+IFERROR(
SUM(_xlfn._xlws.FILTER(Pivot_Ctr_DthuSKU,
(Pivot_Ctr_CtrSKU=$Z$3)*
(Pivot_Ctr_Khach=Dashboard_Ctr_Khach[[#This Row],[Khách]])
)),0)</f>
        <v>0</v>
      </c>
      <c r="BA12" s="132" t="e">
        <f ca="1">Dashboard_Ctr_Khach[[#This Row],[Giá trị]]/SUM(Dashboard_Ctr_Khach[Giá trị])</f>
        <v>#DIV/0!</v>
      </c>
      <c r="BH12" s="138">
        <v>7</v>
      </c>
      <c r="BI12" s="138" cm="1">
        <f t="array" ref="BI12">IFERROR(SUM(_xlfn._xlws.FILTER(Table_DonBan[Doanh thu ròng],
(Table_DonBan[Ngày lập] &gt;= Pivot!$AS$2)*
(Table_DonBan[Ngày lập] &lt;= Pivot!$AS$3)*
(MONTH(Table_DonBan[Ngày lập]) = $BH12)
)),0)</f>
        <v>0</v>
      </c>
      <c r="BJ12" s="138" cm="1">
        <f t="array" ref="BJ12">IFERROR(SUM(_xlfn._xlws.FILTER(Table_DonBan[Doanh thu ròng],
(Table_DonBan[Giá trị CK] &gt; 0)*
(Table_DonBan[Ngày lập] &gt;= Pivot!$AS$2)*
(Table_DonBan[Ngày lập] &lt;= Pivot!$AS$3)*
(MONTH(Table_DonBan[Ngày lập]) = $BH12)
)),0)</f>
        <v>0</v>
      </c>
      <c r="BK12" s="144" t="e">
        <f t="shared" si="0"/>
        <v>#DIV/0!</v>
      </c>
      <c r="BL12" s="138" cm="1">
        <f t="array" ref="BL12">IFERROR(SUM(_xlfn._xlws.FILTER(Table_Main[Giá trị bán trước VAT],
(Table_Main[Ngày lên đơn] &gt;= Pivot!$AS$2)*
(Table_Main[Ngày lên đơn] &lt;= Pivot!$AS$3)*
(Table_Main[Tháng lên đơn] = $BH12)
)),0)</f>
        <v>0</v>
      </c>
      <c r="BM12" s="138" cm="1">
        <f t="array" ref="BM12">IFERROR(SUM(_xlfn._xlws.FILTER(Table_Main[Giá trị bán trước VAT],
(Table_Main[Giá trị CK] &gt;0)*
(Table_Main[Ngày lên đơn] &gt;= Pivot!$AS$2)*
(Table_Main[Ngày lên đơn] &lt;= Pivot!$AS$3)*
(Table_Main[Tháng lên đơn] = $BH12)
)),0)</f>
        <v>0</v>
      </c>
      <c r="BN12" s="144" t="e">
        <f t="shared" si="1"/>
        <v>#DIV/0!</v>
      </c>
    </row>
    <row r="13" spans="26:66" ht="18" customHeight="1" x14ac:dyDescent="0.3">
      <c r="BH13" s="138">
        <v>8</v>
      </c>
      <c r="BI13" s="138" cm="1">
        <f t="array" ref="BI13">IFERROR(SUM(_xlfn._xlws.FILTER(Table_DonBan[Doanh thu ròng],
(Table_DonBan[Ngày lập] &gt;= Pivot!$AS$2)*
(Table_DonBan[Ngày lập] &lt;= Pivot!$AS$3)*
(MONTH(Table_DonBan[Ngày lập]) = $BH13)
)),0)</f>
        <v>0</v>
      </c>
      <c r="BJ13" s="138" cm="1">
        <f t="array" ref="BJ13">IFERROR(SUM(_xlfn._xlws.FILTER(Table_DonBan[Doanh thu ròng],
(Table_DonBan[Giá trị CK] &gt; 0)*
(Table_DonBan[Ngày lập] &gt;= Pivot!$AS$2)*
(Table_DonBan[Ngày lập] &lt;= Pivot!$AS$3)*
(MONTH(Table_DonBan[Ngày lập]) = $BH13)
)),0)</f>
        <v>0</v>
      </c>
      <c r="BK13" s="144" t="e">
        <f t="shared" si="0"/>
        <v>#DIV/0!</v>
      </c>
      <c r="BL13" s="138" cm="1">
        <f t="array" ref="BL13">IFERROR(SUM(_xlfn._xlws.FILTER(Table_Main[Giá trị bán trước VAT],
(Table_Main[Ngày lên đơn] &gt;= Pivot!$AS$2)*
(Table_Main[Ngày lên đơn] &lt;= Pivot!$AS$3)*
(Table_Main[Tháng lên đơn] = $BH13)
)),0)</f>
        <v>0</v>
      </c>
      <c r="BM13" s="138" cm="1">
        <f t="array" ref="BM13">IFERROR(SUM(_xlfn._xlws.FILTER(Table_Main[Giá trị bán trước VAT],
(Table_Main[Giá trị CK] &gt;0)*
(Table_Main[Ngày lên đơn] &gt;= Pivot!$AS$2)*
(Table_Main[Ngày lên đơn] &lt;= Pivot!$AS$3)*
(Table_Main[Tháng lên đơn] = $BH13)
)),0)</f>
        <v>0</v>
      </c>
      <c r="BN13" s="144" t="e">
        <f t="shared" si="1"/>
        <v>#DIV/0!</v>
      </c>
    </row>
    <row r="14" spans="26:66" ht="18" customHeight="1" x14ac:dyDescent="0.3">
      <c r="BH14" s="138">
        <v>9</v>
      </c>
      <c r="BI14" s="138" cm="1">
        <f t="array" ref="BI14">IFERROR(SUM(_xlfn._xlws.FILTER(Table_DonBan[Doanh thu ròng],
(Table_DonBan[Ngày lập] &gt;= Pivot!$AS$2)*
(Table_DonBan[Ngày lập] &lt;= Pivot!$AS$3)*
(MONTH(Table_DonBan[Ngày lập]) = $BH14)
)),0)</f>
        <v>0</v>
      </c>
      <c r="BJ14" s="138" cm="1">
        <f t="array" ref="BJ14">IFERROR(SUM(_xlfn._xlws.FILTER(Table_DonBan[Doanh thu ròng],
(Table_DonBan[Giá trị CK] &gt; 0)*
(Table_DonBan[Ngày lập] &gt;= Pivot!$AS$2)*
(Table_DonBan[Ngày lập] &lt;= Pivot!$AS$3)*
(MONTH(Table_DonBan[Ngày lập]) = $BH14)
)),0)</f>
        <v>0</v>
      </c>
      <c r="BK14" s="144" t="e">
        <f t="shared" si="0"/>
        <v>#DIV/0!</v>
      </c>
      <c r="BL14" s="138" cm="1">
        <f t="array" ref="BL14">IFERROR(SUM(_xlfn._xlws.FILTER(Table_Main[Giá trị bán trước VAT],
(Table_Main[Ngày lên đơn] &gt;= Pivot!$AS$2)*
(Table_Main[Ngày lên đơn] &lt;= Pivot!$AS$3)*
(Table_Main[Tháng lên đơn] = $BH14)
)),0)</f>
        <v>0</v>
      </c>
      <c r="BM14" s="138" cm="1">
        <f t="array" ref="BM14">IFERROR(SUM(_xlfn._xlws.FILTER(Table_Main[Giá trị bán trước VAT],
(Table_Main[Giá trị CK] &gt;0)*
(Table_Main[Ngày lên đơn] &gt;= Pivot!$AS$2)*
(Table_Main[Ngày lên đơn] &lt;= Pivot!$AS$3)*
(Table_Main[Tháng lên đơn] = $BH14)
)),0)</f>
        <v>0</v>
      </c>
      <c r="BN14" s="144" t="e">
        <f t="shared" si="1"/>
        <v>#DIV/0!</v>
      </c>
    </row>
    <row r="15" spans="26:66" ht="18" customHeight="1" x14ac:dyDescent="0.3">
      <c r="BH15" s="138">
        <v>10</v>
      </c>
      <c r="BI15" s="138" cm="1">
        <f t="array" ref="BI15">IFERROR(SUM(_xlfn._xlws.FILTER(Table_DonBan[Doanh thu ròng],
(Table_DonBan[Ngày lập] &gt;= Pivot!$AS$2)*
(Table_DonBan[Ngày lập] &lt;= Pivot!$AS$3)*
(MONTH(Table_DonBan[Ngày lập]) = $BH15)
)),0)</f>
        <v>0</v>
      </c>
      <c r="BJ15" s="138" cm="1">
        <f t="array" ref="BJ15">IFERROR(SUM(_xlfn._xlws.FILTER(Table_DonBan[Doanh thu ròng],
(Table_DonBan[Giá trị CK] &gt; 0)*
(Table_DonBan[Ngày lập] &gt;= Pivot!$AS$2)*
(Table_DonBan[Ngày lập] &lt;= Pivot!$AS$3)*
(MONTH(Table_DonBan[Ngày lập]) = $BH15)
)),0)</f>
        <v>0</v>
      </c>
      <c r="BK15" s="144" t="e">
        <f t="shared" si="0"/>
        <v>#DIV/0!</v>
      </c>
      <c r="BL15" s="138" cm="1">
        <f t="array" ref="BL15">IFERROR(SUM(_xlfn._xlws.FILTER(Table_Main[Giá trị bán trước VAT],
(Table_Main[Ngày lên đơn] &gt;= Pivot!$AS$2)*
(Table_Main[Ngày lên đơn] &lt;= Pivot!$AS$3)*
(Table_Main[Tháng lên đơn] = $BH15)
)),0)</f>
        <v>0</v>
      </c>
      <c r="BM15" s="138" cm="1">
        <f t="array" ref="BM15">IFERROR(SUM(_xlfn._xlws.FILTER(Table_Main[Giá trị bán trước VAT],
(Table_Main[Giá trị CK] &gt;0)*
(Table_Main[Ngày lên đơn] &gt;= Pivot!$AS$2)*
(Table_Main[Ngày lên đơn] &lt;= Pivot!$AS$3)*
(Table_Main[Tháng lên đơn] = $BH15)
)),0)</f>
        <v>0</v>
      </c>
      <c r="BN15" s="144" t="e">
        <f t="shared" si="1"/>
        <v>#DIV/0!</v>
      </c>
    </row>
    <row r="16" spans="26:66" ht="18" customHeight="1" x14ac:dyDescent="0.3">
      <c r="BH16" s="138">
        <v>11</v>
      </c>
      <c r="BI16" s="138" cm="1">
        <f t="array" ref="BI16">IFERROR(SUM(_xlfn._xlws.FILTER(Table_DonBan[Doanh thu ròng],
(Table_DonBan[Ngày lập] &gt;= Pivot!$AS$2)*
(Table_DonBan[Ngày lập] &lt;= Pivot!$AS$3)*
(MONTH(Table_DonBan[Ngày lập]) = $BH16)
)),0)</f>
        <v>0</v>
      </c>
      <c r="BJ16" s="138" cm="1">
        <f t="array" ref="BJ16">IFERROR(SUM(_xlfn._xlws.FILTER(Table_DonBan[Doanh thu ròng],
(Table_DonBan[Giá trị CK] &gt; 0)*
(Table_DonBan[Ngày lập] &gt;= Pivot!$AS$2)*
(Table_DonBan[Ngày lập] &lt;= Pivot!$AS$3)*
(MONTH(Table_DonBan[Ngày lập]) = $BH16)
)),0)</f>
        <v>0</v>
      </c>
      <c r="BK16" s="144" t="e">
        <f t="shared" si="0"/>
        <v>#DIV/0!</v>
      </c>
      <c r="BL16" s="138" cm="1">
        <f t="array" ref="BL16">IFERROR(SUM(_xlfn._xlws.FILTER(Table_Main[Giá trị bán trước VAT],
(Table_Main[Ngày lên đơn] &gt;= Pivot!$AS$2)*
(Table_Main[Ngày lên đơn] &lt;= Pivot!$AS$3)*
(Table_Main[Tháng lên đơn] = $BH16)
)),0)</f>
        <v>0</v>
      </c>
      <c r="BM16" s="138" cm="1">
        <f t="array" ref="BM16">IFERROR(SUM(_xlfn._xlws.FILTER(Table_Main[Giá trị bán trước VAT],
(Table_Main[Giá trị CK] &gt;0)*
(Table_Main[Ngày lên đơn] &gt;= Pivot!$AS$2)*
(Table_Main[Ngày lên đơn] &lt;= Pivot!$AS$3)*
(Table_Main[Tháng lên đơn] = $BH16)
)),0)</f>
        <v>0</v>
      </c>
      <c r="BN16" s="144" t="e">
        <f t="shared" si="1"/>
        <v>#DIV/0!</v>
      </c>
    </row>
    <row r="17" spans="60:82" ht="18" customHeight="1" x14ac:dyDescent="0.3">
      <c r="BH17" s="138">
        <v>12</v>
      </c>
      <c r="BI17" s="138" cm="1">
        <f t="array" ref="BI17">IFERROR(SUM(_xlfn._xlws.FILTER(Table_DonBan[Doanh thu ròng],
(Table_DonBan[Ngày lập] &gt;= Pivot!$AS$2)*
(Table_DonBan[Ngày lập] &lt;= Pivot!$AS$3)*
(MONTH(Table_DonBan[Ngày lập]) = $BH17)
)),0)</f>
        <v>0</v>
      </c>
      <c r="BJ17" s="138" cm="1">
        <f t="array" ref="BJ17">IFERROR(SUM(_xlfn._xlws.FILTER(Table_DonBan[Doanh thu ròng],
(Table_DonBan[Giá trị CK] &gt; 0)*
(Table_DonBan[Ngày lập] &gt;= Pivot!$AS$2)*
(Table_DonBan[Ngày lập] &lt;= Pivot!$AS$3)*
(MONTH(Table_DonBan[Ngày lập]) = $BH17)
)),0)</f>
        <v>0</v>
      </c>
      <c r="BK17" s="144" t="e">
        <f t="shared" si="0"/>
        <v>#DIV/0!</v>
      </c>
      <c r="BL17" s="138" cm="1">
        <f t="array" ref="BL17">IFERROR(SUM(_xlfn._xlws.FILTER(Table_Main[Giá trị bán trước VAT],
(Table_Main[Ngày lên đơn] &gt;= Pivot!$AS$2)*
(Table_Main[Ngày lên đơn] &lt;= Pivot!$AS$3)*
(Table_Main[Tháng lên đơn] = $BH17)
)),0)</f>
        <v>0</v>
      </c>
      <c r="BM17" s="138" cm="1">
        <f t="array" ref="BM17">IFERROR(SUM(_xlfn._xlws.FILTER(Table_Main[Giá trị bán trước VAT],
(Table_Main[Giá trị CK] &gt;0)*
(Table_Main[Ngày lên đơn] &gt;= Pivot!$AS$2)*
(Table_Main[Ngày lên đơn] &lt;= Pivot!$AS$3)*
(Table_Main[Tháng lên đơn] = $BH17)
)),0)</f>
        <v>0</v>
      </c>
      <c r="BN17" s="144" t="e">
        <f t="shared" si="1"/>
        <v>#DIV/0!</v>
      </c>
    </row>
    <row r="21" spans="60:82" ht="18" customHeight="1" x14ac:dyDescent="0.3">
      <c r="BH21" s="138" t="e">
        <f>VLOOKUP($Z$3,Table_ChuongTrinh[Mã Chương trình]:Table_ChuongTrinh[Đối tượng CK],2,0)</f>
        <v>#N/A</v>
      </c>
      <c r="BJ21" s="138" t="e">
        <f>IF($BH$21="Sản phẩm",
"Sản phẩm áp dụng",
"Đơn hàng áp dụng")</f>
        <v>#N/A</v>
      </c>
      <c r="BK21" s="138" t="e">
        <f>IF($BH$21="Sản phẩm",
VLOOKUP($Z$3,_xlfn.ANCHORARRAY($BH$25):_xlfn.ANCHORARRAY($BK$25),4,0),
VLOOKUP($Z$3,_xlfn.ANCHORARRAY($BH$25):_xlfn.ANCHORARRAY($BJ$25),3,0))</f>
        <v>#N/A</v>
      </c>
      <c r="BL21" s="138" t="str">
        <f>IFERROR(TEXT(BK21,LOOKUP(BK21,Pivot!$B$6:$B$12,Pivot!$C$6:$C$12)),"")</f>
        <v/>
      </c>
      <c r="CB21" s="164" t="e">
        <f xml:space="preserve">
IF(
IF($BH$21="Sản phẩm",
VLOOKUP($Z$3,_xlfn.ANCHORARRAY($BH$25):_xlfn.ANCHORARRAY(CD25),23,0),
VLOOKUP($Z$3,_xlfn.ANCHORARRAY($BH$25):_xlfn.ANCHORARRAY(CB25),21,0))
&gt;=0,"tăng","giảm")</f>
        <v>#N/A</v>
      </c>
      <c r="CC21" s="164" t="e">
        <f>ABS(IF($BH$21="Sản phẩm",
VLOOKUP($Z$3,_xlfn.ANCHORARRAY($BH$25):_xlfn.ANCHORARRAY(CD25),23,0),
VLOOKUP($Z$3,_xlfn.ANCHORARRAY($BH$25):_xlfn.ANCHORARRAY(CB25),21,0)))</f>
        <v>#N/A</v>
      </c>
      <c r="CD21" s="138" t="e">
        <f>IFERROR(TEXT(CC21,LOOKUP(CC21,Pivot!$B$6:$B$12,Pivot!$C$6:$C$12)),CC21)</f>
        <v>#N/A</v>
      </c>
    </row>
    <row r="22" spans="60:82" ht="18" customHeight="1" x14ac:dyDescent="0.3">
      <c r="BH22" s="138" t="e">
        <f>VLOOKUP($Z$3,Table_ChuongTrinh[Mã Chương trình]:Table_ChuongTrinh[Nội dung Chương trình],3,0)</f>
        <v>#N/A</v>
      </c>
      <c r="BI22" s="138" t="e">
        <f ca="1">VLOOKUP($Z$3,_xlfn.ANCHORARRAY(BH25):_xlfn.ANCHORARRAY(BI25),2,0)</f>
        <v>#N/A</v>
      </c>
      <c r="BM22" s="138" t="e">
        <f>VLOOKUP($Z$3,_xlfn.ANCHORARRAY(BH25):_xlfn.ANCHORARRAY(BM25),6,0)</f>
        <v>#N/A</v>
      </c>
      <c r="BN22" s="165" t="e">
        <f>VLOOKUP($Z$3,_xlfn.ANCHORARRAY(BH25):_xlfn.ANCHORARRAY(BN25),7,0)</f>
        <v>#N/A</v>
      </c>
      <c r="BO22" s="165" t="e">
        <f>VLOOKUP($Z$3,_xlfn.ANCHORARRAY(BH25):_xlfn.ANCHORARRAY(BO25),8,0)</f>
        <v>#N/A</v>
      </c>
      <c r="BW22" s="138" t="e">
        <f ca="1">VLOOKUP($Z$3,_xlfn.ANCHORARRAY(BH25):_xlfn.ANCHORARRAY(BW25),16,0)</f>
        <v>#N/A</v>
      </c>
      <c r="BY22" s="138" t="e">
        <f ca="1">VLOOKUP($Z$3,_xlfn.ANCHORARRAY(BH25):_xlfn.ANCHORARRAY(BY25),18,0)</f>
        <v>#N/A</v>
      </c>
      <c r="BZ22" s="160" t="e">
        <f ca="1">VLOOKUP($Z$3,_xlfn.ANCHORARRAY(BH25):_xlfn.ANCHORARRAY(BZ25),19,0)</f>
        <v>#N/A</v>
      </c>
    </row>
    <row r="23" spans="60:82" ht="18" customHeight="1" x14ac:dyDescent="0.3">
      <c r="BH23" s="138" t="s">
        <v>247</v>
      </c>
      <c r="BI23" s="138" t="s">
        <v>179</v>
      </c>
      <c r="BJ23" s="138" t="s">
        <v>248</v>
      </c>
      <c r="BK23" s="138" t="s">
        <v>249</v>
      </c>
      <c r="BL23" s="138" t="s">
        <v>237</v>
      </c>
      <c r="BM23" s="138" t="s">
        <v>22</v>
      </c>
      <c r="BN23" s="138" t="s">
        <v>250</v>
      </c>
      <c r="BO23" s="138" t="s">
        <v>251</v>
      </c>
      <c r="BP23" s="138" t="s">
        <v>252</v>
      </c>
      <c r="BQ23" s="138" t="s">
        <v>253</v>
      </c>
      <c r="BR23" s="138" t="s">
        <v>254</v>
      </c>
      <c r="BS23" s="138" t="s">
        <v>255</v>
      </c>
      <c r="BT23" s="138" t="s">
        <v>256</v>
      </c>
      <c r="BU23" s="138" t="s">
        <v>133</v>
      </c>
      <c r="BV23" s="138" t="s">
        <v>257</v>
      </c>
      <c r="BW23" s="138" t="s">
        <v>258</v>
      </c>
      <c r="BX23" s="138" t="s">
        <v>259</v>
      </c>
      <c r="BY23" s="138" t="s">
        <v>22</v>
      </c>
      <c r="BZ23" s="138" t="s">
        <v>260</v>
      </c>
      <c r="CA23" s="138" t="s">
        <v>261</v>
      </c>
      <c r="CB23" s="138" t="s">
        <v>262</v>
      </c>
      <c r="CC23" s="138" t="s">
        <v>243</v>
      </c>
      <c r="CD23" s="138" t="s">
        <v>262</v>
      </c>
    </row>
    <row r="24" spans="60:82" ht="18" customHeight="1" x14ac:dyDescent="0.3">
      <c r="BH24" s="138" t="s">
        <v>55</v>
      </c>
      <c r="BI24" s="138" cm="1">
        <f t="array" aca="1" ref="BI24" ca="1">COUNTIFS(
Pivot_Ctr_CtrDon, BH24,
Pivot_Ctr_CtrSKU,BH24,
Pivot_Ctr_DthuDon, "&gt;0",
Pivot_Ctr_TTKhach, 1)</f>
        <v>2</v>
      </c>
      <c r="BJ24" s="138" cm="1">
        <f t="array" aca="1" ref="BJ24" ca="1">COUNTIFS(
Pivot_Ctr_CtrDon, BH24,
Pivot_Ctr_DthuDon, "&gt;0")</f>
        <v>30</v>
      </c>
      <c r="BK24" s="138">
        <f>SUMIFS(Table_Main[Số lượng],
Table_Main[Chương trình],"",
Table_Main[Giá trị bán trước VAT], "&gt;0")</f>
        <v>587</v>
      </c>
      <c r="BL24" s="138" cm="1">
        <f t="array" aca="1" ref="BL24" ca="1">SUMIFS(
Pivot_Ctr_DthuSKU,
Pivot_Ctr_CtrDon, BH24,
Pivot_Ctr_CtrSKU, BH24)</f>
        <v>3859500000</v>
      </c>
      <c r="BM24" s="138" t="str">
        <f ca="1">IFERROR(TEXT(BL24,LOOKUP(BL24,Pivot!$B$6:$B$12,Pivot!$C$6:$C$12)),"")</f>
        <v>3.9tỷ</v>
      </c>
      <c r="BN24" s="165">
        <f>Pivot!$AS$2</f>
        <v>45296</v>
      </c>
      <c r="BO24" s="165">
        <f>Pivot!$AS$3</f>
        <v>45651</v>
      </c>
      <c r="BP24" s="138">
        <f>BO24-BN24+1</f>
        <v>356</v>
      </c>
      <c r="BQ24" s="138">
        <f ca="1">BJ24/BP24</f>
        <v>8.4269662921348312E-2</v>
      </c>
      <c r="BR24" s="138">
        <f>BK24/BP24</f>
        <v>1.648876404494382</v>
      </c>
      <c r="BS24" s="166">
        <f ca="1">BL24/BP24</f>
        <v>10841292.13483146</v>
      </c>
      <c r="BY24" s="138" t="str">
        <f>IFERROR(TEXT(BX24,LOOKUP(BX24,Pivot!$B$6:$B$12,Pivot!$C$6:$C$12)),"")</f>
        <v/>
      </c>
    </row>
    <row r="25" spans="60:82" ht="18" customHeight="1" x14ac:dyDescent="0.3">
      <c r="BH25" s="138" t="str" cm="1">
        <f t="array" ref="BH25">_xlfn.UNIQUE(Table_ChuongTrinh[Mã Chương trình])</f>
        <v>A</v>
      </c>
      <c r="BI25" s="138" cm="1">
        <f t="array" aca="1" ref="BI25" ca="1">COUNTIFS(
Pivot_Ctr_CtrDon,_xlfn.ANCHORARRAY( BH25),
Pivot_Ctr_DthuDon, "&gt;0",
Pivot_Ctr_TTKhach, 1)
+COUNTIFS(
Pivot_Ctr_CtrSKU,_xlfn.ANCHORARRAY( BH25),
Pivot_Ctr_DthuSKU, "&gt;0",
Pivot_Ctr_TTKhach, 1)</f>
        <v>0</v>
      </c>
      <c r="BJ25" s="138" cm="1">
        <f t="array" ref="BJ25">COUNTIFS(
Table_DonBan[Chương trình],_xlfn.ANCHORARRAY( BH25))</f>
        <v>0</v>
      </c>
      <c r="BK25" s="138" cm="1">
        <f t="array" ref="BK25">SUMIFS(Table_Main[Số lượng],
Table_Main[Chương trình],_xlfn.ANCHORARRAY(BH25))</f>
        <v>0</v>
      </c>
      <c r="BL25" s="138" cm="1">
        <f t="array" ref="BL25">SUMIFS(
Table_DonBan[Doanh thu ròng],
Table_DonBan[Chương trình],_xlfn.ANCHORARRAY( BH25))
+SUMIFS(
Table_Main[Giá trị bán trước VAT],
Table_Main[Chương trình],_xlfn.ANCHORARRAY( BH25))</f>
        <v>0</v>
      </c>
      <c r="BM25" s="138" t="str" cm="1">
        <f t="array" ref="BM25">IFERROR(TEXT(_xlfn.ANCHORARRAY(BL25),LOOKUP(_xlfn.ANCHORARRAY(BL25),Pivot!$B$6:$B$12,Pivot!$C$6:$C$12)),"")</f>
        <v/>
      </c>
      <c r="BN25" s="165" cm="1">
        <f t="array" ref="BN25">VLOOKUP(_xlfn.ANCHORARRAY(BH25),Table_ChuongTrinh[Mã Chương trình]:Table_ChuongTrinh[Bắt đầu],4,0)</f>
        <v>0</v>
      </c>
      <c r="BO25" s="165" cm="1">
        <f t="array" ref="BO25">VLOOKUP(_xlfn.ANCHORARRAY(BH25),Table_ChuongTrinh[Mã Chương trình]:Table_ChuongTrinh[Kết thúc],5,0)</f>
        <v>0</v>
      </c>
      <c r="BP25" s="138" cm="1">
        <f t="array" ref="BP25">_xlfn.ANCHORARRAY(BO25)-_xlfn.ANCHORARRAY(BN25)+1</f>
        <v>1</v>
      </c>
      <c r="BQ25" s="138" cm="1">
        <f t="array" ref="BQ25">_xlfn.ANCHORARRAY(BJ25)/_xlfn.ANCHORARRAY(BP25)</f>
        <v>0</v>
      </c>
      <c r="BR25" s="138" cm="1">
        <f t="array" ref="BR25">_xlfn.ANCHORARRAY(BK25)/_xlfn.ANCHORARRAY(BP25)</f>
        <v>0</v>
      </c>
      <c r="BS25" s="166" cm="1">
        <f t="array" ref="BS25">_xlfn.ANCHORARRAY(BL25)/_xlfn.ANCHORARRAY(BP25)</f>
        <v>0</v>
      </c>
      <c r="BT25" s="138" cm="1">
        <f t="array" ref="BT25">SUMIFS(Table_DonBan[Giá trị CK],
Table_DonBan[Chương trình],_xlfn.ANCHORARRAY(BH25))
+ SUMIFS(Table_Main[Giá trị CK],
Table_Main[Chương trình],_xlfn.ANCHORARRAY( BH25))</f>
        <v>0</v>
      </c>
      <c r="BU25" s="138" cm="1">
        <f t="array" ref="BU25">VLOOKUP(_xlfn.ANCHORARRAY(BH25),Table_ChuongTrinh[Mã Chương trình]:Table_ChuongTrinh[Chi phí],10,0)</f>
        <v>0</v>
      </c>
      <c r="BV25" s="161" cm="1">
        <f t="array" ref="BV25">+_xlfn.ANCHORARRAY(BU25)+_xlfn.ANCHORARRAY(BT25)</f>
        <v>0</v>
      </c>
      <c r="BW25" s="138" cm="1">
        <f t="array" aca="1" ref="BW25" ca="1">IFERROR(_xlfn.ANCHORARRAY(BI25)/(_xlfn.ANCHORARRAY(BV25)/1000000),0)</f>
        <v>0</v>
      </c>
      <c r="BX25" s="143" cm="1">
        <f t="array" aca="1" ref="BX25" ca="1">(_xlfn.ANCHORARRAY(BS25)-$BS$24)*_xlfn.ANCHORARRAY(BP25)</f>
        <v>-10841292.13483146</v>
      </c>
      <c r="BY25" s="138" t="str" cm="1">
        <f t="array" aca="1" ref="BY25" ca="1">IFERROR(TEXT(_xlfn.ANCHORARRAY(BX25),LOOKUP(_xlfn.ANCHORARRAY(BX25),Pivot!$B$6:$B$12,Pivot!$C$6:$C$12)),"")</f>
        <v>-10.8tr</v>
      </c>
      <c r="BZ25" s="160" cm="1">
        <f t="array" aca="1" ref="BZ25" ca="1">IFERROR(_xlfn.ANCHORARRAY(BX25)/_xlfn.ANCHORARRAY(BV25),0)</f>
        <v>0</v>
      </c>
      <c r="CA25" s="138" cm="1">
        <f t="array" ref="CA25">IF(_xlfn.ANCHORARRAY(BQ25)=0,0,(_xlfn.ANCHORARRAY(BQ25)-$BQ$24)*_xlfn.ANCHORARRAY(BP25))</f>
        <v>0</v>
      </c>
      <c r="CB25" s="167" cm="1">
        <f t="array" ref="CB25">IFERROR(_xlfn.ANCHORARRAY(CA25)/(_xlfn.ANCHORARRAY(BV25)/1000000),0)</f>
        <v>0</v>
      </c>
      <c r="CC25" s="138" t="str" cm="1">
        <f t="array" ref="CC25">IF(_xlfn.ANCHORARRAY(BR25)=0,"",(_xlfn.ANCHORARRAY(BR25)-$BR$24)*_xlfn.ANCHORARRAY(BP25))</f>
        <v/>
      </c>
      <c r="CD25" s="138" cm="1">
        <f t="array" ref="CD25">IFERROR(_xlfn.ANCHORARRAY(CC25)/(_xlfn.ANCHORARRAY(BV25)/1000000),0)</f>
        <v>0</v>
      </c>
    </row>
    <row r="26" spans="60:82" ht="18" customHeight="1" x14ac:dyDescent="0.3">
      <c r="BS26" s="166"/>
      <c r="BX26" s="166"/>
      <c r="BZ26" s="160"/>
      <c r="CB26" s="166"/>
    </row>
    <row r="27" spans="60:82" ht="18" customHeight="1" x14ac:dyDescent="0.3">
      <c r="BS27" s="166"/>
      <c r="BX27" s="166"/>
      <c r="BZ27" s="160"/>
      <c r="CB27" s="166"/>
    </row>
    <row r="28" spans="60:82" ht="18" customHeight="1" x14ac:dyDescent="0.3">
      <c r="BS28" s="166"/>
      <c r="BX28" s="166"/>
      <c r="BZ28" s="160"/>
      <c r="CB28" s="166"/>
    </row>
  </sheetData>
  <sheetProtection algorithmName="SHA-512" hashValue="V0mgaM4ag3vZXP6VuHSDqDIeSgTpV08HGaWXbWkkkfwSvfwinLWlsPR9VxwY4h3ShgIZ9FTx/o3mZgj8AIRzCg==" saltValue="GuoI5HwHpZXqMHomwrT2Pw==" spinCount="100000" sheet="1" scenarios="1" formatCells="0" formatColumns="0" formatRows="0" insertColumns="0" insertRows="0" deleteColumns="0" deleteRows="0" sort="0" autoFilter="0" pivotTables="0"/>
  <mergeCells count="1">
    <mergeCell ref="Z3:AB3"/>
  </mergeCells>
  <dataValidations count="1">
    <dataValidation type="list" allowBlank="1" showInputMessage="1" showErrorMessage="1" sqref="Z3:AB3" xr:uid="{F3A44728-3D55-45B1-B9F2-30E48DD091D7}">
      <formula1>MaChuongTrinh</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39997558519241921"/>
    <outlinePr summaryBelow="0" summaryRight="0"/>
  </sheetPr>
  <dimension ref="A1:Y200"/>
  <sheetViews>
    <sheetView showGridLines="0" topLeftCell="A47" workbookViewId="0">
      <selection activeCell="C70" sqref="C70"/>
    </sheetView>
  </sheetViews>
  <sheetFormatPr defaultRowHeight="18" customHeight="1" outlineLevelRow="2" outlineLevelCol="1" x14ac:dyDescent="0.3"/>
  <cols>
    <col min="1" max="1" width="9.625" style="7" customWidth="1"/>
    <col min="2" max="2" width="29.625" style="7" customWidth="1"/>
    <col min="3" max="3" width="16.125" style="27" bestFit="1" customWidth="1"/>
    <col min="4" max="4" width="13.75" style="7" bestFit="1" customWidth="1"/>
    <col min="5" max="5" width="11.375" style="7" customWidth="1" outlineLevel="1"/>
    <col min="6" max="6" width="10.875" style="7" customWidth="1" outlineLevel="1"/>
    <col min="7" max="7" width="10.75" style="7" customWidth="1" outlineLevel="1"/>
    <col min="8" max="10" width="11" style="7" customWidth="1" outlineLevel="1"/>
    <col min="11" max="11" width="10.875" style="7" customWidth="1" outlineLevel="1"/>
    <col min="12" max="13" width="10.5" style="7" customWidth="1" outlineLevel="1"/>
    <col min="14" max="14" width="10.875" style="7" customWidth="1" outlineLevel="1"/>
    <col min="15" max="15" width="10.625" style="7" customWidth="1" outlineLevel="1"/>
    <col min="16" max="16" width="10.875" style="7" customWidth="1" outlineLevel="1"/>
    <col min="17" max="17" width="9" style="7"/>
    <col min="18" max="18" width="27.375" style="7" bestFit="1" customWidth="1"/>
    <col min="19" max="19" width="10.75" style="7" bestFit="1" customWidth="1"/>
    <col min="20" max="20" width="7.625" style="7" bestFit="1" customWidth="1"/>
    <col min="21" max="21" width="11.875" style="7" customWidth="1"/>
    <col min="22" max="22" width="27.375" style="7" bestFit="1" customWidth="1"/>
    <col min="23" max="23" width="10.75" style="7" bestFit="1" customWidth="1"/>
    <col min="24" max="24" width="7.625" style="7" bestFit="1" customWidth="1"/>
    <col min="25" max="25" width="10.625" style="7" customWidth="1"/>
    <col min="26" max="16384" width="9" style="7"/>
  </cols>
  <sheetData>
    <row r="1" spans="1:24" ht="18" customHeight="1" x14ac:dyDescent="0.3">
      <c r="B1" s="27" t="s">
        <v>263</v>
      </c>
      <c r="C1" s="206"/>
      <c r="D1" s="46">
        <v>1</v>
      </c>
      <c r="E1" s="46">
        <f>+D1+1</f>
        <v>2</v>
      </c>
      <c r="F1" s="46">
        <f t="shared" ref="F1:O1" si="0">+E1+1</f>
        <v>3</v>
      </c>
      <c r="G1" s="46">
        <f t="shared" si="0"/>
        <v>4</v>
      </c>
      <c r="H1" s="46">
        <f t="shared" si="0"/>
        <v>5</v>
      </c>
      <c r="I1" s="46">
        <f t="shared" si="0"/>
        <v>6</v>
      </c>
      <c r="J1" s="46">
        <f t="shared" si="0"/>
        <v>7</v>
      </c>
      <c r="K1" s="46">
        <f t="shared" si="0"/>
        <v>8</v>
      </c>
      <c r="L1" s="46">
        <f t="shared" si="0"/>
        <v>9</v>
      </c>
      <c r="M1" s="46">
        <f t="shared" si="0"/>
        <v>10</v>
      </c>
      <c r="N1" s="46">
        <f t="shared" si="0"/>
        <v>11</v>
      </c>
      <c r="O1" s="46">
        <f t="shared" si="0"/>
        <v>12</v>
      </c>
      <c r="R1" s="7" t="s">
        <v>2</v>
      </c>
      <c r="S1" s="228"/>
      <c r="T1" s="228"/>
      <c r="V1" s="7" t="s">
        <v>1</v>
      </c>
      <c r="W1" s="470"/>
      <c r="X1" s="470"/>
    </row>
    <row r="2" spans="1:24" ht="18" customHeight="1" x14ac:dyDescent="0.3">
      <c r="B2" s="27" t="s">
        <v>265</v>
      </c>
      <c r="C2" s="206"/>
      <c r="D2" s="469">
        <f>DATE(DiemHoaVon_NamKeHoach,COUNTA($D$53:D53),1)</f>
        <v>1</v>
      </c>
      <c r="E2" s="469">
        <f>DATE(DiemHoaVon_NamKeHoach,COUNTA($D$53:E53),1)</f>
        <v>32</v>
      </c>
      <c r="F2" s="469">
        <f>DATE(DiemHoaVon_NamKeHoach,COUNTA($D$53:F53),1)</f>
        <v>61</v>
      </c>
      <c r="G2" s="469">
        <f>DATE(DiemHoaVon_NamKeHoach,COUNTA($D$53:G53),1)</f>
        <v>92</v>
      </c>
      <c r="H2" s="469">
        <f>DATE(DiemHoaVon_NamKeHoach,COUNTA($D$53:H53),1)</f>
        <v>122</v>
      </c>
      <c r="I2" s="469">
        <f>DATE(DiemHoaVon_NamKeHoach,COUNTA($D$53:I53),1)</f>
        <v>153</v>
      </c>
      <c r="J2" s="469">
        <f>DATE(DiemHoaVon_NamKeHoach,COUNTA($D$53:J53),1)</f>
        <v>183</v>
      </c>
      <c r="K2" s="469">
        <f>DATE(DiemHoaVon_NamKeHoach,COUNTA($D$53:K53),1)</f>
        <v>214</v>
      </c>
      <c r="L2" s="469">
        <f>DATE(DiemHoaVon_NamKeHoach,COUNTA($D$53:L53),1)</f>
        <v>245</v>
      </c>
      <c r="M2" s="469">
        <f>DATE(DiemHoaVon_NamKeHoach,COUNTA($D$53:M53),1)</f>
        <v>275</v>
      </c>
      <c r="N2" s="469">
        <f>DATE(DiemHoaVon_NamKeHoach,COUNTA($D$53:N53),1)</f>
        <v>306</v>
      </c>
      <c r="O2" s="469">
        <f>DATE(DiemHoaVon_NamKeHoach,COUNTA($D$53:O53),1)</f>
        <v>336</v>
      </c>
      <c r="R2" s="41" t="s">
        <v>1087</v>
      </c>
      <c r="S2" s="472"/>
    </row>
    <row r="3" spans="1:24" ht="18" customHeight="1" x14ac:dyDescent="0.3">
      <c r="B3" s="27"/>
      <c r="D3" s="469"/>
      <c r="E3" s="469"/>
      <c r="F3" s="469"/>
      <c r="G3" s="469"/>
      <c r="H3" s="469"/>
      <c r="I3" s="469"/>
      <c r="J3" s="469"/>
      <c r="K3" s="469"/>
      <c r="L3" s="469"/>
      <c r="M3" s="469"/>
      <c r="N3" s="469"/>
      <c r="O3" s="469"/>
      <c r="R3" s="41" t="s">
        <v>1086</v>
      </c>
      <c r="S3" s="472"/>
    </row>
    <row r="4" spans="1:24" ht="18" customHeight="1" x14ac:dyDescent="0.3">
      <c r="B4" s="27" t="s">
        <v>264</v>
      </c>
      <c r="C4" s="83"/>
      <c r="D4" s="469"/>
      <c r="E4" s="46"/>
      <c r="F4" s="469"/>
      <c r="G4" s="469"/>
      <c r="H4" s="469"/>
      <c r="I4" s="469"/>
      <c r="J4" s="469"/>
      <c r="K4" s="469"/>
      <c r="L4" s="469"/>
      <c r="M4" s="469"/>
      <c r="N4" s="469"/>
      <c r="O4" s="469"/>
      <c r="P4" s="84"/>
      <c r="R4" s="41" t="s">
        <v>1033</v>
      </c>
      <c r="S4" s="421" t="e">
        <f>NPV(S2,S46:T46)</f>
        <v>#REF!</v>
      </c>
      <c r="T4" s="421" cm="1">
        <f t="array" ref="T4">IF(ISBLANK(T1),0,INDEX($R$1:T4,COUNTA($R$1:$R$4),COUNTA($R$1:T1)-1)/(1+$S$2)^(T1-$S$1))</f>
        <v>0</v>
      </c>
    </row>
    <row r="5" spans="1:24" ht="18" customHeight="1" x14ac:dyDescent="0.3">
      <c r="A5" s="469"/>
      <c r="B5" s="469"/>
      <c r="C5" s="469"/>
      <c r="D5" s="469"/>
      <c r="E5" s="46"/>
      <c r="F5" s="469"/>
      <c r="G5" s="469"/>
      <c r="H5" s="469"/>
      <c r="I5" s="469"/>
      <c r="J5" s="469"/>
      <c r="K5" s="469"/>
      <c r="L5" s="469"/>
      <c r="M5" s="469"/>
      <c r="N5" s="469"/>
      <c r="O5" s="469"/>
      <c r="P5" s="84"/>
      <c r="R5" s="41" t="s">
        <v>1034</v>
      </c>
      <c r="S5" s="499" t="e">
        <f>IRR(S46:T46)</f>
        <v>#VALUE!</v>
      </c>
    </row>
    <row r="6" spans="1:24" s="12" customFormat="1" ht="18" customHeight="1" x14ac:dyDescent="0.3">
      <c r="B6" s="4" t="s">
        <v>874</v>
      </c>
      <c r="C6" s="4" t="s">
        <v>2</v>
      </c>
      <c r="D6" s="16" t="s">
        <v>268</v>
      </c>
      <c r="E6" s="16" t="s">
        <v>269</v>
      </c>
      <c r="F6" s="16" t="s">
        <v>270</v>
      </c>
      <c r="G6" s="16" t="s">
        <v>271</v>
      </c>
      <c r="H6" s="16" t="s">
        <v>272</v>
      </c>
      <c r="I6" s="16" t="s">
        <v>273</v>
      </c>
      <c r="J6" s="16" t="s">
        <v>274</v>
      </c>
      <c r="K6" s="16" t="s">
        <v>275</v>
      </c>
      <c r="L6" s="16" t="s">
        <v>276</v>
      </c>
      <c r="M6" s="16" t="s">
        <v>277</v>
      </c>
      <c r="N6" s="16" t="s">
        <v>278</v>
      </c>
      <c r="O6" s="16" t="s">
        <v>279</v>
      </c>
      <c r="P6" s="4" t="s">
        <v>873</v>
      </c>
      <c r="R6" s="4" t="s">
        <v>874</v>
      </c>
      <c r="S6" s="4" t="s">
        <v>891</v>
      </c>
      <c r="T6" s="4" t="s">
        <v>873</v>
      </c>
      <c r="V6" s="4" t="s">
        <v>874</v>
      </c>
      <c r="W6" s="4" t="s">
        <v>1</v>
      </c>
      <c r="X6" s="4" t="s">
        <v>873</v>
      </c>
    </row>
    <row r="7" spans="1:24" s="12" customFormat="1" ht="18" customHeight="1" x14ac:dyDescent="0.3">
      <c r="B7" s="74" t="s">
        <v>73</v>
      </c>
      <c r="C7" s="105">
        <f>SUM(Table_KeHoach_TuDong[[#This Row],[Tháng 1]:[Tháng 12]])</f>
        <v>0</v>
      </c>
      <c r="D7" s="105">
        <f>Table_KeHoach_SanLuong[[#Totals],[Tháng 1]]</f>
        <v>0</v>
      </c>
      <c r="E7" s="105">
        <f>Table_KeHoach_SanLuong[[#Totals],[Tháng 2]]</f>
        <v>0</v>
      </c>
      <c r="F7" s="105">
        <f>Table_KeHoach_SanLuong[[#Totals],[Tháng 3]]</f>
        <v>0</v>
      </c>
      <c r="G7" s="105">
        <f>Table_KeHoach_SanLuong[[#Totals],[Tháng 4]]</f>
        <v>0</v>
      </c>
      <c r="H7" s="105">
        <f>Table_KeHoach_SanLuong[[#Totals],[Tháng 5]]</f>
        <v>0</v>
      </c>
      <c r="I7" s="105">
        <f>Table_KeHoach_SanLuong[[#Totals],[Tháng 6]]</f>
        <v>0</v>
      </c>
      <c r="J7" s="105">
        <f>Table_KeHoach_SanLuong[[#Totals],[Tháng 7]]</f>
        <v>0</v>
      </c>
      <c r="K7" s="105">
        <f>Table_KeHoach_SanLuong[[#Totals],[Tháng 8]]</f>
        <v>0</v>
      </c>
      <c r="L7" s="105">
        <f>Table_KeHoach_SanLuong[[#Totals],[Tháng 9]]</f>
        <v>0</v>
      </c>
      <c r="M7" s="105">
        <f>Table_KeHoach_SanLuong[[#Totals],[Tháng 10]]</f>
        <v>0</v>
      </c>
      <c r="N7" s="105">
        <f>Table_KeHoach_SanLuong[[#Totals],[Tháng 11]]</f>
        <v>0</v>
      </c>
      <c r="O7" s="105">
        <f>Table_KeHoach_SanLuong[[#Totals],[Tháng 12]]</f>
        <v>0</v>
      </c>
      <c r="P7" s="431"/>
      <c r="R7" s="74" t="s">
        <v>73</v>
      </c>
      <c r="S7" s="105"/>
      <c r="T7" s="105"/>
      <c r="V7" s="74" t="s">
        <v>73</v>
      </c>
      <c r="W7" s="105"/>
      <c r="X7" s="105"/>
    </row>
    <row r="8" spans="1:24" ht="18" customHeight="1" outlineLevel="1" x14ac:dyDescent="0.3">
      <c r="B8" s="87" t="s">
        <v>281</v>
      </c>
      <c r="C8" s="104" t="e">
        <f>(-C22/(C20/C7))/12</f>
        <v>#N/A</v>
      </c>
      <c r="D8" s="104" t="e">
        <f t="shared" ref="D8:O8" si="1">(-D22/(D20/D7))</f>
        <v>#N/A</v>
      </c>
      <c r="E8" s="104" t="e">
        <f t="shared" si="1"/>
        <v>#N/A</v>
      </c>
      <c r="F8" s="104" t="e">
        <f t="shared" si="1"/>
        <v>#N/A</v>
      </c>
      <c r="G8" s="104" t="e">
        <f t="shared" si="1"/>
        <v>#N/A</v>
      </c>
      <c r="H8" s="104" t="e">
        <f t="shared" si="1"/>
        <v>#N/A</v>
      </c>
      <c r="I8" s="104" t="e">
        <f t="shared" si="1"/>
        <v>#N/A</v>
      </c>
      <c r="J8" s="104" t="e">
        <f t="shared" si="1"/>
        <v>#N/A</v>
      </c>
      <c r="K8" s="104" t="e">
        <f t="shared" si="1"/>
        <v>#N/A</v>
      </c>
      <c r="L8" s="104" t="e">
        <f t="shared" si="1"/>
        <v>#N/A</v>
      </c>
      <c r="M8" s="104" t="e">
        <f t="shared" si="1"/>
        <v>#N/A</v>
      </c>
      <c r="N8" s="104" t="e">
        <f t="shared" si="1"/>
        <v>#N/A</v>
      </c>
      <c r="O8" s="104" t="e">
        <f t="shared" si="1"/>
        <v>#N/A</v>
      </c>
      <c r="P8" s="477"/>
      <c r="R8" s="87" t="s">
        <v>281</v>
      </c>
      <c r="S8" s="87"/>
      <c r="T8" s="104"/>
      <c r="V8" s="87" t="s">
        <v>281</v>
      </c>
      <c r="W8" s="104"/>
      <c r="X8" s="104"/>
    </row>
    <row r="9" spans="1:24" s="88" customFormat="1" ht="18" customHeight="1" outlineLevel="1" x14ac:dyDescent="0.3">
      <c r="A9" s="69"/>
      <c r="B9" s="87" t="s">
        <v>282</v>
      </c>
      <c r="C9" s="104" t="e">
        <f>(-C22/(C20/C7))/365</f>
        <v>#N/A</v>
      </c>
      <c r="D9" s="104" t="e">
        <f t="shared" ref="D9:O9" si="2">D8/_xlfn.DAYS(
DATE(YEAR(D$2),MONTH(D$2)+1,1),
DATE(YEAR(D$2),MONTH(D$2),1)
)</f>
        <v>#N/A</v>
      </c>
      <c r="E9" s="104" t="e">
        <f t="shared" si="2"/>
        <v>#N/A</v>
      </c>
      <c r="F9" s="104" t="e">
        <f t="shared" si="2"/>
        <v>#N/A</v>
      </c>
      <c r="G9" s="104" t="e">
        <f t="shared" si="2"/>
        <v>#N/A</v>
      </c>
      <c r="H9" s="104" t="e">
        <f t="shared" si="2"/>
        <v>#N/A</v>
      </c>
      <c r="I9" s="104" t="e">
        <f t="shared" si="2"/>
        <v>#N/A</v>
      </c>
      <c r="J9" s="104" t="e">
        <f t="shared" si="2"/>
        <v>#N/A</v>
      </c>
      <c r="K9" s="104" t="e">
        <f t="shared" si="2"/>
        <v>#N/A</v>
      </c>
      <c r="L9" s="104" t="e">
        <f t="shared" si="2"/>
        <v>#N/A</v>
      </c>
      <c r="M9" s="104" t="e">
        <f t="shared" si="2"/>
        <v>#N/A</v>
      </c>
      <c r="N9" s="104" t="e">
        <f t="shared" si="2"/>
        <v>#N/A</v>
      </c>
      <c r="O9" s="104" t="e">
        <f t="shared" si="2"/>
        <v>#N/A</v>
      </c>
      <c r="P9" s="477"/>
      <c r="R9" s="87" t="s">
        <v>282</v>
      </c>
      <c r="S9" s="87"/>
      <c r="T9" s="104"/>
      <c r="V9" s="87" t="s">
        <v>282</v>
      </c>
      <c r="W9" s="104"/>
      <c r="X9" s="104"/>
    </row>
    <row r="10" spans="1:24" s="88" customFormat="1" ht="18" customHeight="1" outlineLevel="1" x14ac:dyDescent="0.3">
      <c r="A10" s="69"/>
      <c r="B10" s="54" t="s">
        <v>75</v>
      </c>
      <c r="C10" s="101" t="e">
        <f>(C7/365)/C9-1</f>
        <v>#N/A</v>
      </c>
      <c r="D10" s="101" t="e">
        <f t="shared" ref="D10:O10" si="3">(D7/_xlfn.DAYS(
DATE(YEAR(D$2),MONTH(D$2)+1,1),
DATE(YEAR(D$2),MONTH(D$2),1)))/D9-1</f>
        <v>#N/A</v>
      </c>
      <c r="E10" s="101" t="e">
        <f t="shared" si="3"/>
        <v>#N/A</v>
      </c>
      <c r="F10" s="101" t="e">
        <f t="shared" si="3"/>
        <v>#N/A</v>
      </c>
      <c r="G10" s="101" t="e">
        <f t="shared" si="3"/>
        <v>#N/A</v>
      </c>
      <c r="H10" s="101" t="e">
        <f t="shared" si="3"/>
        <v>#N/A</v>
      </c>
      <c r="I10" s="101" t="e">
        <f t="shared" si="3"/>
        <v>#N/A</v>
      </c>
      <c r="J10" s="101" t="e">
        <f t="shared" si="3"/>
        <v>#N/A</v>
      </c>
      <c r="K10" s="101" t="e">
        <f t="shared" si="3"/>
        <v>#N/A</v>
      </c>
      <c r="L10" s="101" t="e">
        <f t="shared" si="3"/>
        <v>#N/A</v>
      </c>
      <c r="M10" s="101" t="e">
        <f t="shared" si="3"/>
        <v>#N/A</v>
      </c>
      <c r="N10" s="101" t="e">
        <f t="shared" si="3"/>
        <v>#N/A</v>
      </c>
      <c r="O10" s="101" t="e">
        <f t="shared" si="3"/>
        <v>#N/A</v>
      </c>
      <c r="P10" s="209"/>
      <c r="R10" s="54" t="s">
        <v>75</v>
      </c>
      <c r="S10" s="54"/>
      <c r="T10" s="101"/>
      <c r="V10" s="54" t="s">
        <v>75</v>
      </c>
      <c r="W10" s="101"/>
      <c r="X10" s="101"/>
    </row>
    <row r="11" spans="1:24" s="88" customFormat="1" ht="18" customHeight="1" outlineLevel="1" x14ac:dyDescent="0.3">
      <c r="A11" s="69"/>
      <c r="B11" s="74" t="s">
        <v>363</v>
      </c>
      <c r="C11" s="103" t="e">
        <f>SUM(Table_KeHoach_TuDong[[#This Row],[Tháng 1]:[Tháng 12]])</f>
        <v>#N/A</v>
      </c>
      <c r="D11" s="103" t="e">
        <f>+Table_KeHoach_DoanhThu[[#Totals],[Tháng 1]]+D69</f>
        <v>#N/A</v>
      </c>
      <c r="E11" s="103" t="e">
        <f>+Table_KeHoach_DoanhThu[[#Totals],[Tháng 2]]+E69</f>
        <v>#N/A</v>
      </c>
      <c r="F11" s="103" t="e">
        <f>+Table_KeHoach_DoanhThu[[#Totals],[Tháng 3]]+F69</f>
        <v>#N/A</v>
      </c>
      <c r="G11" s="103" t="e">
        <f>+Table_KeHoach_DoanhThu[[#Totals],[Tháng 4]]+G69</f>
        <v>#N/A</v>
      </c>
      <c r="H11" s="103" t="e">
        <f>+Table_KeHoach_DoanhThu[[#Totals],[Tháng 5]]+H69</f>
        <v>#N/A</v>
      </c>
      <c r="I11" s="103" t="e">
        <f>+Table_KeHoach_DoanhThu[[#Totals],[Tháng 6]]+I69</f>
        <v>#N/A</v>
      </c>
      <c r="J11" s="103" t="e">
        <f>+Table_KeHoach_DoanhThu[[#Totals],[Tháng 7]]+J69</f>
        <v>#N/A</v>
      </c>
      <c r="K11" s="103" t="e">
        <f>+Table_KeHoach_DoanhThu[[#Totals],[Tháng 8]]+K69</f>
        <v>#N/A</v>
      </c>
      <c r="L11" s="103" t="e">
        <f>+Table_KeHoach_DoanhThu[[#Totals],[Tháng 9]]+L69</f>
        <v>#N/A</v>
      </c>
      <c r="M11" s="103" t="e">
        <f>+Table_KeHoach_DoanhThu[[#Totals],[Tháng 10]]+M69</f>
        <v>#N/A</v>
      </c>
      <c r="N11" s="103" t="e">
        <f>+Table_KeHoach_DoanhThu[[#Totals],[Tháng 11]]+N69</f>
        <v>#N/A</v>
      </c>
      <c r="O11" s="103" t="e">
        <f>+Table_KeHoach_DoanhThu[[#Totals],[Tháng 12]]+O69</f>
        <v>#N/A</v>
      </c>
      <c r="P11" s="431"/>
      <c r="R11" s="74" t="s">
        <v>363</v>
      </c>
      <c r="S11" s="74"/>
      <c r="T11" s="327"/>
      <c r="V11" s="74" t="s">
        <v>363</v>
      </c>
      <c r="W11" s="103"/>
      <c r="X11" s="103"/>
    </row>
    <row r="12" spans="1:24" ht="18" customHeight="1" outlineLevel="1" x14ac:dyDescent="0.3">
      <c r="B12" s="99" t="s">
        <v>283</v>
      </c>
      <c r="C12" s="109">
        <f t="shared" ref="C12:O12" si="4">IFERROR((C11+C13)/C11,0)</f>
        <v>0</v>
      </c>
      <c r="D12" s="109">
        <f t="shared" si="4"/>
        <v>0</v>
      </c>
      <c r="E12" s="109">
        <f t="shared" si="4"/>
        <v>0</v>
      </c>
      <c r="F12" s="109">
        <f t="shared" si="4"/>
        <v>0</v>
      </c>
      <c r="G12" s="109">
        <f t="shared" si="4"/>
        <v>0</v>
      </c>
      <c r="H12" s="109">
        <f t="shared" si="4"/>
        <v>0</v>
      </c>
      <c r="I12" s="109">
        <f t="shared" si="4"/>
        <v>0</v>
      </c>
      <c r="J12" s="109">
        <f t="shared" si="4"/>
        <v>0</v>
      </c>
      <c r="K12" s="109">
        <f t="shared" si="4"/>
        <v>0</v>
      </c>
      <c r="L12" s="109">
        <f t="shared" si="4"/>
        <v>0</v>
      </c>
      <c r="M12" s="109">
        <f t="shared" si="4"/>
        <v>0</v>
      </c>
      <c r="N12" s="109">
        <f t="shared" si="4"/>
        <v>0</v>
      </c>
      <c r="O12" s="109">
        <f t="shared" si="4"/>
        <v>0</v>
      </c>
      <c r="P12" s="207"/>
      <c r="R12" s="99" t="s">
        <v>283</v>
      </c>
      <c r="S12" s="99"/>
      <c r="T12" s="109"/>
      <c r="V12" s="99" t="s">
        <v>283</v>
      </c>
      <c r="W12" s="109"/>
      <c r="X12" s="109"/>
    </row>
    <row r="13" spans="1:24" s="100" customFormat="1" ht="18" customHeight="1" outlineLevel="1" x14ac:dyDescent="0.3">
      <c r="B13" s="54" t="s">
        <v>77</v>
      </c>
      <c r="C13" s="102" t="e">
        <f>SUM(Table_KeHoach_TuDong[[#This Row],[Tháng 1]:[Tháng 12]])</f>
        <v>#N/A</v>
      </c>
      <c r="D13" s="102" t="e">
        <f t="shared" ref="D13:O13" si="5">SUM(D14:D19)</f>
        <v>#N/A</v>
      </c>
      <c r="E13" s="102" t="e">
        <f t="shared" si="5"/>
        <v>#N/A</v>
      </c>
      <c r="F13" s="102" t="e">
        <f t="shared" si="5"/>
        <v>#N/A</v>
      </c>
      <c r="G13" s="102" t="e">
        <f t="shared" si="5"/>
        <v>#N/A</v>
      </c>
      <c r="H13" s="102" t="e">
        <f t="shared" si="5"/>
        <v>#N/A</v>
      </c>
      <c r="I13" s="102" t="e">
        <f t="shared" si="5"/>
        <v>#N/A</v>
      </c>
      <c r="J13" s="102" t="e">
        <f t="shared" si="5"/>
        <v>#N/A</v>
      </c>
      <c r="K13" s="102" t="e">
        <f t="shared" si="5"/>
        <v>#N/A</v>
      </c>
      <c r="L13" s="102" t="e">
        <f t="shared" si="5"/>
        <v>#N/A</v>
      </c>
      <c r="M13" s="102" t="e">
        <f t="shared" si="5"/>
        <v>#N/A</v>
      </c>
      <c r="N13" s="102" t="e">
        <f t="shared" si="5"/>
        <v>#N/A</v>
      </c>
      <c r="O13" s="102" t="e">
        <f t="shared" si="5"/>
        <v>#N/A</v>
      </c>
      <c r="P13" s="207"/>
      <c r="R13" s="54" t="s">
        <v>77</v>
      </c>
      <c r="S13" s="54"/>
      <c r="T13" s="322"/>
      <c r="V13" s="54" t="s">
        <v>77</v>
      </c>
      <c r="W13" s="102"/>
      <c r="X13" s="102"/>
    </row>
    <row r="14" spans="1:24" ht="18" customHeight="1" outlineLevel="2" x14ac:dyDescent="0.3">
      <c r="B14" s="73" t="s">
        <v>285</v>
      </c>
      <c r="C14" s="107">
        <f>SUM(Table_KeHoach_TuDong[[#This Row],[Tháng 1]:[Tháng 12]])</f>
        <v>0</v>
      </c>
      <c r="D14" s="107">
        <f>Table_KeHoach_ChiPhiSKU[[#Totals],[Tháng 1]]+Table_KeHoach_ChiPhiVatTuSX[[#Totals],[Tháng 1]]</f>
        <v>0</v>
      </c>
      <c r="E14" s="107">
        <f>Table_KeHoach_ChiPhiSKU[[#Totals],[Tháng 2]]+Table_KeHoach_ChiPhiVatTuSX[[#Totals],[Tháng 2]]</f>
        <v>0</v>
      </c>
      <c r="F14" s="107">
        <f>Table_KeHoach_ChiPhiSKU[[#Totals],[Tháng 3]]+Table_KeHoach_ChiPhiVatTuSX[[#Totals],[Tháng 3]]</f>
        <v>0</v>
      </c>
      <c r="G14" s="107">
        <f>Table_KeHoach_ChiPhiSKU[[#Totals],[Tháng 4]]+Table_KeHoach_ChiPhiVatTuSX[[#Totals],[Tháng 4]]</f>
        <v>0</v>
      </c>
      <c r="H14" s="107">
        <f>Table_KeHoach_ChiPhiSKU[[#Totals],[Tháng 5]]+Table_KeHoach_ChiPhiVatTuSX[[#Totals],[Tháng 5]]</f>
        <v>0</v>
      </c>
      <c r="I14" s="107">
        <f>Table_KeHoach_ChiPhiSKU[[#Totals],[Tháng 6]]+Table_KeHoach_ChiPhiVatTuSX[[#Totals],[Tháng 6]]</f>
        <v>0</v>
      </c>
      <c r="J14" s="107">
        <f>Table_KeHoach_ChiPhiSKU[[#Totals],[Tháng 7]]+Table_KeHoach_ChiPhiVatTuSX[[#Totals],[Tháng 7]]</f>
        <v>0</v>
      </c>
      <c r="K14" s="107">
        <f>Table_KeHoach_ChiPhiSKU[[#Totals],[Tháng 8]]+Table_KeHoach_ChiPhiVatTuSX[[#Totals],[Tháng 8]]</f>
        <v>0</v>
      </c>
      <c r="L14" s="107">
        <f>Table_KeHoach_ChiPhiSKU[[#Totals],[Tháng 9]]+Table_KeHoach_ChiPhiVatTuSX[[#Totals],[Tháng 9]]</f>
        <v>0</v>
      </c>
      <c r="M14" s="107">
        <f>Table_KeHoach_ChiPhiSKU[[#Totals],[Tháng 10]]+Table_KeHoach_ChiPhiVatTuSX[[#Totals],[Tháng 10]]</f>
        <v>0</v>
      </c>
      <c r="N14" s="107">
        <f>Table_KeHoach_ChiPhiSKU[[#Totals],[Tháng 11]]+Table_KeHoach_ChiPhiVatTuSX[[#Totals],[Tháng 11]]</f>
        <v>0</v>
      </c>
      <c r="O14" s="107">
        <f>Table_KeHoach_ChiPhiSKU[[#Totals],[Tháng 12]]+Table_KeHoach_ChiPhiVatTuSX[[#Totals],[Tháng 12]]</f>
        <v>0</v>
      </c>
      <c r="P14" s="207"/>
      <c r="R14" s="73" t="s">
        <v>285</v>
      </c>
      <c r="S14" s="73"/>
      <c r="T14" s="328"/>
      <c r="V14" s="73" t="s">
        <v>285</v>
      </c>
      <c r="W14" s="107"/>
      <c r="X14" s="107"/>
    </row>
    <row r="15" spans="1:24" s="41" customFormat="1" ht="18" customHeight="1" outlineLevel="2" x14ac:dyDescent="0.3">
      <c r="B15" s="73" t="s">
        <v>286</v>
      </c>
      <c r="C15" s="107">
        <f>SUM(Table_KeHoach_TuDong[[#This Row],[Tháng 1]:[Tháng 12]])</f>
        <v>0</v>
      </c>
      <c r="D15" s="108">
        <f>Table_KeHoach_ChiPhiTienIchSX[[#Totals],[Tháng 1]]</f>
        <v>0</v>
      </c>
      <c r="E15" s="108">
        <f>Table_KeHoach_ChiPhiTienIchSX[[#Totals],[Tháng 2]]</f>
        <v>0</v>
      </c>
      <c r="F15" s="108">
        <f>Table_KeHoach_ChiPhiTienIchSX[[#Totals],[Tháng 3]]</f>
        <v>0</v>
      </c>
      <c r="G15" s="108">
        <f>Table_KeHoach_ChiPhiTienIchSX[[#Totals],[Tháng 4]]</f>
        <v>0</v>
      </c>
      <c r="H15" s="108">
        <f>Table_KeHoach_ChiPhiTienIchSX[[#Totals],[Tháng 5]]</f>
        <v>0</v>
      </c>
      <c r="I15" s="108">
        <f>Table_KeHoach_ChiPhiTienIchSX[[#Totals],[Tháng 6]]</f>
        <v>0</v>
      </c>
      <c r="J15" s="108">
        <f>Table_KeHoach_ChiPhiTienIchSX[[#Totals],[Tháng 7]]</f>
        <v>0</v>
      </c>
      <c r="K15" s="108">
        <f>Table_KeHoach_ChiPhiTienIchSX[[#Totals],[Tháng 8]]</f>
        <v>0</v>
      </c>
      <c r="L15" s="108">
        <f>Table_KeHoach_ChiPhiTienIchSX[[#Totals],[Tháng 9]]</f>
        <v>0</v>
      </c>
      <c r="M15" s="108">
        <f>Table_KeHoach_ChiPhiTienIchSX[[#Totals],[Tháng 10]]</f>
        <v>0</v>
      </c>
      <c r="N15" s="108">
        <f>Table_KeHoach_ChiPhiTienIchSX[[#Totals],[Tháng 11]]</f>
        <v>0</v>
      </c>
      <c r="O15" s="108">
        <f>Table_KeHoach_ChiPhiTienIchSX[[#Totals],[Tháng 12]]</f>
        <v>0</v>
      </c>
      <c r="P15" s="207"/>
      <c r="R15" s="73" t="s">
        <v>286</v>
      </c>
      <c r="S15" s="73"/>
      <c r="T15" s="328"/>
      <c r="V15" s="73" t="s">
        <v>286</v>
      </c>
      <c r="W15" s="108"/>
      <c r="X15" s="108"/>
    </row>
    <row r="16" spans="1:24" ht="18" customHeight="1" outlineLevel="2" x14ac:dyDescent="0.3">
      <c r="B16" s="73" t="s">
        <v>287</v>
      </c>
      <c r="C16" s="107" t="e">
        <f>SUM(Table_KeHoach_TuDong[[#This Row],[Tháng 1]:[Tháng 12]])</f>
        <v>#N/A</v>
      </c>
      <c r="D16" s="107" t="e">
        <f>Table_KeHoach_ChiPhiHoaHong[[#Totals],[Tháng 1]]</f>
        <v>#N/A</v>
      </c>
      <c r="E16" s="107" t="e">
        <f>Table_KeHoach_ChiPhiHoaHong[[#Totals],[Tháng 2]]</f>
        <v>#N/A</v>
      </c>
      <c r="F16" s="107" t="e">
        <f>Table_KeHoach_ChiPhiHoaHong[[#Totals],[Tháng 3]]</f>
        <v>#N/A</v>
      </c>
      <c r="G16" s="107" t="e">
        <f>Table_KeHoach_ChiPhiHoaHong[[#Totals],[Tháng 4]]</f>
        <v>#N/A</v>
      </c>
      <c r="H16" s="107" t="e">
        <f>Table_KeHoach_ChiPhiHoaHong[[#Totals],[Tháng 5]]</f>
        <v>#N/A</v>
      </c>
      <c r="I16" s="107" t="e">
        <f>Table_KeHoach_ChiPhiHoaHong[[#Totals],[Tháng 6]]</f>
        <v>#N/A</v>
      </c>
      <c r="J16" s="107" t="e">
        <f>Table_KeHoach_ChiPhiHoaHong[[#Totals],[Tháng 7]]</f>
        <v>#N/A</v>
      </c>
      <c r="K16" s="107" t="e">
        <f>Table_KeHoach_ChiPhiHoaHong[[#Totals],[Tháng 8]]</f>
        <v>#N/A</v>
      </c>
      <c r="L16" s="107" t="e">
        <f>Table_KeHoach_ChiPhiHoaHong[[#Totals],[Tháng 9]]</f>
        <v>#N/A</v>
      </c>
      <c r="M16" s="107" t="e">
        <f>Table_KeHoach_ChiPhiHoaHong[[#Totals],[Tháng 10]]</f>
        <v>#N/A</v>
      </c>
      <c r="N16" s="107" t="e">
        <f>Table_KeHoach_ChiPhiHoaHong[[#Totals],[Tháng 11]]</f>
        <v>#N/A</v>
      </c>
      <c r="O16" s="107" t="e">
        <f>Table_KeHoach_ChiPhiHoaHong[[#Totals],[Tháng 12]]</f>
        <v>#N/A</v>
      </c>
      <c r="P16" s="208"/>
      <c r="R16" s="73" t="s">
        <v>287</v>
      </c>
      <c r="S16" s="73"/>
      <c r="T16" s="328"/>
      <c r="V16" s="73" t="s">
        <v>287</v>
      </c>
      <c r="W16" s="107"/>
      <c r="X16" s="107"/>
    </row>
    <row r="17" spans="2:24" ht="18" customHeight="1" outlineLevel="2" x14ac:dyDescent="0.3">
      <c r="B17" s="73" t="s">
        <v>288</v>
      </c>
      <c r="C17" s="107">
        <f>SUM(Table_KeHoach_TuDong[[#This Row],[Tháng 1]:[Tháng 12]])</f>
        <v>0</v>
      </c>
      <c r="D17" s="108">
        <f>Table_KeHoach_ThuongNhanSu[[#Totals],[Tháng 1]]</f>
        <v>0</v>
      </c>
      <c r="E17" s="108">
        <f>Table_KeHoach_ThuongNhanSu[[#Totals],[Tháng 2]]</f>
        <v>0</v>
      </c>
      <c r="F17" s="108">
        <f>Table_KeHoach_ThuongNhanSu[[#Totals],[Tháng 3]]</f>
        <v>0</v>
      </c>
      <c r="G17" s="108">
        <f>Table_KeHoach_ThuongNhanSu[[#Totals],[Tháng 4]]</f>
        <v>0</v>
      </c>
      <c r="H17" s="108">
        <f>Table_KeHoach_ThuongNhanSu[[#Totals],[Tháng 5]]</f>
        <v>0</v>
      </c>
      <c r="I17" s="108">
        <f>Table_KeHoach_ThuongNhanSu[[#Totals],[Tháng 6]]</f>
        <v>0</v>
      </c>
      <c r="J17" s="108">
        <f>Table_KeHoach_ThuongNhanSu[[#Totals],[Tháng 7]]</f>
        <v>0</v>
      </c>
      <c r="K17" s="108">
        <f>Table_KeHoach_ThuongNhanSu[[#Totals],[Tháng 8]]</f>
        <v>0</v>
      </c>
      <c r="L17" s="108">
        <f>Table_KeHoach_ThuongNhanSu[[#Totals],[Tháng 9]]</f>
        <v>0</v>
      </c>
      <c r="M17" s="108">
        <f>Table_KeHoach_ThuongNhanSu[[#Totals],[Tháng 10]]</f>
        <v>0</v>
      </c>
      <c r="N17" s="108">
        <f>Table_KeHoach_ThuongNhanSu[[#Totals],[Tháng 11]]</f>
        <v>0</v>
      </c>
      <c r="O17" s="108">
        <f>Table_KeHoach_ThuongNhanSu[[#Totals],[Tháng 12]]</f>
        <v>0</v>
      </c>
      <c r="P17" s="207"/>
      <c r="R17" s="73" t="s">
        <v>288</v>
      </c>
      <c r="S17" s="73"/>
      <c r="T17" s="328"/>
      <c r="V17" s="73" t="s">
        <v>288</v>
      </c>
      <c r="W17" s="108"/>
      <c r="X17" s="108"/>
    </row>
    <row r="18" spans="2:24" s="41" customFormat="1" ht="18" customHeight="1" outlineLevel="2" x14ac:dyDescent="0.3">
      <c r="B18" s="73" t="s">
        <v>289</v>
      </c>
      <c r="C18" s="107" t="e">
        <f>SUM(Table_KeHoach_TuDong[[#This Row],[Tháng 1]:[Tháng 12]])</f>
        <v>#N/A</v>
      </c>
      <c r="D18" s="108" t="e">
        <f>Table_KeHoach_ChiPhiThanhToan[[#Totals],[Tháng 1]]</f>
        <v>#N/A</v>
      </c>
      <c r="E18" s="108" t="e">
        <f>Table_KeHoach_ChiPhiThanhToan[[#Totals],[Tháng 2]]</f>
        <v>#N/A</v>
      </c>
      <c r="F18" s="108" t="e">
        <f>Table_KeHoach_ChiPhiThanhToan[[#Totals],[Tháng 3]]</f>
        <v>#N/A</v>
      </c>
      <c r="G18" s="108" t="e">
        <f>Table_KeHoach_ChiPhiThanhToan[[#Totals],[Tháng 4]]</f>
        <v>#N/A</v>
      </c>
      <c r="H18" s="108" t="e">
        <f>Table_KeHoach_ChiPhiThanhToan[[#Totals],[Tháng 5]]</f>
        <v>#N/A</v>
      </c>
      <c r="I18" s="108" t="e">
        <f>Table_KeHoach_ChiPhiThanhToan[[#Totals],[Tháng 6]]</f>
        <v>#N/A</v>
      </c>
      <c r="J18" s="108" t="e">
        <f>Table_KeHoach_ChiPhiThanhToan[[#Totals],[Tháng 7]]</f>
        <v>#N/A</v>
      </c>
      <c r="K18" s="108" t="e">
        <f>Table_KeHoach_ChiPhiThanhToan[[#Totals],[Tháng 8]]</f>
        <v>#N/A</v>
      </c>
      <c r="L18" s="108" t="e">
        <f>Table_KeHoach_ChiPhiThanhToan[[#Totals],[Tháng 9]]</f>
        <v>#N/A</v>
      </c>
      <c r="M18" s="108" t="e">
        <f>Table_KeHoach_ChiPhiThanhToan[[#Totals],[Tháng 10]]</f>
        <v>#N/A</v>
      </c>
      <c r="N18" s="108" t="e">
        <f>Table_KeHoach_ChiPhiThanhToan[[#Totals],[Tháng 11]]</f>
        <v>#N/A</v>
      </c>
      <c r="O18" s="108" t="e">
        <f>Table_KeHoach_ChiPhiThanhToan[[#Totals],[Tháng 12]]</f>
        <v>#N/A</v>
      </c>
      <c r="P18" s="207"/>
      <c r="R18" s="73" t="s">
        <v>289</v>
      </c>
      <c r="S18" s="73"/>
      <c r="T18" s="328"/>
      <c r="V18" s="73" t="s">
        <v>289</v>
      </c>
      <c r="W18" s="108"/>
      <c r="X18" s="108"/>
    </row>
    <row r="19" spans="2:24" ht="18" customHeight="1" outlineLevel="2" x14ac:dyDescent="0.3">
      <c r="B19" s="73" t="s">
        <v>290</v>
      </c>
      <c r="C19" s="107" t="e">
        <f>SUM(Table_KeHoach_TuDong[[#This Row],[Tháng 1]:[Tháng 12]])</f>
        <v>#N/A</v>
      </c>
      <c r="D19" s="107" t="e">
        <f>D121</f>
        <v>#N/A</v>
      </c>
      <c r="E19" s="107" t="e">
        <f t="shared" ref="E19:O19" si="6">E121</f>
        <v>#N/A</v>
      </c>
      <c r="F19" s="107" t="e">
        <f t="shared" si="6"/>
        <v>#N/A</v>
      </c>
      <c r="G19" s="107" t="e">
        <f t="shared" si="6"/>
        <v>#N/A</v>
      </c>
      <c r="H19" s="107" t="e">
        <f t="shared" si="6"/>
        <v>#N/A</v>
      </c>
      <c r="I19" s="107" t="e">
        <f t="shared" si="6"/>
        <v>#N/A</v>
      </c>
      <c r="J19" s="107" t="e">
        <f t="shared" si="6"/>
        <v>#N/A</v>
      </c>
      <c r="K19" s="107" t="e">
        <f t="shared" si="6"/>
        <v>#N/A</v>
      </c>
      <c r="L19" s="107" t="e">
        <f t="shared" si="6"/>
        <v>#N/A</v>
      </c>
      <c r="M19" s="107" t="e">
        <f t="shared" si="6"/>
        <v>#N/A</v>
      </c>
      <c r="N19" s="107" t="e">
        <f t="shared" si="6"/>
        <v>#N/A</v>
      </c>
      <c r="O19" s="107" t="e">
        <f t="shared" si="6"/>
        <v>#N/A</v>
      </c>
      <c r="P19" s="207"/>
      <c r="R19" s="73" t="s">
        <v>290</v>
      </c>
      <c r="S19" s="73"/>
      <c r="T19" s="328"/>
      <c r="V19" s="73" t="s">
        <v>290</v>
      </c>
      <c r="W19" s="107"/>
      <c r="X19" s="107"/>
    </row>
    <row r="20" spans="2:24" ht="18" customHeight="1" outlineLevel="2" x14ac:dyDescent="0.3">
      <c r="B20" s="74" t="s">
        <v>84</v>
      </c>
      <c r="C20" s="103" t="e">
        <f>SUM(Table_KeHoach_TuDong[[#This Row],[Tháng 1]:[Tháng 12]])</f>
        <v>#N/A</v>
      </c>
      <c r="D20" s="103" t="e">
        <f t="shared" ref="D20:O20" si="7">+D11+D13</f>
        <v>#N/A</v>
      </c>
      <c r="E20" s="103" t="e">
        <f t="shared" si="7"/>
        <v>#N/A</v>
      </c>
      <c r="F20" s="103" t="e">
        <f t="shared" si="7"/>
        <v>#N/A</v>
      </c>
      <c r="G20" s="103" t="e">
        <f t="shared" si="7"/>
        <v>#N/A</v>
      </c>
      <c r="H20" s="103" t="e">
        <f t="shared" si="7"/>
        <v>#N/A</v>
      </c>
      <c r="I20" s="103" t="e">
        <f t="shared" si="7"/>
        <v>#N/A</v>
      </c>
      <c r="J20" s="103" t="e">
        <f t="shared" si="7"/>
        <v>#N/A</v>
      </c>
      <c r="K20" s="103" t="e">
        <f t="shared" si="7"/>
        <v>#N/A</v>
      </c>
      <c r="L20" s="103" t="e">
        <f t="shared" si="7"/>
        <v>#N/A</v>
      </c>
      <c r="M20" s="103" t="e">
        <f t="shared" si="7"/>
        <v>#N/A</v>
      </c>
      <c r="N20" s="103" t="e">
        <f t="shared" si="7"/>
        <v>#N/A</v>
      </c>
      <c r="O20" s="103" t="e">
        <f t="shared" si="7"/>
        <v>#N/A</v>
      </c>
      <c r="P20" s="207"/>
      <c r="R20" s="74" t="s">
        <v>84</v>
      </c>
      <c r="S20" s="74"/>
      <c r="T20" s="327"/>
      <c r="V20" s="74" t="s">
        <v>84</v>
      </c>
      <c r="W20" s="103"/>
      <c r="X20" s="103"/>
    </row>
    <row r="21" spans="2:24" ht="18" customHeight="1" outlineLevel="1" x14ac:dyDescent="0.3">
      <c r="B21" s="99" t="s">
        <v>291</v>
      </c>
      <c r="C21" s="109">
        <f t="shared" ref="C21:O21" si="8">IFERROR(C22/(C22+C13),0)</f>
        <v>0</v>
      </c>
      <c r="D21" s="109">
        <f t="shared" si="8"/>
        <v>0</v>
      </c>
      <c r="E21" s="109">
        <f t="shared" si="8"/>
        <v>0</v>
      </c>
      <c r="F21" s="109">
        <f t="shared" si="8"/>
        <v>0</v>
      </c>
      <c r="G21" s="109">
        <f t="shared" si="8"/>
        <v>0</v>
      </c>
      <c r="H21" s="109">
        <f t="shared" si="8"/>
        <v>0</v>
      </c>
      <c r="I21" s="109">
        <f t="shared" si="8"/>
        <v>0</v>
      </c>
      <c r="J21" s="109">
        <f t="shared" si="8"/>
        <v>0</v>
      </c>
      <c r="K21" s="109">
        <f t="shared" si="8"/>
        <v>0</v>
      </c>
      <c r="L21" s="109">
        <f t="shared" si="8"/>
        <v>0</v>
      </c>
      <c r="M21" s="109">
        <f t="shared" si="8"/>
        <v>0</v>
      </c>
      <c r="N21" s="109">
        <f t="shared" si="8"/>
        <v>0</v>
      </c>
      <c r="O21" s="109">
        <f t="shared" si="8"/>
        <v>0</v>
      </c>
      <c r="P21" s="207"/>
      <c r="R21" s="99" t="s">
        <v>291</v>
      </c>
      <c r="S21" s="99"/>
      <c r="T21" s="109"/>
      <c r="V21" s="99" t="s">
        <v>291</v>
      </c>
      <c r="W21" s="109"/>
      <c r="X21" s="109"/>
    </row>
    <row r="22" spans="2:24" s="53" customFormat="1" ht="18" customHeight="1" outlineLevel="1" x14ac:dyDescent="0.3">
      <c r="B22" s="54" t="s">
        <v>86</v>
      </c>
      <c r="C22" s="102" t="e">
        <f>SUM(Table_KeHoach_TuDong[[#This Row],[Tháng 1]:[Tháng 12]])</f>
        <v>#N/A</v>
      </c>
      <c r="D22" s="102" t="e">
        <f t="shared" ref="D22:O22" si="9">+SUM(D23:D31)</f>
        <v>#N/A</v>
      </c>
      <c r="E22" s="102" t="e">
        <f t="shared" si="9"/>
        <v>#N/A</v>
      </c>
      <c r="F22" s="102" t="e">
        <f t="shared" si="9"/>
        <v>#N/A</v>
      </c>
      <c r="G22" s="102" t="e">
        <f t="shared" si="9"/>
        <v>#N/A</v>
      </c>
      <c r="H22" s="102" t="e">
        <f t="shared" si="9"/>
        <v>#N/A</v>
      </c>
      <c r="I22" s="102" t="e">
        <f t="shared" si="9"/>
        <v>#N/A</v>
      </c>
      <c r="J22" s="102" t="e">
        <f t="shared" si="9"/>
        <v>#N/A</v>
      </c>
      <c r="K22" s="102" t="e">
        <f t="shared" si="9"/>
        <v>#N/A</v>
      </c>
      <c r="L22" s="102" t="e">
        <f t="shared" si="9"/>
        <v>#N/A</v>
      </c>
      <c r="M22" s="102" t="e">
        <f t="shared" si="9"/>
        <v>#N/A</v>
      </c>
      <c r="N22" s="102" t="e">
        <f t="shared" si="9"/>
        <v>#N/A</v>
      </c>
      <c r="O22" s="102" t="e">
        <f t="shared" si="9"/>
        <v>#N/A</v>
      </c>
      <c r="P22" s="207"/>
      <c r="R22" s="54" t="s">
        <v>86</v>
      </c>
      <c r="S22" s="54"/>
      <c r="T22" s="322"/>
      <c r="V22" s="54" t="s">
        <v>86</v>
      </c>
      <c r="W22" s="102"/>
      <c r="X22" s="102"/>
    </row>
    <row r="23" spans="2:24" s="53" customFormat="1" ht="18" customHeight="1" outlineLevel="1" x14ac:dyDescent="0.3">
      <c r="B23" s="73" t="s">
        <v>292</v>
      </c>
      <c r="C23" s="107" t="e">
        <f>SUM(Table_KeHoach_TuDong[[#This Row],[Tháng 1]:[Tháng 12]])</f>
        <v>#N/A</v>
      </c>
      <c r="D23" s="107" t="e">
        <f>Table_KeHoach_LuongGross[[#Totals],[Tháng 1]]</f>
        <v>#N/A</v>
      </c>
      <c r="E23" s="107" t="e">
        <f>Table_KeHoach_LuongGross[[#Totals],[Tháng 2]]</f>
        <v>#N/A</v>
      </c>
      <c r="F23" s="107" t="e">
        <f>Table_KeHoach_LuongGross[[#Totals],[Tháng 3]]</f>
        <v>#N/A</v>
      </c>
      <c r="G23" s="107" t="e">
        <f>Table_KeHoach_LuongGross[[#Totals],[Tháng 4]]</f>
        <v>#N/A</v>
      </c>
      <c r="H23" s="107" t="e">
        <f>Table_KeHoach_LuongGross[[#Totals],[Tháng 5]]</f>
        <v>#N/A</v>
      </c>
      <c r="I23" s="107" t="e">
        <f>Table_KeHoach_LuongGross[[#Totals],[Tháng 6]]</f>
        <v>#N/A</v>
      </c>
      <c r="J23" s="107" t="e">
        <f>Table_KeHoach_LuongGross[[#Totals],[Tháng 7]]</f>
        <v>#N/A</v>
      </c>
      <c r="K23" s="107" t="e">
        <f>Table_KeHoach_LuongGross[[#Totals],[Tháng 8]]</f>
        <v>#N/A</v>
      </c>
      <c r="L23" s="107" t="e">
        <f>Table_KeHoach_LuongGross[[#Totals],[Tháng 9]]</f>
        <v>#N/A</v>
      </c>
      <c r="M23" s="107" t="e">
        <f>Table_KeHoach_LuongGross[[#Totals],[Tháng 10]]</f>
        <v>#N/A</v>
      </c>
      <c r="N23" s="107" t="e">
        <f>Table_KeHoach_LuongGross[[#Totals],[Tháng 11]]</f>
        <v>#N/A</v>
      </c>
      <c r="O23" s="107" t="e">
        <f>Table_KeHoach_LuongGross[[#Totals],[Tháng 12]]</f>
        <v>#N/A</v>
      </c>
      <c r="P23" s="207"/>
      <c r="R23" s="73" t="s">
        <v>292</v>
      </c>
      <c r="S23" s="73"/>
      <c r="T23" s="328"/>
      <c r="V23" s="73" t="s">
        <v>292</v>
      </c>
      <c r="W23" s="107"/>
      <c r="X23" s="107"/>
    </row>
    <row r="24" spans="2:24" s="100" customFormat="1" ht="18" customHeight="1" outlineLevel="2" x14ac:dyDescent="0.3">
      <c r="B24" s="73" t="s">
        <v>293</v>
      </c>
      <c r="C24" s="107">
        <f>SUM(Table_KeHoach_TuDong[[#This Row],[Tháng 1]:[Tháng 12]])</f>
        <v>0</v>
      </c>
      <c r="D24" s="107">
        <f>Table_KeHoach_ChiPhiVatTuVP[[#Totals],[Tháng 1]]</f>
        <v>0</v>
      </c>
      <c r="E24" s="107">
        <f>Table_KeHoach_ChiPhiVatTuVP[[#Totals],[Tháng 2]]</f>
        <v>0</v>
      </c>
      <c r="F24" s="107">
        <f>Table_KeHoach_ChiPhiVatTuVP[[#Totals],[Tháng 3]]</f>
        <v>0</v>
      </c>
      <c r="G24" s="107">
        <f>Table_KeHoach_ChiPhiVatTuVP[[#Totals],[Tháng 4]]</f>
        <v>0</v>
      </c>
      <c r="H24" s="107">
        <f>Table_KeHoach_ChiPhiVatTuVP[[#Totals],[Tháng 5]]</f>
        <v>0</v>
      </c>
      <c r="I24" s="107">
        <f>Table_KeHoach_ChiPhiVatTuVP[[#Totals],[Tháng 6]]</f>
        <v>0</v>
      </c>
      <c r="J24" s="107">
        <f>Table_KeHoach_ChiPhiVatTuVP[[#Totals],[Tháng 7]]</f>
        <v>0</v>
      </c>
      <c r="K24" s="107">
        <f>Table_KeHoach_ChiPhiVatTuVP[[#Totals],[Tháng 8]]</f>
        <v>0</v>
      </c>
      <c r="L24" s="107">
        <f>Table_KeHoach_ChiPhiVatTuVP[[#Totals],[Tháng 9]]</f>
        <v>0</v>
      </c>
      <c r="M24" s="107">
        <f>Table_KeHoach_ChiPhiVatTuVP[[#Totals],[Tháng 10]]</f>
        <v>0</v>
      </c>
      <c r="N24" s="107">
        <f>Table_KeHoach_ChiPhiVatTuVP[[#Totals],[Tháng 11]]</f>
        <v>0</v>
      </c>
      <c r="O24" s="107">
        <f>Table_KeHoach_ChiPhiVatTuVP[[#Totals],[Tháng 12]]</f>
        <v>0</v>
      </c>
      <c r="P24" s="207"/>
      <c r="R24" s="73" t="s">
        <v>293</v>
      </c>
      <c r="S24" s="73"/>
      <c r="T24" s="328"/>
      <c r="V24" s="73" t="s">
        <v>293</v>
      </c>
      <c r="W24" s="107"/>
      <c r="X24" s="107"/>
    </row>
    <row r="25" spans="2:24" s="53" customFormat="1" ht="18" customHeight="1" outlineLevel="2" x14ac:dyDescent="0.3">
      <c r="B25" s="73" t="s">
        <v>353</v>
      </c>
      <c r="C25" s="107">
        <f>SUM(Table_KeHoach_TuDong[[#This Row],[Tháng 1]:[Tháng 12]])</f>
        <v>0</v>
      </c>
      <c r="D25" s="430">
        <f t="shared" ref="D25:O25" si="10">+D139</f>
        <v>0</v>
      </c>
      <c r="E25" s="430">
        <f t="shared" si="10"/>
        <v>0</v>
      </c>
      <c r="F25" s="430">
        <f t="shared" si="10"/>
        <v>0</v>
      </c>
      <c r="G25" s="430">
        <f t="shared" si="10"/>
        <v>0</v>
      </c>
      <c r="H25" s="430">
        <f t="shared" si="10"/>
        <v>0</v>
      </c>
      <c r="I25" s="430">
        <f t="shared" si="10"/>
        <v>0</v>
      </c>
      <c r="J25" s="430">
        <f t="shared" si="10"/>
        <v>0</v>
      </c>
      <c r="K25" s="430">
        <f t="shared" si="10"/>
        <v>0</v>
      </c>
      <c r="L25" s="430">
        <f t="shared" si="10"/>
        <v>0</v>
      </c>
      <c r="M25" s="430">
        <f t="shared" si="10"/>
        <v>0</v>
      </c>
      <c r="N25" s="430">
        <f t="shared" si="10"/>
        <v>0</v>
      </c>
      <c r="O25" s="430">
        <f t="shared" si="10"/>
        <v>0</v>
      </c>
      <c r="P25" s="431"/>
      <c r="R25" s="73" t="s">
        <v>353</v>
      </c>
      <c r="S25" s="73"/>
      <c r="T25" s="328"/>
      <c r="V25" s="73" t="s">
        <v>353</v>
      </c>
      <c r="W25" s="430"/>
      <c r="X25" s="430"/>
    </row>
    <row r="26" spans="2:24" ht="18" customHeight="1" outlineLevel="2" x14ac:dyDescent="0.3">
      <c r="B26" s="73" t="s">
        <v>294</v>
      </c>
      <c r="C26" s="107">
        <f>SUM(Table_KeHoach_TuDong[[#This Row],[Tháng 1]:[Tháng 12]])</f>
        <v>0</v>
      </c>
      <c r="D26" s="107">
        <f t="shared" ref="D26:O26" si="11">+SUM(D140:D141)</f>
        <v>0</v>
      </c>
      <c r="E26" s="107">
        <f t="shared" si="11"/>
        <v>0</v>
      </c>
      <c r="F26" s="107">
        <f t="shared" si="11"/>
        <v>0</v>
      </c>
      <c r="G26" s="107">
        <f t="shared" si="11"/>
        <v>0</v>
      </c>
      <c r="H26" s="107">
        <f t="shared" si="11"/>
        <v>0</v>
      </c>
      <c r="I26" s="107">
        <f t="shared" si="11"/>
        <v>0</v>
      </c>
      <c r="J26" s="107">
        <f t="shared" si="11"/>
        <v>0</v>
      </c>
      <c r="K26" s="107">
        <f t="shared" si="11"/>
        <v>0</v>
      </c>
      <c r="L26" s="107">
        <f t="shared" si="11"/>
        <v>0</v>
      </c>
      <c r="M26" s="107">
        <f t="shared" si="11"/>
        <v>0</v>
      </c>
      <c r="N26" s="107">
        <f t="shared" si="11"/>
        <v>0</v>
      </c>
      <c r="O26" s="107">
        <f t="shared" si="11"/>
        <v>0</v>
      </c>
      <c r="P26" s="207"/>
      <c r="R26" s="73" t="s">
        <v>294</v>
      </c>
      <c r="S26" s="73"/>
      <c r="T26" s="328"/>
      <c r="V26" s="73" t="s">
        <v>294</v>
      </c>
      <c r="W26" s="107"/>
      <c r="X26" s="107"/>
    </row>
    <row r="27" spans="2:24" ht="18" customHeight="1" outlineLevel="2" x14ac:dyDescent="0.3">
      <c r="B27" s="73" t="s">
        <v>295</v>
      </c>
      <c r="C27" s="107">
        <f>SUM(Table_KeHoach_TuDong[[#This Row],[Tháng 1]:[Tháng 12]])</f>
        <v>0</v>
      </c>
      <c r="D27" s="107">
        <f>Table_KeHoach_ChiPhiKhac[[#Totals],[Tháng 1]]</f>
        <v>0</v>
      </c>
      <c r="E27" s="107">
        <f>Table_KeHoach_ChiPhiKhac[[#Totals],[Tháng 2]]</f>
        <v>0</v>
      </c>
      <c r="F27" s="107">
        <f>Table_KeHoach_ChiPhiKhac[[#Totals],[Tháng 3]]</f>
        <v>0</v>
      </c>
      <c r="G27" s="107">
        <f>Table_KeHoach_ChiPhiKhac[[#Totals],[Tháng 4]]</f>
        <v>0</v>
      </c>
      <c r="H27" s="107">
        <f>Table_KeHoach_ChiPhiKhac[[#Totals],[Tháng 5]]</f>
        <v>0</v>
      </c>
      <c r="I27" s="107">
        <f>Table_KeHoach_ChiPhiKhac[[#Totals],[Tháng 6]]</f>
        <v>0</v>
      </c>
      <c r="J27" s="107">
        <f>Table_KeHoach_ChiPhiKhac[[#Totals],[Tháng 7]]</f>
        <v>0</v>
      </c>
      <c r="K27" s="107">
        <f>Table_KeHoach_ChiPhiKhac[[#Totals],[Tháng 8]]</f>
        <v>0</v>
      </c>
      <c r="L27" s="107">
        <f>Table_KeHoach_ChiPhiKhac[[#Totals],[Tháng 9]]</f>
        <v>0</v>
      </c>
      <c r="M27" s="107">
        <f>Table_KeHoach_ChiPhiKhac[[#Totals],[Tháng 10]]</f>
        <v>0</v>
      </c>
      <c r="N27" s="107">
        <f>Table_KeHoach_ChiPhiKhac[[#Totals],[Tháng 11]]</f>
        <v>0</v>
      </c>
      <c r="O27" s="107">
        <f>Table_KeHoach_ChiPhiKhac[[#Totals],[Tháng 12]]</f>
        <v>0</v>
      </c>
      <c r="P27" s="208"/>
      <c r="R27" s="73" t="s">
        <v>295</v>
      </c>
      <c r="S27" s="73"/>
      <c r="T27" s="328"/>
      <c r="V27" s="73" t="s">
        <v>295</v>
      </c>
      <c r="W27" s="107"/>
      <c r="X27" s="107"/>
    </row>
    <row r="28" spans="2:24" ht="18" customHeight="1" outlineLevel="2" x14ac:dyDescent="0.3">
      <c r="B28" s="73" t="s">
        <v>296</v>
      </c>
      <c r="C28" s="107">
        <f>SUM(Table_KeHoach_TuDong[[#This Row],[Tháng 1]:[Tháng 12]])</f>
        <v>0</v>
      </c>
      <c r="D28" s="107">
        <f>+D152</f>
        <v>0</v>
      </c>
      <c r="E28" s="107">
        <f t="shared" ref="E28:O28" si="12">+E152</f>
        <v>0</v>
      </c>
      <c r="F28" s="107">
        <f t="shared" si="12"/>
        <v>0</v>
      </c>
      <c r="G28" s="107">
        <f t="shared" si="12"/>
        <v>0</v>
      </c>
      <c r="H28" s="107">
        <f t="shared" si="12"/>
        <v>0</v>
      </c>
      <c r="I28" s="107">
        <f t="shared" si="12"/>
        <v>0</v>
      </c>
      <c r="J28" s="107">
        <f t="shared" si="12"/>
        <v>0</v>
      </c>
      <c r="K28" s="107">
        <f t="shared" si="12"/>
        <v>0</v>
      </c>
      <c r="L28" s="107">
        <f t="shared" si="12"/>
        <v>0</v>
      </c>
      <c r="M28" s="107">
        <f t="shared" si="12"/>
        <v>0</v>
      </c>
      <c r="N28" s="107">
        <f t="shared" si="12"/>
        <v>0</v>
      </c>
      <c r="O28" s="107">
        <f t="shared" si="12"/>
        <v>0</v>
      </c>
      <c r="P28" s="207"/>
      <c r="R28" s="73" t="s">
        <v>296</v>
      </c>
      <c r="S28" s="73"/>
      <c r="T28" s="328"/>
      <c r="V28" s="73" t="s">
        <v>296</v>
      </c>
      <c r="W28" s="107"/>
      <c r="X28" s="107"/>
    </row>
    <row r="29" spans="2:24" s="41" customFormat="1" ht="18" customHeight="1" outlineLevel="2" x14ac:dyDescent="0.3">
      <c r="B29" s="73" t="s">
        <v>297</v>
      </c>
      <c r="C29" s="107">
        <f>SUM(Table_KeHoach_TuDong[[#This Row],[Tháng 1]:[Tháng 12]])</f>
        <v>0</v>
      </c>
      <c r="D29" s="107">
        <f>+D153</f>
        <v>0</v>
      </c>
      <c r="E29" s="107">
        <f t="shared" ref="E29:O29" si="13">+E153</f>
        <v>0</v>
      </c>
      <c r="F29" s="107">
        <f t="shared" si="13"/>
        <v>0</v>
      </c>
      <c r="G29" s="107">
        <f t="shared" si="13"/>
        <v>0</v>
      </c>
      <c r="H29" s="107">
        <f t="shared" si="13"/>
        <v>0</v>
      </c>
      <c r="I29" s="107">
        <f t="shared" si="13"/>
        <v>0</v>
      </c>
      <c r="J29" s="107">
        <f t="shared" si="13"/>
        <v>0</v>
      </c>
      <c r="K29" s="107">
        <f t="shared" si="13"/>
        <v>0</v>
      </c>
      <c r="L29" s="107">
        <f t="shared" si="13"/>
        <v>0</v>
      </c>
      <c r="M29" s="107">
        <f t="shared" si="13"/>
        <v>0</v>
      </c>
      <c r="N29" s="107">
        <f t="shared" si="13"/>
        <v>0</v>
      </c>
      <c r="O29" s="107">
        <f t="shared" si="13"/>
        <v>0</v>
      </c>
      <c r="P29" s="207"/>
      <c r="R29" s="73" t="s">
        <v>297</v>
      </c>
      <c r="S29" s="73"/>
      <c r="T29" s="328"/>
      <c r="V29" s="73" t="s">
        <v>297</v>
      </c>
      <c r="W29" s="107"/>
      <c r="X29" s="107"/>
    </row>
    <row r="30" spans="2:24" ht="18" customHeight="1" outlineLevel="2" x14ac:dyDescent="0.3">
      <c r="B30" s="73" t="s">
        <v>299</v>
      </c>
      <c r="C30" s="107" t="e">
        <f>SUM(Table_KeHoach_TuDong[[#This Row],[Tháng 1]:[Tháng 12]])</f>
        <v>#N/A</v>
      </c>
      <c r="D30" s="107" t="e">
        <f>+Table_KeHoach_ThuePhi[[#Totals],[Tháng 1]]</f>
        <v>#N/A</v>
      </c>
      <c r="E30" s="107" t="e">
        <f>+Table_KeHoach_ThuePhi[[#Totals],[Tháng 2]]</f>
        <v>#N/A</v>
      </c>
      <c r="F30" s="107" t="e">
        <f>+Table_KeHoach_ThuePhi[[#Totals],[Tháng 3]]</f>
        <v>#N/A</v>
      </c>
      <c r="G30" s="107" t="e">
        <f>+Table_KeHoach_ThuePhi[[#Totals],[Tháng 4]]</f>
        <v>#N/A</v>
      </c>
      <c r="H30" s="107" t="e">
        <f>+Table_KeHoach_ThuePhi[[#Totals],[Tháng 5]]</f>
        <v>#N/A</v>
      </c>
      <c r="I30" s="107" t="e">
        <f>+Table_KeHoach_ThuePhi[[#Totals],[Tháng 6]]</f>
        <v>#N/A</v>
      </c>
      <c r="J30" s="107" t="e">
        <f>+Table_KeHoach_ThuePhi[[#Totals],[Tháng 7]]</f>
        <v>#N/A</v>
      </c>
      <c r="K30" s="107" t="e">
        <f>+Table_KeHoach_ThuePhi[[#Totals],[Tháng 8]]</f>
        <v>#N/A</v>
      </c>
      <c r="L30" s="107" t="e">
        <f>+Table_KeHoach_ThuePhi[[#Totals],[Tháng 9]]</f>
        <v>#N/A</v>
      </c>
      <c r="M30" s="107" t="e">
        <f>+Table_KeHoach_ThuePhi[[#Totals],[Tháng 10]]</f>
        <v>#N/A</v>
      </c>
      <c r="N30" s="107" t="e">
        <f>+Table_KeHoach_ThuePhi[[#Totals],[Tháng 11]]</f>
        <v>#N/A</v>
      </c>
      <c r="O30" s="107" t="e">
        <f>+Table_KeHoach_ThuePhi[[#Totals],[Tháng 12]]</f>
        <v>#N/A</v>
      </c>
      <c r="P30" s="207"/>
      <c r="R30" s="73" t="s">
        <v>299</v>
      </c>
      <c r="S30" s="73"/>
      <c r="T30" s="328"/>
      <c r="V30" s="73" t="s">
        <v>299</v>
      </c>
      <c r="W30" s="107"/>
      <c r="X30" s="107"/>
    </row>
    <row r="31" spans="2:24" ht="18" customHeight="1" outlineLevel="2" x14ac:dyDescent="0.3">
      <c r="B31" s="73" t="s">
        <v>298</v>
      </c>
      <c r="C31" s="107">
        <f>SUM(Table_KeHoach_TuDong[[#This Row],[Tháng 1]:[Tháng 12]])</f>
        <v>0</v>
      </c>
      <c r="D31" s="107">
        <f>+Table_KeHoach_CPKhac[[#Totals],[Tháng 1]]</f>
        <v>0</v>
      </c>
      <c r="E31" s="107">
        <f>+Table_KeHoach_CPKhac[[#Totals],[Tháng 2]]</f>
        <v>0</v>
      </c>
      <c r="F31" s="107">
        <f>+Table_KeHoach_CPKhac[[#Totals],[Tháng 3]]</f>
        <v>0</v>
      </c>
      <c r="G31" s="107">
        <f>+Table_KeHoach_CPKhac[[#Totals],[Tháng 4]]</f>
        <v>0</v>
      </c>
      <c r="H31" s="107">
        <f>+Table_KeHoach_CPKhac[[#Totals],[Tháng 5]]</f>
        <v>0</v>
      </c>
      <c r="I31" s="107">
        <f>+Table_KeHoach_CPKhac[[#Totals],[Tháng 6]]</f>
        <v>0</v>
      </c>
      <c r="J31" s="107">
        <f>+Table_KeHoach_CPKhac[[#Totals],[Tháng 7]]</f>
        <v>0</v>
      </c>
      <c r="K31" s="107">
        <f>+Table_KeHoach_CPKhac[[#Totals],[Tháng 8]]</f>
        <v>0</v>
      </c>
      <c r="L31" s="107">
        <f>+Table_KeHoach_CPKhac[[#Totals],[Tháng 9]]</f>
        <v>0</v>
      </c>
      <c r="M31" s="107">
        <f>+Table_KeHoach_CPKhac[[#Totals],[Tháng 10]]</f>
        <v>0</v>
      </c>
      <c r="N31" s="107">
        <f>+Table_KeHoach_CPKhac[[#Totals],[Tháng 11]]</f>
        <v>0</v>
      </c>
      <c r="O31" s="107">
        <f>+Table_KeHoach_CPKhac[[#Totals],[Tháng 12]]</f>
        <v>0</v>
      </c>
      <c r="P31" s="207"/>
      <c r="R31" s="73" t="s">
        <v>298</v>
      </c>
      <c r="S31" s="73"/>
      <c r="T31" s="328"/>
      <c r="V31" s="73" t="s">
        <v>298</v>
      </c>
      <c r="W31" s="107"/>
      <c r="X31" s="107"/>
    </row>
    <row r="32" spans="2:24" ht="18" customHeight="1" outlineLevel="2" x14ac:dyDescent="0.3">
      <c r="B32" s="87" t="s">
        <v>300</v>
      </c>
      <c r="C32" s="104" t="e">
        <f t="shared" ref="C32:O32" si="14">+C20+C22</f>
        <v>#N/A</v>
      </c>
      <c r="D32" s="104" t="e">
        <f t="shared" si="14"/>
        <v>#N/A</v>
      </c>
      <c r="E32" s="104" t="e">
        <f t="shared" si="14"/>
        <v>#N/A</v>
      </c>
      <c r="F32" s="104" t="e">
        <f t="shared" si="14"/>
        <v>#N/A</v>
      </c>
      <c r="G32" s="104" t="e">
        <f t="shared" si="14"/>
        <v>#N/A</v>
      </c>
      <c r="H32" s="104" t="e">
        <f t="shared" si="14"/>
        <v>#N/A</v>
      </c>
      <c r="I32" s="104" t="e">
        <f t="shared" si="14"/>
        <v>#N/A</v>
      </c>
      <c r="J32" s="104" t="e">
        <f t="shared" si="14"/>
        <v>#N/A</v>
      </c>
      <c r="K32" s="104" t="e">
        <f t="shared" si="14"/>
        <v>#N/A</v>
      </c>
      <c r="L32" s="104" t="e">
        <f t="shared" si="14"/>
        <v>#N/A</v>
      </c>
      <c r="M32" s="104" t="e">
        <f t="shared" si="14"/>
        <v>#N/A</v>
      </c>
      <c r="N32" s="104" t="e">
        <f t="shared" si="14"/>
        <v>#N/A</v>
      </c>
      <c r="O32" s="104" t="e">
        <f t="shared" si="14"/>
        <v>#N/A</v>
      </c>
      <c r="P32" s="207"/>
      <c r="R32" s="87" t="s">
        <v>300</v>
      </c>
      <c r="S32" s="87"/>
      <c r="T32" s="331"/>
      <c r="V32" s="87" t="s">
        <v>300</v>
      </c>
      <c r="W32" s="104"/>
      <c r="X32" s="104"/>
    </row>
    <row r="33" spans="2:24" ht="18" customHeight="1" outlineLevel="1" x14ac:dyDescent="0.3">
      <c r="B33" s="126" t="s">
        <v>98</v>
      </c>
      <c r="C33" s="127" t="e">
        <f>+C34+C36</f>
        <v>#N/A</v>
      </c>
      <c r="D33" s="127" t="e">
        <f t="shared" ref="D33:O33" si="15">+D34+D36</f>
        <v>#N/A</v>
      </c>
      <c r="E33" s="127" t="e">
        <f t="shared" si="15"/>
        <v>#N/A</v>
      </c>
      <c r="F33" s="127" t="e">
        <f t="shared" si="15"/>
        <v>#N/A</v>
      </c>
      <c r="G33" s="127" t="e">
        <f t="shared" si="15"/>
        <v>#N/A</v>
      </c>
      <c r="H33" s="127" t="e">
        <f t="shared" si="15"/>
        <v>#N/A</v>
      </c>
      <c r="I33" s="127" t="e">
        <f t="shared" si="15"/>
        <v>#N/A</v>
      </c>
      <c r="J33" s="127" t="e">
        <f t="shared" si="15"/>
        <v>#N/A</v>
      </c>
      <c r="K33" s="127" t="e">
        <f t="shared" si="15"/>
        <v>#N/A</v>
      </c>
      <c r="L33" s="127" t="e">
        <f t="shared" si="15"/>
        <v>#N/A</v>
      </c>
      <c r="M33" s="127" t="e">
        <f t="shared" si="15"/>
        <v>#N/A</v>
      </c>
      <c r="N33" s="127" t="e">
        <f t="shared" si="15"/>
        <v>#N/A</v>
      </c>
      <c r="O33" s="127" t="e">
        <f t="shared" si="15"/>
        <v>#N/A</v>
      </c>
      <c r="P33" s="207"/>
      <c r="R33" s="126" t="s">
        <v>98</v>
      </c>
      <c r="S33" s="126"/>
      <c r="T33" s="332"/>
      <c r="V33" s="126" t="s">
        <v>98</v>
      </c>
      <c r="W33" s="127"/>
      <c r="X33" s="127"/>
    </row>
    <row r="34" spans="2:24" s="53" customFormat="1" ht="18" customHeight="1" outlineLevel="1" x14ac:dyDescent="0.3">
      <c r="B34" s="54" t="s">
        <v>302</v>
      </c>
      <c r="C34" s="102" t="e">
        <f t="shared" ref="C34:O34" si="16">C11*(1-C35)</f>
        <v>#N/A</v>
      </c>
      <c r="D34" s="102" t="e">
        <f t="shared" si="16"/>
        <v>#N/A</v>
      </c>
      <c r="E34" s="102" t="e">
        <f t="shared" si="16"/>
        <v>#N/A</v>
      </c>
      <c r="F34" s="102" t="e">
        <f t="shared" si="16"/>
        <v>#N/A</v>
      </c>
      <c r="G34" s="102" t="e">
        <f t="shared" si="16"/>
        <v>#N/A</v>
      </c>
      <c r="H34" s="102" t="e">
        <f t="shared" si="16"/>
        <v>#N/A</v>
      </c>
      <c r="I34" s="102" t="e">
        <f t="shared" si="16"/>
        <v>#N/A</v>
      </c>
      <c r="J34" s="102" t="e">
        <f t="shared" si="16"/>
        <v>#N/A</v>
      </c>
      <c r="K34" s="102" t="e">
        <f t="shared" si="16"/>
        <v>#N/A</v>
      </c>
      <c r="L34" s="102" t="e">
        <f t="shared" si="16"/>
        <v>#N/A</v>
      </c>
      <c r="M34" s="102" t="e">
        <f t="shared" si="16"/>
        <v>#N/A</v>
      </c>
      <c r="N34" s="102" t="e">
        <f t="shared" si="16"/>
        <v>#N/A</v>
      </c>
      <c r="O34" s="102" t="e">
        <f t="shared" si="16"/>
        <v>#N/A</v>
      </c>
      <c r="P34" s="207"/>
      <c r="R34" s="54" t="s">
        <v>302</v>
      </c>
      <c r="S34" s="54"/>
      <c r="T34" s="328"/>
      <c r="V34" s="54" t="s">
        <v>302</v>
      </c>
      <c r="W34" s="102"/>
      <c r="X34" s="102"/>
    </row>
    <row r="35" spans="2:24" s="53" customFormat="1" ht="18" customHeight="1" outlineLevel="2" x14ac:dyDescent="0.3">
      <c r="B35" s="99" t="s">
        <v>101</v>
      </c>
      <c r="C35" s="123"/>
      <c r="D35" s="123" cm="1">
        <f t="array" ref="D35">Table_KeHoach_TyLeNo[Tháng 1]</f>
        <v>0</v>
      </c>
      <c r="E35" s="123" cm="1">
        <f t="array" ref="E35">Table_KeHoach_TyLeNo[Tháng 1]</f>
        <v>0</v>
      </c>
      <c r="F35" s="123" cm="1">
        <f t="array" ref="F35">Table_KeHoach_TyLeNo[Tháng 1]</f>
        <v>0</v>
      </c>
      <c r="G35" s="123" cm="1">
        <f t="array" ref="G35">Table_KeHoach_TyLeNo[Tháng 1]</f>
        <v>0</v>
      </c>
      <c r="H35" s="123" cm="1">
        <f t="array" ref="H35">Table_KeHoach_TyLeNo[Tháng 1]</f>
        <v>0</v>
      </c>
      <c r="I35" s="123" cm="1">
        <f t="array" ref="I35">Table_KeHoach_TyLeNo[Tháng 1]</f>
        <v>0</v>
      </c>
      <c r="J35" s="123" cm="1">
        <f t="array" ref="J35">Table_KeHoach_TyLeNo[Tháng 1]</f>
        <v>0</v>
      </c>
      <c r="K35" s="123" cm="1">
        <f t="array" ref="K35">Table_KeHoach_TyLeNo[Tháng 1]</f>
        <v>0</v>
      </c>
      <c r="L35" s="123" cm="1">
        <f t="array" ref="L35">Table_KeHoach_TyLeNo[Tháng 1]</f>
        <v>0</v>
      </c>
      <c r="M35" s="123" cm="1">
        <f t="array" ref="M35">Table_KeHoach_TyLeNo[Tháng 1]</f>
        <v>0</v>
      </c>
      <c r="N35" s="123" cm="1">
        <f t="array" ref="N35">Table_KeHoach_TyLeNo[Tháng 1]</f>
        <v>0</v>
      </c>
      <c r="O35" s="123" cm="1">
        <f t="array" ref="O35">Table_KeHoach_TyLeNo[Tháng 1]</f>
        <v>0</v>
      </c>
      <c r="P35" s="207"/>
      <c r="R35" s="99" t="s">
        <v>101</v>
      </c>
      <c r="S35" s="99"/>
      <c r="T35" s="123"/>
      <c r="V35" s="99" t="s">
        <v>101</v>
      </c>
      <c r="W35" s="123"/>
      <c r="X35" s="123"/>
    </row>
    <row r="36" spans="2:24" s="53" customFormat="1" ht="18" customHeight="1" outlineLevel="2" x14ac:dyDescent="0.3">
      <c r="B36" s="124" t="s">
        <v>304</v>
      </c>
      <c r="C36" s="102" t="e">
        <f t="shared" ref="C36:O36" si="17">+C13+C22-C28</f>
        <v>#N/A</v>
      </c>
      <c r="D36" s="102" t="e">
        <f t="shared" si="17"/>
        <v>#N/A</v>
      </c>
      <c r="E36" s="102" t="e">
        <f t="shared" si="17"/>
        <v>#N/A</v>
      </c>
      <c r="F36" s="102" t="e">
        <f t="shared" si="17"/>
        <v>#N/A</v>
      </c>
      <c r="G36" s="102" t="e">
        <f t="shared" si="17"/>
        <v>#N/A</v>
      </c>
      <c r="H36" s="102" t="e">
        <f t="shared" si="17"/>
        <v>#N/A</v>
      </c>
      <c r="I36" s="102" t="e">
        <f t="shared" si="17"/>
        <v>#N/A</v>
      </c>
      <c r="J36" s="102" t="e">
        <f t="shared" si="17"/>
        <v>#N/A</v>
      </c>
      <c r="K36" s="102" t="e">
        <f t="shared" si="17"/>
        <v>#N/A</v>
      </c>
      <c r="L36" s="102" t="e">
        <f t="shared" si="17"/>
        <v>#N/A</v>
      </c>
      <c r="M36" s="102" t="e">
        <f t="shared" si="17"/>
        <v>#N/A</v>
      </c>
      <c r="N36" s="102" t="e">
        <f t="shared" si="17"/>
        <v>#N/A</v>
      </c>
      <c r="O36" s="102" t="e">
        <f t="shared" si="17"/>
        <v>#N/A</v>
      </c>
      <c r="P36" s="431"/>
      <c r="R36" s="124" t="s">
        <v>304</v>
      </c>
      <c r="S36" s="124"/>
      <c r="T36" s="328"/>
      <c r="V36" s="124" t="s">
        <v>304</v>
      </c>
      <c r="W36" s="102"/>
      <c r="X36" s="102"/>
    </row>
    <row r="37" spans="2:24" s="53" customFormat="1" ht="18" customHeight="1" outlineLevel="2" x14ac:dyDescent="0.3">
      <c r="B37" s="74" t="s">
        <v>309</v>
      </c>
      <c r="C37" s="103">
        <f t="shared" ref="C37:O37" si="18">+SUM(C38:C40)</f>
        <v>0</v>
      </c>
      <c r="D37" s="103">
        <f t="shared" si="18"/>
        <v>0</v>
      </c>
      <c r="E37" s="103">
        <f t="shared" si="18"/>
        <v>0</v>
      </c>
      <c r="F37" s="103">
        <f t="shared" si="18"/>
        <v>0</v>
      </c>
      <c r="G37" s="103">
        <f t="shared" si="18"/>
        <v>0</v>
      </c>
      <c r="H37" s="103">
        <f t="shared" si="18"/>
        <v>0</v>
      </c>
      <c r="I37" s="103">
        <f t="shared" si="18"/>
        <v>0</v>
      </c>
      <c r="J37" s="103">
        <f t="shared" si="18"/>
        <v>0</v>
      </c>
      <c r="K37" s="103">
        <f t="shared" si="18"/>
        <v>0</v>
      </c>
      <c r="L37" s="103">
        <f t="shared" si="18"/>
        <v>0</v>
      </c>
      <c r="M37" s="103">
        <f t="shared" si="18"/>
        <v>0</v>
      </c>
      <c r="N37" s="103">
        <f t="shared" si="18"/>
        <v>0</v>
      </c>
      <c r="O37" s="103">
        <f t="shared" si="18"/>
        <v>0</v>
      </c>
      <c r="P37" s="431"/>
      <c r="R37" s="74" t="s">
        <v>309</v>
      </c>
      <c r="S37" s="74"/>
      <c r="T37" s="325"/>
      <c r="V37" s="74" t="s">
        <v>309</v>
      </c>
      <c r="W37" s="103"/>
      <c r="X37" s="103"/>
    </row>
    <row r="38" spans="2:24" s="53" customFormat="1" ht="18" customHeight="1" outlineLevel="1" x14ac:dyDescent="0.3">
      <c r="B38" s="73" t="s">
        <v>310</v>
      </c>
      <c r="C38" s="107">
        <f>SUM(Table_KeHoach_TuDong[[#This Row],[Tháng 1]:[Tháng 12]])</f>
        <v>0</v>
      </c>
      <c r="D38" s="107">
        <f>+D153+D154</f>
        <v>0</v>
      </c>
      <c r="E38" s="107">
        <f t="shared" ref="E38:O38" si="19">+E153+E154</f>
        <v>0</v>
      </c>
      <c r="F38" s="107">
        <f t="shared" si="19"/>
        <v>0</v>
      </c>
      <c r="G38" s="107">
        <f t="shared" si="19"/>
        <v>0</v>
      </c>
      <c r="H38" s="107">
        <f t="shared" si="19"/>
        <v>0</v>
      </c>
      <c r="I38" s="107">
        <f t="shared" si="19"/>
        <v>0</v>
      </c>
      <c r="J38" s="107">
        <f t="shared" si="19"/>
        <v>0</v>
      </c>
      <c r="K38" s="107">
        <f t="shared" si="19"/>
        <v>0</v>
      </c>
      <c r="L38" s="107">
        <f t="shared" si="19"/>
        <v>0</v>
      </c>
      <c r="M38" s="107">
        <f t="shared" si="19"/>
        <v>0</v>
      </c>
      <c r="N38" s="107">
        <f t="shared" si="19"/>
        <v>0</v>
      </c>
      <c r="O38" s="107">
        <f t="shared" si="19"/>
        <v>0</v>
      </c>
      <c r="P38" s="431"/>
      <c r="R38" s="73" t="s">
        <v>310</v>
      </c>
      <c r="S38" s="73"/>
      <c r="T38" s="328"/>
      <c r="V38" s="73" t="s">
        <v>310</v>
      </c>
      <c r="W38" s="107"/>
      <c r="X38" s="107"/>
    </row>
    <row r="39" spans="2:24" s="53" customFormat="1" ht="18" customHeight="1" outlineLevel="2" x14ac:dyDescent="0.3">
      <c r="B39" s="73" t="s">
        <v>311</v>
      </c>
      <c r="C39" s="107">
        <f>SUM(Table_KeHoach_TuDong[[#This Row],[Tháng 1]:[Tháng 12]])</f>
        <v>0</v>
      </c>
      <c r="D39" s="107">
        <f>+Table_KeHoach_TSCD[[#Totals],[Tháng 1]]</f>
        <v>0</v>
      </c>
      <c r="E39" s="107">
        <f>+Table_KeHoach_TSCD[[#Totals],[Tháng 2]]</f>
        <v>0</v>
      </c>
      <c r="F39" s="107">
        <f>+Table_KeHoach_TSCD[[#Totals],[Tháng 3]]</f>
        <v>0</v>
      </c>
      <c r="G39" s="107">
        <f>+Table_KeHoach_TSCD[[#Totals],[Tháng 4]]</f>
        <v>0</v>
      </c>
      <c r="H39" s="107">
        <f>+Table_KeHoach_TSCD[[#Totals],[Tháng 5]]</f>
        <v>0</v>
      </c>
      <c r="I39" s="107">
        <f>+Table_KeHoach_TSCD[[#Totals],[Tháng 6]]</f>
        <v>0</v>
      </c>
      <c r="J39" s="107">
        <f>+Table_KeHoach_TSCD[[#Totals],[Tháng 7]]</f>
        <v>0</v>
      </c>
      <c r="K39" s="107">
        <f>+Table_KeHoach_TSCD[[#Totals],[Tháng 8]]</f>
        <v>0</v>
      </c>
      <c r="L39" s="107">
        <f>+Table_KeHoach_TSCD[[#Totals],[Tháng 9]]</f>
        <v>0</v>
      </c>
      <c r="M39" s="107">
        <f>+Table_KeHoach_TSCD[[#Totals],[Tháng 10]]</f>
        <v>0</v>
      </c>
      <c r="N39" s="107">
        <f>+Table_KeHoach_TSCD[[#Totals],[Tháng 11]]</f>
        <v>0</v>
      </c>
      <c r="O39" s="107">
        <f>+Table_KeHoach_TSCD[[#Totals],[Tháng 12]]</f>
        <v>0</v>
      </c>
      <c r="P39" s="431"/>
      <c r="R39" s="73" t="s">
        <v>311</v>
      </c>
      <c r="S39" s="73"/>
      <c r="T39" s="328"/>
      <c r="V39" s="73" t="s">
        <v>311</v>
      </c>
      <c r="W39" s="107"/>
      <c r="X39" s="107"/>
    </row>
    <row r="40" spans="2:24" s="53" customFormat="1" ht="18" customHeight="1" outlineLevel="2" x14ac:dyDescent="0.3">
      <c r="B40" s="73" t="s">
        <v>312</v>
      </c>
      <c r="C40" s="107">
        <f>SUM(Table_KeHoach_TuDong[[#This Row],[Tháng 1]:[Tháng 12]])</f>
        <v>0</v>
      </c>
      <c r="D40" s="107">
        <f>+Table_KeHoach_DTTC[[#Totals],[Column1]]</f>
        <v>0</v>
      </c>
      <c r="E40" s="107">
        <f>+Table_KeHoach_DTTC[[#Totals],[Tháng 1]]</f>
        <v>0</v>
      </c>
      <c r="F40" s="107">
        <f>+Table_KeHoach_DTTC[[#Totals],[Tháng 2]]</f>
        <v>0</v>
      </c>
      <c r="G40" s="107">
        <f>+Table_KeHoach_DTTC[[#Totals],[Tháng 3]]</f>
        <v>0</v>
      </c>
      <c r="H40" s="107">
        <f>+Table_KeHoach_DTTC[[#Totals],[Tháng 4]]</f>
        <v>0</v>
      </c>
      <c r="I40" s="107">
        <f>+Table_KeHoach_DTTC[[#Totals],[Tháng 5]]</f>
        <v>0</v>
      </c>
      <c r="J40" s="107">
        <f>+Table_KeHoach_DTTC[[#Totals],[Tháng 6]]</f>
        <v>0</v>
      </c>
      <c r="K40" s="107">
        <f>+Table_KeHoach_DTTC[[#Totals],[Tháng 7]]</f>
        <v>0</v>
      </c>
      <c r="L40" s="107">
        <f>+Table_KeHoach_DTTC[[#Totals],[Tháng 8]]</f>
        <v>0</v>
      </c>
      <c r="M40" s="107">
        <f>+Table_KeHoach_DTTC[[#Totals],[Tháng 9]]</f>
        <v>0</v>
      </c>
      <c r="N40" s="107">
        <f>+Table_KeHoach_DTTC[[#Totals],[Tháng 10]]</f>
        <v>0</v>
      </c>
      <c r="O40" s="107">
        <f>+Table_KeHoach_DTTC[[#Totals],[Tháng 11]]</f>
        <v>0</v>
      </c>
      <c r="P40" s="431"/>
      <c r="R40" s="73" t="s">
        <v>312</v>
      </c>
      <c r="S40" s="73"/>
      <c r="T40" s="328"/>
      <c r="V40" s="73" t="s">
        <v>312</v>
      </c>
      <c r="W40" s="107"/>
      <c r="X40" s="107"/>
    </row>
    <row r="41" spans="2:24" s="53" customFormat="1" ht="18" customHeight="1" outlineLevel="2" x14ac:dyDescent="0.3">
      <c r="B41" s="87" t="s">
        <v>313</v>
      </c>
      <c r="C41" s="104" t="e">
        <f t="shared" ref="C41:O41" si="20">+C33+C38</f>
        <v>#N/A</v>
      </c>
      <c r="D41" s="104" t="e">
        <f t="shared" si="20"/>
        <v>#N/A</v>
      </c>
      <c r="E41" s="104" t="e">
        <f t="shared" si="20"/>
        <v>#N/A</v>
      </c>
      <c r="F41" s="104" t="e">
        <f t="shared" si="20"/>
        <v>#N/A</v>
      </c>
      <c r="G41" s="104" t="e">
        <f t="shared" si="20"/>
        <v>#N/A</v>
      </c>
      <c r="H41" s="104" t="e">
        <f t="shared" si="20"/>
        <v>#N/A</v>
      </c>
      <c r="I41" s="104" t="e">
        <f t="shared" si="20"/>
        <v>#N/A</v>
      </c>
      <c r="J41" s="104" t="e">
        <f t="shared" si="20"/>
        <v>#N/A</v>
      </c>
      <c r="K41" s="104" t="e">
        <f t="shared" si="20"/>
        <v>#N/A</v>
      </c>
      <c r="L41" s="104" t="e">
        <f t="shared" si="20"/>
        <v>#N/A</v>
      </c>
      <c r="M41" s="104" t="e">
        <f t="shared" si="20"/>
        <v>#N/A</v>
      </c>
      <c r="N41" s="104" t="e">
        <f t="shared" si="20"/>
        <v>#N/A</v>
      </c>
      <c r="O41" s="104" t="e">
        <f t="shared" si="20"/>
        <v>#N/A</v>
      </c>
      <c r="P41" s="431"/>
      <c r="R41" s="87" t="s">
        <v>313</v>
      </c>
      <c r="S41" s="87"/>
      <c r="T41" s="331"/>
      <c r="V41" s="87" t="s">
        <v>313</v>
      </c>
      <c r="W41" s="104"/>
      <c r="X41" s="104"/>
    </row>
    <row r="42" spans="2:24" s="53" customFormat="1" ht="18" customHeight="1" outlineLevel="1" x14ac:dyDescent="0.3">
      <c r="B42" s="73" t="s">
        <v>315</v>
      </c>
      <c r="C42" s="102">
        <f>SUM(Table_KeHoach_TuDong[[#This Row],[Tháng 1]:[Tháng 12]])</f>
        <v>0</v>
      </c>
      <c r="D42" s="107">
        <f>+Table_KeHoach_LaiDTTC[[#Totals],[Tháng 1]]</f>
        <v>0</v>
      </c>
      <c r="E42" s="107">
        <f>+Table_KeHoach_LaiDTTC[[#Totals],[Tháng 2]]</f>
        <v>0</v>
      </c>
      <c r="F42" s="107">
        <f>+Table_KeHoach_LaiDTTC[[#Totals],[Tháng 3]]</f>
        <v>0</v>
      </c>
      <c r="G42" s="107">
        <f>+Table_KeHoach_LaiDTTC[[#Totals],[Tháng 4]]</f>
        <v>0</v>
      </c>
      <c r="H42" s="107">
        <f>+Table_KeHoach_LaiDTTC[[#Totals],[Tháng 5]]</f>
        <v>0</v>
      </c>
      <c r="I42" s="107">
        <f>+Table_KeHoach_LaiDTTC[[#Totals],[Tháng 6]]</f>
        <v>0</v>
      </c>
      <c r="J42" s="107">
        <f>+Table_KeHoach_LaiDTTC[[#Totals],[Tháng 7]]</f>
        <v>0</v>
      </c>
      <c r="K42" s="107">
        <f>+Table_KeHoach_LaiDTTC[[#Totals],[Tháng 8]]</f>
        <v>0</v>
      </c>
      <c r="L42" s="107">
        <f>+Table_KeHoach_LaiDTTC[[#Totals],[Tháng 9]]</f>
        <v>0</v>
      </c>
      <c r="M42" s="107">
        <f>+Table_KeHoach_LaiDTTC[[#Totals],[Tháng 10]]</f>
        <v>0</v>
      </c>
      <c r="N42" s="107">
        <f>+Table_KeHoach_LaiDTTC[[#Totals],[Tháng 11]]</f>
        <v>0</v>
      </c>
      <c r="O42" s="107">
        <f>+Table_KeHoach_LaiDTTC[[#Totals],[Tháng 12]]</f>
        <v>0</v>
      </c>
      <c r="P42" s="431"/>
      <c r="R42" s="73" t="s">
        <v>315</v>
      </c>
      <c r="S42" s="73"/>
      <c r="T42" s="328"/>
      <c r="V42" s="73" t="s">
        <v>315</v>
      </c>
      <c r="W42" s="107"/>
      <c r="X42" s="107"/>
    </row>
    <row r="43" spans="2:24" s="53" customFormat="1" ht="18" customHeight="1" outlineLevel="2" x14ac:dyDescent="0.3">
      <c r="B43" s="73" t="s">
        <v>116</v>
      </c>
      <c r="C43" s="102">
        <f>SUM(Table_KeHoach_TuDong[[#This Row],[Tháng 1]:[Tháng 12]])</f>
        <v>0</v>
      </c>
      <c r="D43" s="107">
        <f>+Table_KeHoach_VonVay[[#Totals],[Tháng 1]]</f>
        <v>0</v>
      </c>
      <c r="E43" s="107">
        <f>+Table_KeHoach_VonVay[[#Totals],[Tháng 2]]</f>
        <v>0</v>
      </c>
      <c r="F43" s="107">
        <f>+Table_KeHoach_VonVay[[#Totals],[Tháng 3]]</f>
        <v>0</v>
      </c>
      <c r="G43" s="107">
        <f>+Table_KeHoach_VonVay[[#Totals],[Tháng 4]]</f>
        <v>0</v>
      </c>
      <c r="H43" s="107">
        <f>+Table_KeHoach_VonVay[[#Totals],[Tháng 5]]</f>
        <v>0</v>
      </c>
      <c r="I43" s="107">
        <f>+Table_KeHoach_VonVay[[#Totals],[Tháng 6]]</f>
        <v>0</v>
      </c>
      <c r="J43" s="107">
        <f>+Table_KeHoach_VonVay[[#Totals],[Tháng 7]]</f>
        <v>0</v>
      </c>
      <c r="K43" s="107">
        <f>+Table_KeHoach_VonVay[[#Totals],[Tháng 8]]</f>
        <v>0</v>
      </c>
      <c r="L43" s="107">
        <f>+Table_KeHoach_VonVay[[#Totals],[Tháng 9]]</f>
        <v>0</v>
      </c>
      <c r="M43" s="107">
        <f>+Table_KeHoach_VonVay[[#Totals],[Tháng 10]]</f>
        <v>0</v>
      </c>
      <c r="N43" s="107">
        <f>+Table_KeHoach_VonVay[[#Totals],[Tháng 11]]</f>
        <v>0</v>
      </c>
      <c r="O43" s="107">
        <f>+Table_KeHoach_VonVay[[#Totals],[Tháng 12]]</f>
        <v>0</v>
      </c>
      <c r="P43" s="431"/>
      <c r="R43" s="73" t="s">
        <v>116</v>
      </c>
      <c r="S43" s="73"/>
      <c r="T43" s="328"/>
      <c r="V43" s="73" t="s">
        <v>116</v>
      </c>
      <c r="W43" s="107"/>
      <c r="X43" s="107"/>
    </row>
    <row r="44" spans="2:24" s="53" customFormat="1" ht="18" customHeight="1" outlineLevel="2" x14ac:dyDescent="0.3">
      <c r="B44" s="73" t="s">
        <v>316</v>
      </c>
      <c r="C44" s="102">
        <f>SUM(Table_KeHoach_TuDong[[#This Row],[Tháng 1]:[Tháng 12]])</f>
        <v>0</v>
      </c>
      <c r="D44" s="107">
        <f>+Table_KeHoach_VonGop[[#Totals],[Tháng 1]]</f>
        <v>0</v>
      </c>
      <c r="E44" s="107">
        <f>+Table_KeHoach_VonGop[[#Totals],[Tháng 2]]</f>
        <v>0</v>
      </c>
      <c r="F44" s="107">
        <f>+Table_KeHoach_VonGop[[#Totals],[Tháng 3]]</f>
        <v>0</v>
      </c>
      <c r="G44" s="107">
        <f>+Table_KeHoach_VonGop[[#Totals],[Tháng 4]]</f>
        <v>0</v>
      </c>
      <c r="H44" s="107">
        <f>+Table_KeHoach_VonGop[[#Totals],[Tháng 5]]</f>
        <v>0</v>
      </c>
      <c r="I44" s="107">
        <f>+Table_KeHoach_VonGop[[#Totals],[Tháng 6]]</f>
        <v>0</v>
      </c>
      <c r="J44" s="107">
        <f>+Table_KeHoach_VonGop[[#Totals],[Tháng 7]]</f>
        <v>0</v>
      </c>
      <c r="K44" s="107">
        <f>+Table_KeHoach_VonGop[[#Totals],[Tháng 8]]</f>
        <v>0</v>
      </c>
      <c r="L44" s="107">
        <f>+Table_KeHoach_VonGop[[#Totals],[Tháng 9]]</f>
        <v>0</v>
      </c>
      <c r="M44" s="107">
        <f>+Table_KeHoach_VonGop[[#Totals],[Tháng 10]]</f>
        <v>0</v>
      </c>
      <c r="N44" s="107">
        <f>+Table_KeHoach_VonGop[[#Totals],[Tháng 11]]</f>
        <v>0</v>
      </c>
      <c r="O44" s="107">
        <f>+Table_KeHoach_VonGop[[#Totals],[Tháng 12]]</f>
        <v>0</v>
      </c>
      <c r="P44" s="431"/>
      <c r="R44" s="73" t="s">
        <v>316</v>
      </c>
      <c r="S44" s="73"/>
      <c r="T44" s="328"/>
      <c r="V44" s="73" t="s">
        <v>316</v>
      </c>
      <c r="W44" s="107"/>
      <c r="X44" s="107"/>
    </row>
    <row r="45" spans="2:24" s="53" customFormat="1" ht="18" customHeight="1" outlineLevel="2" x14ac:dyDescent="0.3">
      <c r="B45" s="73" t="s">
        <v>120</v>
      </c>
      <c r="C45" s="107">
        <f>SUM(Table_KeHoach_TuDong[[#This Row],[Tháng 1]:[Tháng 12]])</f>
        <v>0</v>
      </c>
      <c r="D45" s="107"/>
      <c r="E45" s="107"/>
      <c r="F45" s="107"/>
      <c r="G45" s="107"/>
      <c r="H45" s="107"/>
      <c r="I45" s="107"/>
      <c r="J45" s="107"/>
      <c r="K45" s="107"/>
      <c r="L45" s="107"/>
      <c r="M45" s="107"/>
      <c r="N45" s="107"/>
      <c r="O45" s="107"/>
      <c r="P45" s="431"/>
      <c r="R45" s="73" t="s">
        <v>120</v>
      </c>
      <c r="S45" s="73"/>
      <c r="T45" s="328"/>
      <c r="V45" s="73" t="s">
        <v>120</v>
      </c>
      <c r="W45" s="105"/>
      <c r="X45" s="105"/>
    </row>
    <row r="46" spans="2:24" ht="18" customHeight="1" outlineLevel="2" x14ac:dyDescent="0.3">
      <c r="B46" s="87" t="s">
        <v>319</v>
      </c>
      <c r="C46" s="104" t="e" cm="1">
        <f t="array" ref="C46">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+C41+SUM(C42:C44)+SUM(C39:C40)+C45</f>
        <v>#N/A</v>
      </c>
      <c r="D46" s="104" t="e" cm="1">
        <f t="array" ref="D46" xml:space="preserve">
Sheet_BaoCaoTaiChinh!$D$74
+ IFERROR(SUM(_xlfn._xlws.FILTER( Table_ThuChiKD[Giá trị sau phí],
(Table_ThuChiKD[Loại GD] = "THU") *
(Table_ThuChiKD[Ngày GD] &lt; C$4)
)),0)
- IFERROR(SUM(_xlfn._xlws.FILTER( Table_ThuChiKD[Giá trị sau phí],
(Table_ThuChiKD[Loại GD] = "CHI") *
(Table_ThuChiKD[Ngày GD] &lt; C$4)
)),0)
+ IFERROR(SUM(_xlfn._xlws.FILTER( Table_ThuChiTC[Giá trị GD],
(Table_ThuChiTC[Loại GD]= "THU") *
(Table_ThuChiKD[Ngày GD] &lt; C$4)
)),0)
- IFERROR(SUM(_xlfn._xlws.FILTER( Table_ThuChiTC[Giá trị GD],
(Table_ThuChiTC[Loại GD]= "CHI") *
(Table_ThuChiKD[Ngày GD] &lt; C$4)
)),0)
+SUM($D$41:D41)+SUM($D$42:D44)+SUM($D$39:D40)+SUM($D$45:D45)</f>
        <v>#N/A</v>
      </c>
      <c r="E46" s="104" t="e" cm="1">
        <f t="array" ref="E46" xml:space="preserve">
Sheet_BaoCaoTaiChinh!$D$74
+ IFERROR(SUM(_xlfn._xlws.FILTER( Table_ThuChiKD[Giá trị sau phí],
(Table_ThuChiKD[Loại GD] = "THU") *
(Table_ThuChiKD[Ngày GD] &lt; D$4)
)),0)
- IFERROR(SUM(_xlfn._xlws.FILTER( Table_ThuChiKD[Giá trị sau phí],
(Table_ThuChiKD[Loại GD] = "CHI") *
(Table_ThuChiKD[Ngày GD] &lt; D$4)
)),0)
+ IFERROR(SUM(_xlfn._xlws.FILTER( Table_ThuChiTC[Giá trị GD],
(Table_ThuChiTC[Loại GD]= "THU") *
(Table_ThuChiKD[Ngày GD] &lt; D$4)
)),0)
- IFERROR(SUM(_xlfn._xlws.FILTER( Table_ThuChiTC[Giá trị GD],
(Table_ThuChiTC[Loại GD]= "CHI") *
(Table_ThuChiKD[Ngày GD] &lt; D$4)
)),0)
+SUM($D$41:E41)+SUM($D$42:E44)+SUM($D$39:E40)+SUM($D$45:E45)</f>
        <v>#N/A</v>
      </c>
      <c r="F46" s="104" t="e" cm="1">
        <f t="array" ref="F46" xml:space="preserve">
Sheet_BaoCaoTaiChinh!$D$74
+ IFERROR(SUM(_xlfn._xlws.FILTER( Table_ThuChiKD[Giá trị sau phí],
(Table_ThuChiKD[Loại GD] = "THU") *
(Table_ThuChiKD[Ngày GD] &lt; E$4)
)),0)
- IFERROR(SUM(_xlfn._xlws.FILTER( Table_ThuChiKD[Giá trị sau phí],
(Table_ThuChiKD[Loại GD] = "CHI") *
(Table_ThuChiKD[Ngày GD] &lt; E$4)
)),0)
+ IFERROR(SUM(_xlfn._xlws.FILTER( Table_ThuChiTC[Giá trị GD],
(Table_ThuChiTC[Loại GD]= "THU") *
(Table_ThuChiKD[Ngày GD] &lt; E$4)
)),0)
- IFERROR(SUM(_xlfn._xlws.FILTER( Table_ThuChiTC[Giá trị GD],
(Table_ThuChiTC[Loại GD]= "CHI") *
(Table_ThuChiKD[Ngày GD] &lt; E$4)
)),0)
+SUM($D$41:F41)+SUM($D$42:F44)+SUM($D$39:F40)+SUM($D$45:F45)</f>
        <v>#N/A</v>
      </c>
      <c r="G46" s="104" t="e" cm="1">
        <f t="array" ref="G46" xml:space="preserve">
Sheet_BaoCaoTaiChinh!$D$74
+ IFERROR(SUM(_xlfn._xlws.FILTER( Table_ThuChiKD[Giá trị sau phí],
(Table_ThuChiKD[Loại GD] = "THU") *
(Table_ThuChiKD[Ngày GD] &lt; F$4)
)),0)
- IFERROR(SUM(_xlfn._xlws.FILTER( Table_ThuChiKD[Giá trị sau phí],
(Table_ThuChiKD[Loại GD] = "CHI") *
(Table_ThuChiKD[Ngày GD] &lt; F$4)
)),0)
+ IFERROR(SUM(_xlfn._xlws.FILTER( Table_ThuChiTC[Giá trị GD],
(Table_ThuChiTC[Loại GD]= "THU") *
(Table_ThuChiKD[Ngày GD] &lt; F$4)
)),0)
- IFERROR(SUM(_xlfn._xlws.FILTER( Table_ThuChiTC[Giá trị GD],
(Table_ThuChiTC[Loại GD]= "CHI") *
(Table_ThuChiKD[Ngày GD] &lt; F$4)
)),0)
+SUM($D$41:G41)+SUM($D$42:G44)+SUM($D$39:G40)+SUM($D$45:G45)</f>
        <v>#N/A</v>
      </c>
      <c r="H46" s="104" t="e" cm="1">
        <f t="array" ref="H46" xml:space="preserve">
Sheet_BaoCaoTaiChinh!$D$74
+ IFERROR(SUM(_xlfn._xlws.FILTER( Table_ThuChiKD[Giá trị sau phí],
(Table_ThuChiKD[Loại GD] = "THU") *
(Table_ThuChiKD[Ngày GD] &lt; G$4)
)),0)
- IFERROR(SUM(_xlfn._xlws.FILTER( Table_ThuChiKD[Giá trị sau phí],
(Table_ThuChiKD[Loại GD] = "CHI") *
(Table_ThuChiKD[Ngày GD] &lt; G$4)
)),0)
+ IFERROR(SUM(_xlfn._xlws.FILTER( Table_ThuChiTC[Giá trị GD],
(Table_ThuChiTC[Loại GD]= "THU") *
(Table_ThuChiKD[Ngày GD] &lt; G$4)
)),0)
- IFERROR(SUM(_xlfn._xlws.FILTER( Table_ThuChiTC[Giá trị GD],
(Table_ThuChiTC[Loại GD]= "CHI") *
(Table_ThuChiKD[Ngày GD] &lt; G$4)
)),0)
+SUM($D$41:H41)+SUM($D$42:H44)+SUM($D$39:H40)+SUM($D$45:H45)</f>
        <v>#N/A</v>
      </c>
      <c r="I46" s="104" t="e" cm="1">
        <f t="array" ref="I46" xml:space="preserve">
Sheet_BaoCaoTaiChinh!$D$74
+ IFERROR(SUM(_xlfn._xlws.FILTER( Table_ThuChiKD[Giá trị sau phí],
(Table_ThuChiKD[Loại GD] = "THU") *
(Table_ThuChiKD[Ngày GD] &lt; H$4)
)),0)
- IFERROR(SUM(_xlfn._xlws.FILTER( Table_ThuChiKD[Giá trị sau phí],
(Table_ThuChiKD[Loại GD] = "CHI") *
(Table_ThuChiKD[Ngày GD] &lt; H$4)
)),0)
+ IFERROR(SUM(_xlfn._xlws.FILTER( Table_ThuChiTC[Giá trị GD],
(Table_ThuChiTC[Loại GD]= "THU") *
(Table_ThuChiKD[Ngày GD] &lt; H$4)
)),0)
- IFERROR(SUM(_xlfn._xlws.FILTER( Table_ThuChiTC[Giá trị GD],
(Table_ThuChiTC[Loại GD]= "CHI") *
(Table_ThuChiKD[Ngày GD] &lt; H$4)
)),0)
+SUM($D$41:I41)+SUM($D$42:I44)+SUM($D$39:I40)+SUM($D$45:I45)</f>
        <v>#N/A</v>
      </c>
      <c r="J46" s="104" t="e" cm="1">
        <f t="array" ref="J46" xml:space="preserve">
Sheet_BaoCaoTaiChinh!$D$74
+ IFERROR(SUM(_xlfn._xlws.FILTER( Table_ThuChiKD[Giá trị sau phí],
(Table_ThuChiKD[Loại GD] = "THU") *
(Table_ThuChiKD[Ngày GD] &lt; I$4)
)),0)
- IFERROR(SUM(_xlfn._xlws.FILTER( Table_ThuChiKD[Giá trị sau phí],
(Table_ThuChiKD[Loại GD] = "CHI") *
(Table_ThuChiKD[Ngày GD] &lt; I$4)
)),0)
+ IFERROR(SUM(_xlfn._xlws.FILTER( Table_ThuChiTC[Giá trị GD],
(Table_ThuChiTC[Loại GD]= "THU") *
(Table_ThuChiKD[Ngày GD] &lt; I$4)
)),0)
- IFERROR(SUM(_xlfn._xlws.FILTER( Table_ThuChiTC[Giá trị GD],
(Table_ThuChiTC[Loại GD]= "CHI") *
(Table_ThuChiKD[Ngày GD] &lt; I$4)
)),0)
+SUM($D$41:J41)+SUM($D$42:J44)+SUM($D$39:J40)+SUM($D$45:J45)</f>
        <v>#N/A</v>
      </c>
      <c r="K46" s="104" t="e" cm="1">
        <f t="array" ref="K46" xml:space="preserve">
Sheet_BaoCaoTaiChinh!$D$74
+ IFERROR(SUM(_xlfn._xlws.FILTER( Table_ThuChiKD[Giá trị sau phí],
(Table_ThuChiKD[Loại GD] = "THU") *
(Table_ThuChiKD[Ngày GD] &lt; J$4)
)),0)
- IFERROR(SUM(_xlfn._xlws.FILTER( Table_ThuChiKD[Giá trị sau phí],
(Table_ThuChiKD[Loại GD] = "CHI") *
(Table_ThuChiKD[Ngày GD] &lt; J$4)
)),0)
+ IFERROR(SUM(_xlfn._xlws.FILTER( Table_ThuChiTC[Giá trị GD],
(Table_ThuChiTC[Loại GD]= "THU") *
(Table_ThuChiKD[Ngày GD] &lt; J$4)
)),0)
- IFERROR(SUM(_xlfn._xlws.FILTER( Table_ThuChiTC[Giá trị GD],
(Table_ThuChiTC[Loại GD]= "CHI") *
(Table_ThuChiKD[Ngày GD] &lt; J$4)
)),0)
+SUM($D$41:K41)+SUM($D$42:K44)+SUM($D$39:K40)+SUM($D$45:K45)</f>
        <v>#N/A</v>
      </c>
      <c r="L46" s="104" t="e" cm="1">
        <f t="array" ref="L46" xml:space="preserve">
Sheet_BaoCaoTaiChinh!$D$74
+ IFERROR(SUM(_xlfn._xlws.FILTER( Table_ThuChiKD[Giá trị sau phí],
(Table_ThuChiKD[Loại GD] = "THU") *
(Table_ThuChiKD[Ngày GD] &lt; K$4)
)),0)
- IFERROR(SUM(_xlfn._xlws.FILTER( Table_ThuChiKD[Giá trị sau phí],
(Table_ThuChiKD[Loại GD] = "CHI") *
(Table_ThuChiKD[Ngày GD] &lt; K$4)
)),0)
+ IFERROR(SUM(_xlfn._xlws.FILTER( Table_ThuChiTC[Giá trị GD],
(Table_ThuChiTC[Loại GD]= "THU") *
(Table_ThuChiKD[Ngày GD] &lt; K$4)
)),0)
- IFERROR(SUM(_xlfn._xlws.FILTER( Table_ThuChiTC[Giá trị GD],
(Table_ThuChiTC[Loại GD]= "CHI") *
(Table_ThuChiKD[Ngày GD] &lt; K$4)
)),0)
+SUM($D$41:L41)+SUM($D$42:L44)+SUM($D$39:L40)+SUM($D$45:L45)</f>
        <v>#N/A</v>
      </c>
      <c r="M46" s="104" t="e" cm="1">
        <f t="array" ref="M46" xml:space="preserve">
Sheet_BaoCaoTaiChinh!$D$74
+ IFERROR(SUM(_xlfn._xlws.FILTER( Table_ThuChiKD[Giá trị sau phí],
(Table_ThuChiKD[Loại GD] = "THU") *
(Table_ThuChiKD[Ngày GD] &lt; L$4)
)),0)
- IFERROR(SUM(_xlfn._xlws.FILTER( Table_ThuChiKD[Giá trị sau phí],
(Table_ThuChiKD[Loại GD] = "CHI") *
(Table_ThuChiKD[Ngày GD] &lt; L$4)
)),0)
+ IFERROR(SUM(_xlfn._xlws.FILTER( Table_ThuChiTC[Giá trị GD],
(Table_ThuChiTC[Loại GD]= "THU") *
(Table_ThuChiKD[Ngày GD] &lt; L$4)
)),0)
- IFERROR(SUM(_xlfn._xlws.FILTER( Table_ThuChiTC[Giá trị GD],
(Table_ThuChiTC[Loại GD]= "CHI") *
(Table_ThuChiKD[Ngày GD] &lt; L$4)
)),0)
+SUM($D$41:M41)+SUM($D$42:M44)+SUM($D$39:M40)+SUM($D$45:M45)</f>
        <v>#N/A</v>
      </c>
      <c r="N46" s="104" t="e" cm="1">
        <f t="array" ref="N46" xml:space="preserve">
Sheet_BaoCaoTaiChinh!$D$74
+ IFERROR(SUM(_xlfn._xlws.FILTER( Table_ThuChiKD[Giá trị sau phí],
(Table_ThuChiKD[Loại GD] = "THU") *
(Table_ThuChiKD[Ngày GD] &lt; M$4)
)),0)
- IFERROR(SUM(_xlfn._xlws.FILTER( Table_ThuChiKD[Giá trị sau phí],
(Table_ThuChiKD[Loại GD] = "CHI") *
(Table_ThuChiKD[Ngày GD] &lt; M$4)
)),0)
+ IFERROR(SUM(_xlfn._xlws.FILTER( Table_ThuChiTC[Giá trị GD],
(Table_ThuChiTC[Loại GD]= "THU") *
(Table_ThuChiKD[Ngày GD] &lt; M$4)
)),0)
- IFERROR(SUM(_xlfn._xlws.FILTER( Table_ThuChiTC[Giá trị GD],
(Table_ThuChiTC[Loại GD]= "CHI") *
(Table_ThuChiKD[Ngày GD] &lt; M$4)
)),0)
+SUM($D$41:N41)+SUM($D$42:N44)+SUM($D$39:N40)+SUM($D$45:N45)</f>
        <v>#N/A</v>
      </c>
      <c r="O46" s="104" t="e" cm="1">
        <f t="array" ref="O46" xml:space="preserve">
Sheet_BaoCaoTaiChinh!$D$74
+ IFERROR(SUM(_xlfn._xlws.FILTER( Table_ThuChiKD[Giá trị sau phí],
(Table_ThuChiKD[Loại GD] = "THU") *
(Table_ThuChiKD[Ngày GD] &lt; N$4)
)),0)
- IFERROR(SUM(_xlfn._xlws.FILTER( Table_ThuChiKD[Giá trị sau phí],
(Table_ThuChiKD[Loại GD] = "CHI") *
(Table_ThuChiKD[Ngày GD] &lt; N$4)
)),0)
+ IFERROR(SUM(_xlfn._xlws.FILTER( Table_ThuChiTC[Giá trị GD],
(Table_ThuChiTC[Loại GD]= "THU") *
(Table_ThuChiKD[Ngày GD] &lt; N$4)
)),0)
- IFERROR(SUM(_xlfn._xlws.FILTER( Table_ThuChiTC[Giá trị GD],
(Table_ThuChiTC[Loại GD]= "CHI") *
(Table_ThuChiKD[Ngày GD] &lt; N$4)
)),0)
+SUM($D$41:O41)+SUM($D$42:O44)+SUM($D$39:O40)+SUM($D$45:O45)</f>
        <v>#N/A</v>
      </c>
      <c r="P46" s="431"/>
      <c r="R46" s="87" t="s">
        <v>1032</v>
      </c>
      <c r="S46" s="471"/>
      <c r="T46" s="331" t="e" cm="1">
        <f t="array" ref="T46">INDEX(Table_KeHoach_Nam[#All],42,
COUNTA(Table_KeHoach_Nam[#Headers])-1)/S3</f>
        <v>#REF!</v>
      </c>
      <c r="V46" s="87" t="s">
        <v>319</v>
      </c>
      <c r="W46" s="104"/>
      <c r="X46" s="104"/>
    </row>
    <row r="47" spans="2:24" s="53" customFormat="1" ht="18" customHeight="1" outlineLevel="1" x14ac:dyDescent="0.3">
      <c r="B47" s="87"/>
      <c r="C47" s="104"/>
      <c r="D47" s="104"/>
      <c r="E47" s="104"/>
      <c r="F47" s="104"/>
      <c r="G47" s="104"/>
      <c r="H47" s="104"/>
      <c r="I47" s="104"/>
      <c r="J47" s="104"/>
      <c r="K47" s="104"/>
      <c r="L47" s="104"/>
      <c r="M47" s="104"/>
      <c r="N47" s="104"/>
      <c r="O47" s="104"/>
      <c r="P47" s="207"/>
      <c r="R47" s="87"/>
      <c r="S47" s="471"/>
      <c r="T47" s="331"/>
      <c r="V47" s="87"/>
      <c r="W47" s="87"/>
      <c r="X47" s="331"/>
    </row>
    <row r="48" spans="2:24" s="53" customFormat="1" ht="18" customHeight="1" x14ac:dyDescent="0.3">
      <c r="B48" s="54" t="s">
        <v>1037</v>
      </c>
      <c r="C48" s="473"/>
      <c r="D48" s="474"/>
      <c r="E48" s="474"/>
      <c r="F48" s="474"/>
      <c r="G48" s="474"/>
      <c r="H48" s="474"/>
      <c r="I48" s="474"/>
      <c r="J48" s="474"/>
      <c r="K48" s="474"/>
      <c r="L48" s="474"/>
      <c r="M48" s="474"/>
      <c r="N48" s="474"/>
      <c r="O48" s="474"/>
      <c r="P48" s="474"/>
      <c r="T48" s="7"/>
      <c r="X48" s="7"/>
    </row>
    <row r="49" spans="2:25" s="53" customFormat="1" ht="18" customHeight="1" x14ac:dyDescent="0.3">
      <c r="B49" s="12" t="s">
        <v>320</v>
      </c>
      <c r="C49" s="478" t="s">
        <v>322</v>
      </c>
      <c r="D49" s="478" t="s">
        <v>268</v>
      </c>
      <c r="E49" s="478" t="s">
        <v>269</v>
      </c>
      <c r="F49" s="478" t="s">
        <v>270</v>
      </c>
      <c r="G49" s="478" t="s">
        <v>271</v>
      </c>
      <c r="H49" s="478" t="s">
        <v>272</v>
      </c>
      <c r="I49" s="478" t="s">
        <v>273</v>
      </c>
      <c r="J49" s="478" t="s">
        <v>274</v>
      </c>
      <c r="K49" s="478" t="s">
        <v>275</v>
      </c>
      <c r="L49" s="478" t="s">
        <v>276</v>
      </c>
      <c r="M49" s="478" t="s">
        <v>277</v>
      </c>
      <c r="N49" s="478" t="s">
        <v>278</v>
      </c>
      <c r="O49" s="478" t="s">
        <v>279</v>
      </c>
      <c r="P49" s="479" t="s">
        <v>873</v>
      </c>
    </row>
    <row r="50" spans="2:25" s="53" customFormat="1" ht="18" customHeight="1" x14ac:dyDescent="0.3">
      <c r="B50" s="7"/>
      <c r="C50" s="71" t="e" cm="1">
        <f t="array" ref="C50" xml:space="preserve">
(
(+IFERROR(SUM(
_xlfn._xlws.FILTER(Table_Main[Số lượng],
(Table_Main[Mã SKU] = $B50) *
NOT(ISBLANK(Table_Main[Đơn bán]))*
(Table_Main[Loại] = "Xuất")*
(Table_Main[Ngày lên đơn] &gt;= DATE(YEAR(BCQT_KetThuc)-1,1,1))*
(Table_Main[Ngày lên đơn] &lt; DATE(YEAR(BCQT_KetThuc),1,1))
)),0)
-IFERROR(SUM(
_xlfn._xlws.FILTER(Table_Main[Số lượng],
(Table_Main[Mã SKU] = $B50) *
NOT(ISBLANK(Table_Main[Đơn bán]))*
(Table_Main[Loại] = "Nhập")*
(Table_Main[Ngày lên đơn] &gt;= DATE(YEAR(BCQT_KetThuc)-1,1,1))*
(Table_Main[Ngày lên đơn] &lt; DATE(YEAR(BCQT_KetThuc),1,1))
)),0)) /
(+IFERROR(SUM(
_xlfn._xlws.FILTER(Table_Main[Số lượng],
(Table_Main[Mã SKU] = $B50) *
NOT(ISBLANK(Table_Main[Đơn bán]))*
(Table_Main[Loại] = "Xuất")*
(Table_Main[Ngày lên đơn] &gt;= DATE(YEAR(BCQT_BatDau),1,1))*
(Table_Main[Ngày lên đơn] &lt; DATE(YEAR(BCQT_BatDau)+1,1,1))
)),0)
-IFERROR(SUM(
_xlfn._xlws.FILTER(Table_Main[Số lượng],
(Table_Main[Mã SKU] = $B50) *
NOT(ISBLANK(Table_Main[Đơn bán]))*
(Table_Main[Loại] = "Nhập")*
(Table_Main[Ngày lên đơn] &gt;= DATE(YEAR(BCQT_BatDau),1,1))*
(Table_Main[Ngày lên đơn] &lt; DATE(YEAR(BCQT_BatDau)+1,1,1))
)),0))
) ^(1/(YEAR(BCQT_KetThuc)-YEAR(BCQT_BatDau)))
-1</f>
        <v>#DIV/0!</v>
      </c>
      <c r="D50" s="71" t="e" cm="1">
        <f t="array" ref="D50" xml:space="preserve">
(+IFERROR(SUM(
_xlfn._xlws.FILTER(Table_Main[Số lượng],
(Table_Main[Mã SKU] = $B50) *
NOT(ISBLANK(Table_Main[Đơn bán]))*
(Table_Main[Loại] = "Xuất")*
(Table_Main[Ngày lên đơn] &gt;= BCQT_BatDau)*
(Table_Main[Ngày lên đơn] &lt; BCQT_KetThuc)*
(Table_Main[Tháng lên đơn] = D$1)
)),0)
-IFERROR(SUM(
_xlfn._xlws.FILTER(Table_Main[Số lượng],
(Table_Main[Mã SKU] = $B50) *
NOT(ISBLANK(Table_Main[Đơn bán]))*
(Table_Main[Loại] = "Nhập")*
(Table_Main[Ngày lên đơn] &gt;= BCQT_BatDau)*
(Table_Main[Ngày lên đơn] &lt; BCQT_KetThuc)*
(Table_Main[Tháng lên đơn] = D$1)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E50" s="71" t="e" cm="1">
        <f t="array" ref="E50" xml:space="preserve">
(+IFERROR(SUM(
_xlfn._xlws.FILTER(Table_Main[Số lượng],
(Table_Main[Mã SKU] = $B50) *
NOT(ISBLANK(Table_Main[Đơn bán]))*
(Table_Main[Loại] = "Xuất")*
(Table_Main[Ngày lên đơn] &gt;= BCQT_BatDau)*
(Table_Main[Ngày lên đơn] &lt; BCQT_KetThuc)*
(Table_Main[Tháng lên đơn] = E$1)
)),0)
-IFERROR(SUM(
_xlfn._xlws.FILTER(Table_Main[Số lượng],
(Table_Main[Mã SKU] = $B50) *
NOT(ISBLANK(Table_Main[Đơn bán]))*
(Table_Main[Loại] = "Nhập")*
(Table_Main[Ngày lên đơn] &gt;= BCQT_BatDau)*
(Table_Main[Ngày lên đơn] &lt; BCQT_KetThuc)*
(Table_Main[Tháng lên đơn] = E$1)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F50" s="71" t="e" cm="1">
        <f t="array" ref="F50" xml:space="preserve">
(+IFERROR(SUM(
_xlfn._xlws.FILTER(Table_Main[Số lượng],
(Table_Main[Mã SKU] = $B50) *
NOT(ISBLANK(Table_Main[Đơn bán]))*
(Table_Main[Loại] = "Xuất")*
(Table_Main[Ngày lên đơn] &gt;= BCQT_BatDau)*
(Table_Main[Ngày lên đơn] &lt; BCQT_KetThuc)*
(Table_Main[Tháng lên đơn] = F$1)
)),0)
-IFERROR(SUM(
_xlfn._xlws.FILTER(Table_Main[Số lượng],
(Table_Main[Mã SKU] = $B50) *
NOT(ISBLANK(Table_Main[Đơn bán]))*
(Table_Main[Loại] = "Nhập")*
(Table_Main[Ngày lên đơn] &gt;= BCQT_BatDau)*
(Table_Main[Ngày lên đơn] &lt; BCQT_KetThuc)*
(Table_Main[Tháng lên đơn] = F$1)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G50" s="71" t="e" cm="1">
        <f t="array" ref="G50" xml:space="preserve">
(+IFERROR(SUM(
_xlfn._xlws.FILTER(Table_Main[Số lượng],
(Table_Main[Mã SKU] = $B50) *
NOT(ISBLANK(Table_Main[Đơn bán]))*
(Table_Main[Loại] = "Xuất")*
(Table_Main[Ngày lên đơn] &gt;= BCQT_BatDau)*
(Table_Main[Ngày lên đơn] &lt; BCQT_KetThuc)*
(Table_Main[Tháng lên đơn] = G$1)
)),0)
-IFERROR(SUM(
_xlfn._xlws.FILTER(Table_Main[Số lượng],
(Table_Main[Mã SKU] = $B50) *
NOT(ISBLANK(Table_Main[Đơn bán]))*
(Table_Main[Loại] = "Nhập")*
(Table_Main[Ngày lên đơn] &gt;= BCQT_BatDau)*
(Table_Main[Ngày lên đơn] &lt; BCQT_KetThuc)*
(Table_Main[Tháng lên đơn] = G$1)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H50" s="71" t="e" cm="1">
        <f t="array" ref="H50" xml:space="preserve">
(+IFERROR(SUM(
_xlfn._xlws.FILTER(Table_Main[Số lượng],
(Table_Main[Mã SKU] = $B50) *
NOT(ISBLANK(Table_Main[Đơn bán]))*
(Table_Main[Loại] = "Xuất")*
(Table_Main[Ngày lên đơn] &gt;= BCQT_BatDau)*
(Table_Main[Ngày lên đơn] &lt; BCQT_KetThuc)*
(Table_Main[Tháng lên đơn] = H$1)
)),0)
-IFERROR(SUM(
_xlfn._xlws.FILTER(Table_Main[Số lượng],
(Table_Main[Mã SKU] = $B50) *
NOT(ISBLANK(Table_Main[Đơn bán]))*
(Table_Main[Loại] = "Nhập")*
(Table_Main[Ngày lên đơn] &gt;= BCQT_BatDau)*
(Table_Main[Ngày lên đơn] &lt; BCQT_KetThuc)*
(Table_Main[Tháng lên đơn] = H$1)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I50" s="71" t="e" cm="1">
        <f t="array" ref="I50" xml:space="preserve">
(+IFERROR(SUM(
_xlfn._xlws.FILTER(Table_Main[Số lượng],
(Table_Main[Mã SKU] = $B50) *
NOT(ISBLANK(Table_Main[Đơn bán]))*
(Table_Main[Loại] = "Xuất")*
(Table_Main[Ngày lên đơn] &gt;= BCQT_BatDau)*
(Table_Main[Ngày lên đơn] &lt; BCQT_KetThuc)*
(Table_Main[Tháng lên đơn] = I$1)
)),0)
-IFERROR(SUM(
_xlfn._xlws.FILTER(Table_Main[Số lượng],
(Table_Main[Mã SKU] = $B50) *
NOT(ISBLANK(Table_Main[Đơn bán]))*
(Table_Main[Loại] = "Nhập")*
(Table_Main[Ngày lên đơn] &gt;= BCQT_BatDau)*
(Table_Main[Ngày lên đơn] &lt; BCQT_KetThuc)*
(Table_Main[Tháng lên đơn] = I$1)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J50" s="71" t="e" cm="1">
        <f t="array" ref="J50" xml:space="preserve">
(+IFERROR(SUM(
_xlfn._xlws.FILTER(Table_Main[Số lượng],
(Table_Main[Mã SKU] = $B50) *
NOT(ISBLANK(Table_Main[Đơn bán]))*
(Table_Main[Loại] = "Xuất")*
(Table_Main[Ngày lên đơn] &gt;= BCQT_BatDau)*
(Table_Main[Ngày lên đơn] &lt; BCQT_KetThuc)*
(Table_Main[Tháng lên đơn] = J$1)
)),0)
-IFERROR(SUM(
_xlfn._xlws.FILTER(Table_Main[Số lượng],
(Table_Main[Mã SKU] = $B50) *
NOT(ISBLANK(Table_Main[Đơn bán]))*
(Table_Main[Loại] = "Nhập")*
(Table_Main[Ngày lên đơn] &gt;= BCQT_BatDau)*
(Table_Main[Ngày lên đơn] &lt; BCQT_KetThuc)*
(Table_Main[Tháng lên đơn] = J$1)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K50" s="71" t="e" cm="1">
        <f t="array" ref="K50" xml:space="preserve">
(+IFERROR(SUM(
_xlfn._xlws.FILTER(Table_Main[Số lượng],
(Table_Main[Mã SKU] = $B50) *
NOT(ISBLANK(Table_Main[Đơn bán]))*
(Table_Main[Loại] = "Xuất")*
(Table_Main[Ngày lên đơn] &gt;= BCQT_BatDau)*
(Table_Main[Ngày lên đơn] &lt; BCQT_KetThuc)*
(Table_Main[Tháng lên đơn] = K$1)
)),0)
-IFERROR(SUM(
_xlfn._xlws.FILTER(Table_Main[Số lượng],
(Table_Main[Mã SKU] = $B50) *
NOT(ISBLANK(Table_Main[Đơn bán]))*
(Table_Main[Loại] = "Nhập")*
(Table_Main[Ngày lên đơn] &gt;= BCQT_BatDau)*
(Table_Main[Ngày lên đơn] &lt; BCQT_KetThuc)*
(Table_Main[Tháng lên đơn] = K$1)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L50" s="71" t="e" cm="1">
        <f t="array" ref="L50" xml:space="preserve">
(+IFERROR(SUM(
_xlfn._xlws.FILTER(Table_Main[Số lượng],
(Table_Main[Mã SKU] = $B50) *
NOT(ISBLANK(Table_Main[Đơn bán]))*
(Table_Main[Loại] = "Xuất")*
(Table_Main[Ngày lên đơn] &gt;= BCQT_BatDau)*
(Table_Main[Ngày lên đơn] &lt; BCQT_KetThuc)*
(Table_Main[Tháng lên đơn] = L$1)
)),0)
-IFERROR(SUM(
_xlfn._xlws.FILTER(Table_Main[Số lượng],
(Table_Main[Mã SKU] = $B50) *
NOT(ISBLANK(Table_Main[Đơn bán]))*
(Table_Main[Loại] = "Nhập")*
(Table_Main[Ngày lên đơn] &gt;= BCQT_BatDau)*
(Table_Main[Ngày lên đơn] &lt; BCQT_KetThuc)*
(Table_Main[Tháng lên đơn] = L$1)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M50" s="71" t="e" cm="1">
        <f t="array" ref="M50" xml:space="preserve">
(+IFERROR(SUM(
_xlfn._xlws.FILTER(Table_Main[Số lượng],
(Table_Main[Mã SKU] = $B50) *
NOT(ISBLANK(Table_Main[Đơn bán]))*
(Table_Main[Loại] = "Xuất")*
(Table_Main[Ngày lên đơn] &gt;= BCQT_BatDau)*
(Table_Main[Ngày lên đơn] &lt; BCQT_KetThuc)*
(Table_Main[Tháng lên đơn] = M$1)
)),0)
-IFERROR(SUM(
_xlfn._xlws.FILTER(Table_Main[Số lượng],
(Table_Main[Mã SKU] = $B50) *
NOT(ISBLANK(Table_Main[Đơn bán]))*
(Table_Main[Loại] = "Nhập")*
(Table_Main[Ngày lên đơn] &gt;= BCQT_BatDau)*
(Table_Main[Ngày lên đơn] &lt; BCQT_KetThuc)*
(Table_Main[Tháng lên đơn] = M$1)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N50" s="71" t="e" cm="1">
        <f t="array" ref="N50" xml:space="preserve">
(+IFERROR(SUM(
_xlfn._xlws.FILTER(Table_Main[Số lượng],
(Table_Main[Mã SKU] = $B50) *
NOT(ISBLANK(Table_Main[Đơn bán]))*
(Table_Main[Loại] = "Xuất")*
(Table_Main[Ngày lên đơn] &gt;= BCQT_BatDau)*
(Table_Main[Ngày lên đơn] &lt; BCQT_KetThuc)*
(Table_Main[Tháng lên đơn] = N$1)
)),0)
-IFERROR(SUM(
_xlfn._xlws.FILTER(Table_Main[Số lượng],
(Table_Main[Mã SKU] = $B50) *
NOT(ISBLANK(Table_Main[Đơn bán]))*
(Table_Main[Loại] = "Nhập")*
(Table_Main[Ngày lên đơn] &gt;= BCQT_BatDau)*
(Table_Main[Ngày lên đơn] &lt; BCQT_KetThuc)*
(Table_Main[Tháng lên đơn] = N$1)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O50" s="71" t="e" cm="1">
        <f t="array" ref="O50" xml:space="preserve">
(+IFERROR(SUM(
_xlfn._xlws.FILTER(Table_Main[Số lượng],
(Table_Main[Mã SKU] = $B50) *
NOT(ISBLANK(Table_Main[Đơn bán]))*
(Table_Main[Loại] = "Xuất")*
(Table_Main[Ngày lên đơn] &gt;= BCQT_BatDau)*
(Table_Main[Ngày lên đơn] &lt; BCQT_KetThuc)*
(Table_Main[Tháng lên đơn] = O$1)
)),0)
-IFERROR(SUM(
_xlfn._xlws.FILTER(Table_Main[Số lượng],
(Table_Main[Mã SKU] = $B50) *
NOT(ISBLANK(Table_Main[Đơn bán]))*
(Table_Main[Loại] = "Nhập")*
(Table_Main[Ngày lên đơn] &gt;= BCQT_BatDau)*
(Table_Main[Ngày lên đơn] &lt; BCQT_KetThuc)*
(Table_Main[Tháng lên đơn] = O$1)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P50" s="71"/>
      <c r="R50" s="12"/>
      <c r="S50" s="12"/>
      <c r="T50" s="12"/>
      <c r="V50" s="12"/>
      <c r="W50" s="12"/>
      <c r="X50" s="12"/>
    </row>
    <row r="51" spans="2:25" s="53" customFormat="1" ht="18" customHeight="1" x14ac:dyDescent="0.3">
      <c r="B51" s="7"/>
      <c r="C51" s="27"/>
      <c r="D51" s="7"/>
      <c r="E51" s="7"/>
      <c r="F51" s="7"/>
      <c r="G51" s="7"/>
      <c r="H51" s="7"/>
      <c r="I51" s="7"/>
      <c r="J51" s="7"/>
      <c r="K51" s="7"/>
      <c r="L51" s="7"/>
      <c r="M51" s="7"/>
      <c r="N51" s="7"/>
      <c r="O51" s="7"/>
      <c r="P51" s="7"/>
      <c r="R51" s="12"/>
      <c r="S51" s="12"/>
      <c r="T51" s="12"/>
      <c r="V51" s="12"/>
      <c r="W51" s="12"/>
      <c r="X51" s="12"/>
    </row>
    <row r="52" spans="2:25" s="53" customFormat="1" ht="18" customHeight="1" x14ac:dyDescent="0.3">
      <c r="B52" s="54" t="s">
        <v>1038</v>
      </c>
      <c r="C52" s="27"/>
      <c r="D52" s="7"/>
      <c r="E52" s="7"/>
      <c r="F52" s="7"/>
      <c r="G52" s="7"/>
      <c r="H52" s="7"/>
      <c r="I52" s="7"/>
      <c r="J52" s="7"/>
      <c r="K52" s="7"/>
      <c r="L52" s="7"/>
      <c r="M52" s="7"/>
      <c r="N52" s="7"/>
      <c r="O52" s="7"/>
      <c r="P52" s="7"/>
      <c r="R52" s="7"/>
      <c r="S52" s="7"/>
      <c r="T52" s="12"/>
      <c r="V52" s="7"/>
      <c r="X52" s="12"/>
    </row>
    <row r="53" spans="2:25" s="53" customFormat="1" ht="18" customHeight="1" x14ac:dyDescent="0.3">
      <c r="B53" s="12" t="s">
        <v>323</v>
      </c>
      <c r="C53" s="480" t="s">
        <v>267</v>
      </c>
      <c r="D53" s="480" t="s">
        <v>268</v>
      </c>
      <c r="E53" s="480" t="s">
        <v>269</v>
      </c>
      <c r="F53" s="480" t="s">
        <v>270</v>
      </c>
      <c r="G53" s="480" t="s">
        <v>271</v>
      </c>
      <c r="H53" s="480" t="s">
        <v>272</v>
      </c>
      <c r="I53" s="480" t="s">
        <v>273</v>
      </c>
      <c r="J53" s="480" t="s">
        <v>274</v>
      </c>
      <c r="K53" s="480" t="s">
        <v>275</v>
      </c>
      <c r="L53" s="480" t="s">
        <v>276</v>
      </c>
      <c r="M53" s="480" t="s">
        <v>277</v>
      </c>
      <c r="N53" s="480" t="s">
        <v>278</v>
      </c>
      <c r="O53" s="480" t="s">
        <v>279</v>
      </c>
      <c r="P53" s="481" t="s">
        <v>873</v>
      </c>
      <c r="Q53" s="7"/>
      <c r="R53" s="12"/>
      <c r="S53" s="12"/>
      <c r="T53" s="12"/>
      <c r="U53" s="7"/>
      <c r="V53" s="12"/>
      <c r="W53" s="12"/>
      <c r="X53" s="12"/>
    </row>
    <row r="54" spans="2:25" ht="18" customHeight="1" x14ac:dyDescent="0.3">
      <c r="C54" s="15" t="e" cm="1">
        <f t="array" ref="C54" xml:space="preserve">
(+IFERROR(SUM(
_xlfn._xlws.FILTER(Table_Main[Số lượng],
(Table_Main[Mã SKU] = $B54) *
NOT(ISBLANK(Table_Main[Đơn bán]))*
(Table_Main[Loại] = "Xuất")*
(Table_Main[Ngày lên đơn] &gt;= BCQT_BatDau)*
(Table_Main[Ngày lên đơn] &lt; BCQT_KetThuc)
)),0)
-IFERROR(SUM(
_xlfn._xlws.FILTER(Table_Main[Số lượng],
(Table_Main[Mã SKU] = $B54) *
NOT(ISBLANK(Table_Main[Đơn bán]))*
(Table_Main[Loại] = "Nhập")*
(Table_Main[Ngày lên đơn] &gt;= BCQT_BatDau)*
(Table_Main[Ngày lên đơn] &lt; BCQT_KetThuc)
)),0)) /
ROUND((BCQT_KetThuc-BCQT_BatDau)/(365.25/12),0)</f>
        <v>#DIV/0!</v>
      </c>
      <c r="D54" s="15"/>
      <c r="E54" s="15"/>
      <c r="F54" s="15"/>
      <c r="G54" s="15"/>
      <c r="H54" s="15"/>
      <c r="I54" s="15"/>
      <c r="J54" s="15"/>
      <c r="K54" s="15"/>
      <c r="L54" s="15"/>
      <c r="M54" s="15"/>
      <c r="N54" s="15"/>
      <c r="O54" s="15"/>
      <c r="P54" s="15"/>
    </row>
    <row r="55" spans="2:25" s="53" customFormat="1" ht="18" customHeight="1" x14ac:dyDescent="0.3">
      <c r="B55" s="28" t="s">
        <v>69</v>
      </c>
      <c r="C55" s="18" t="e">
        <f>SUM(Table_KeHoach_SanLuong[Tham chiếu])</f>
        <v>#DIV/0!</v>
      </c>
      <c r="D55" s="18">
        <f>SUM(Table_KeHoach_SanLuong[Tháng 1])</f>
        <v>0</v>
      </c>
      <c r="E55" s="18">
        <f>SUM(Table_KeHoach_SanLuong[Tháng 2])</f>
        <v>0</v>
      </c>
      <c r="F55" s="18">
        <f>SUM(Table_KeHoach_SanLuong[Tháng 3])</f>
        <v>0</v>
      </c>
      <c r="G55" s="18">
        <f>SUM(Table_KeHoach_SanLuong[Tháng 4])</f>
        <v>0</v>
      </c>
      <c r="H55" s="18">
        <f>SUM(Table_KeHoach_SanLuong[Tháng 5])</f>
        <v>0</v>
      </c>
      <c r="I55" s="18">
        <f>SUM(Table_KeHoach_SanLuong[Tháng 6])</f>
        <v>0</v>
      </c>
      <c r="J55" s="18">
        <f>SUM(Table_KeHoach_SanLuong[Tháng 7])</f>
        <v>0</v>
      </c>
      <c r="K55" s="18">
        <f>SUM(Table_KeHoach_SanLuong[Tháng 8])</f>
        <v>0</v>
      </c>
      <c r="L55" s="18">
        <f>SUM(Table_KeHoach_SanLuong[Tháng 9])</f>
        <v>0</v>
      </c>
      <c r="M55" s="18">
        <f>SUM(Table_KeHoach_SanLuong[Tháng 10])</f>
        <v>0</v>
      </c>
      <c r="N55" s="18">
        <f>SUM(Table_KeHoach_SanLuong[Tháng 11])</f>
        <v>0</v>
      </c>
      <c r="O55" s="18">
        <f>SUM(Table_KeHoach_SanLuong[Tháng 12])</f>
        <v>0</v>
      </c>
      <c r="P55" s="18"/>
      <c r="R55" s="7"/>
      <c r="S55" s="7"/>
      <c r="T55" s="7"/>
      <c r="V55" s="7"/>
      <c r="W55" s="7"/>
      <c r="X55" s="7"/>
    </row>
    <row r="56" spans="2:25" s="53" customFormat="1" ht="18" customHeight="1" x14ac:dyDescent="0.3">
      <c r="B56" s="7"/>
      <c r="C56" s="27"/>
      <c r="D56" s="7"/>
      <c r="E56" s="7"/>
      <c r="F56" s="7"/>
      <c r="G56" s="7"/>
      <c r="H56" s="7"/>
      <c r="I56" s="7"/>
      <c r="J56" s="7"/>
      <c r="K56" s="7"/>
      <c r="L56" s="7"/>
      <c r="M56" s="7"/>
      <c r="N56" s="7"/>
      <c r="O56" s="7"/>
      <c r="P56" s="7"/>
      <c r="T56" s="7"/>
      <c r="X56" s="7"/>
    </row>
    <row r="57" spans="2:25" s="53" customFormat="1" ht="18" customHeight="1" x14ac:dyDescent="0.3">
      <c r="B57" s="7" t="s">
        <v>1035</v>
      </c>
      <c r="C57" s="7"/>
      <c r="D57" s="7"/>
      <c r="E57" s="7"/>
      <c r="F57" s="7"/>
      <c r="G57" s="7"/>
      <c r="H57" s="7"/>
      <c r="I57" s="7"/>
      <c r="J57" s="7"/>
      <c r="K57" s="7"/>
      <c r="L57" s="7"/>
      <c r="M57" s="7"/>
      <c r="N57" s="7"/>
      <c r="O57" s="7"/>
      <c r="P57" s="7"/>
      <c r="R57" s="7"/>
      <c r="S57" s="7"/>
      <c r="V57" s="12"/>
      <c r="W57" s="12"/>
    </row>
    <row r="58" spans="2:25" s="53" customFormat="1" ht="18" customHeight="1" x14ac:dyDescent="0.3">
      <c r="B58" s="7" t="s">
        <v>324</v>
      </c>
      <c r="C58" s="480" t="s">
        <v>267</v>
      </c>
      <c r="D58" s="480" t="s">
        <v>268</v>
      </c>
      <c r="E58" s="480" t="s">
        <v>269</v>
      </c>
      <c r="F58" s="480" t="s">
        <v>270</v>
      </c>
      <c r="G58" s="480" t="s">
        <v>271</v>
      </c>
      <c r="H58" s="480" t="s">
        <v>272</v>
      </c>
      <c r="I58" s="480" t="s">
        <v>273</v>
      </c>
      <c r="J58" s="480" t="s">
        <v>274</v>
      </c>
      <c r="K58" s="480" t="s">
        <v>275</v>
      </c>
      <c r="L58" s="480" t="s">
        <v>276</v>
      </c>
      <c r="M58" s="480" t="s">
        <v>277</v>
      </c>
      <c r="N58" s="480" t="s">
        <v>278</v>
      </c>
      <c r="O58" s="480" t="s">
        <v>279</v>
      </c>
      <c r="P58" s="481" t="s">
        <v>873</v>
      </c>
      <c r="Q58" s="7"/>
      <c r="R58" s="7"/>
      <c r="S58" s="7"/>
      <c r="T58" s="7"/>
      <c r="U58" s="12"/>
      <c r="V58" s="7"/>
      <c r="W58" s="7"/>
      <c r="X58" s="7"/>
    </row>
    <row r="59" spans="2:25" s="53" customFormat="1" ht="18" customHeight="1" x14ac:dyDescent="0.3">
      <c r="B59" s="7"/>
      <c r="C59" s="15" cm="1">
        <f t="array" ref="C59">+IFERROR(
SUM(
_xlfn._xlws.FILTER(Table_Main[Thành tiền niêm yết],
(Table_Main[Mã SKU] = $B59) *
NOT(ISBLANK(Table_Main[Đơn bán]))*
(Table_Main[Loại] = "Xuất")*
(Table_Main[Ngày lên đơn] &gt;= BCQT_BatDau)*
(Table_Main[Ngày lên đơn] &lt; BCQT_KetThuc)
)) /
SUM(
_xlfn._xlws.FILTER(Table_Main[Số lượng],
(Table_Main[Mã SKU] = $B59) *
NOT(ISBLANK(Table_Main[Đơn bán]))*
(Table_Main[Loại] = "Xuất")*
(Table_Main[Ngày lên đơn] &gt;= BCQT_BatDau)*
(Table_Main[Ngày lên đơn] &lt; BCQT_KetThuc)
)),0)</f>
        <v>0</v>
      </c>
      <c r="D59" s="15"/>
      <c r="E59" s="15"/>
      <c r="F59" s="15"/>
      <c r="G59" s="15"/>
      <c r="H59" s="15"/>
      <c r="I59" s="15"/>
      <c r="J59" s="15"/>
      <c r="K59" s="15"/>
      <c r="L59" s="15"/>
      <c r="M59" s="15"/>
      <c r="N59" s="15"/>
      <c r="O59" s="15"/>
      <c r="P59" s="15"/>
      <c r="R59" s="7"/>
      <c r="S59" s="7"/>
      <c r="T59" s="7"/>
      <c r="V59" s="7"/>
      <c r="W59" s="7"/>
      <c r="X59" s="7"/>
    </row>
    <row r="60" spans="2:25" ht="18" customHeight="1" x14ac:dyDescent="0.3">
      <c r="R60" s="12"/>
      <c r="S60" s="12"/>
      <c r="V60" s="12"/>
      <c r="W60" s="12"/>
    </row>
    <row r="61" spans="2:25" s="53" customFormat="1" ht="18" customHeight="1" x14ac:dyDescent="0.3">
      <c r="B61" s="7" t="s">
        <v>1036</v>
      </c>
      <c r="C61" s="7"/>
      <c r="D61" s="7"/>
      <c r="E61" s="7"/>
      <c r="F61" s="7"/>
      <c r="G61" s="7"/>
      <c r="H61" s="7"/>
      <c r="I61" s="7"/>
      <c r="J61" s="7"/>
      <c r="K61" s="7"/>
      <c r="L61" s="7"/>
      <c r="M61" s="7"/>
      <c r="N61" s="7"/>
      <c r="O61" s="7"/>
      <c r="P61" s="7"/>
      <c r="R61" s="7"/>
      <c r="S61" s="7"/>
      <c r="V61" s="12"/>
      <c r="W61" s="12"/>
    </row>
    <row r="62" spans="2:25" s="53" customFormat="1" ht="18" customHeight="1" x14ac:dyDescent="0.3">
      <c r="B62" s="46" t="s">
        <v>1269</v>
      </c>
      <c r="C62" s="480" t="s">
        <v>267</v>
      </c>
      <c r="D62" s="480" t="s">
        <v>268</v>
      </c>
      <c r="E62" s="480" t="s">
        <v>269</v>
      </c>
      <c r="F62" s="480" t="s">
        <v>270</v>
      </c>
      <c r="G62" s="480" t="s">
        <v>271</v>
      </c>
      <c r="H62" s="480" t="s">
        <v>272</v>
      </c>
      <c r="I62" s="480" t="s">
        <v>273</v>
      </c>
      <c r="J62" s="480" t="s">
        <v>274</v>
      </c>
      <c r="K62" s="480" t="s">
        <v>275</v>
      </c>
      <c r="L62" s="480" t="s">
        <v>276</v>
      </c>
      <c r="M62" s="480" t="s">
        <v>277</v>
      </c>
      <c r="N62" s="480" t="s">
        <v>278</v>
      </c>
      <c r="O62" s="480" t="s">
        <v>279</v>
      </c>
      <c r="P62" s="481" t="s">
        <v>873</v>
      </c>
      <c r="Q62" s="7"/>
      <c r="R62" s="7"/>
      <c r="S62" s="7"/>
      <c r="T62" s="7"/>
      <c r="U62" s="12"/>
      <c r="V62" s="7"/>
      <c r="W62" s="7"/>
      <c r="X62" s="7"/>
    </row>
    <row r="63" spans="2:25" s="53" customFormat="1" ht="18" customHeight="1" x14ac:dyDescent="0.3">
      <c r="B63" s="7"/>
      <c r="C63" s="18" t="e" cm="1">
        <f t="array" ref="C63" xml:space="preserve">
(+IFERROR(SUM(
_xlfn._xlws.FILTER(Table_Main[Giá trị bán trước VAT],
(Table_Main[Mã SKU] = $B63) *
NOT(ISBLANK(Table_Main[Đơn bán]))*
(Table_Main[Loại] = "Xuất")*
(Table_Main[Ngày lên đơn] &gt;= BCQT_BatDau)*
(Table_Main[Ngày lên đơn] &lt; BCQT_KetThuc)
)),0)
-IFERROR(SUM(
_xlfn._xlws.FILTER(Table_Main[Giá trị bán trước VAT],
(Table_Main[Mã SKU] = $B63) *
NOT(ISBLANK(Table_Main[Đơn bán]))*
(Table_Main[Loại] = "Nhập")*
(Table_Main[Ngày lên đơn] &gt;= BCQT_BatDau)*
(Table_Main[Ngày lên đơn] &lt; BCQT_KetThuc)
)),0)) /
ROUND((BCQT_KetThuc-BCQT_BatDau)/(365.25/12),0)</f>
        <v>#DIV/0!</v>
      </c>
      <c r="D63" s="18" t="e">
        <f xml:space="preserve">
INDEX(Table_KeHoach_SanLuong[[#Headers],[#Data]],
MATCH(Table_KeHoach_DoanhThu[[#This Row],[Kế hoạch doanh thu gộp]],Table_KeHoach_SanLuong[[#Headers],[#Data],[Kế hoạch sản lượng]],0),
MATCH(D$53,Table_KeHoach_SanLuong[#Headers],0)) *
INDEX(Table_KeHoach_Gia[#All],
MATCH(Table_KeHoach_DoanhThu[[#This Row],[Kế hoạch doanh thu gộp]],Table_KeHoach_Gia[[#All],[Kế hoạch giá niêm yết thành phẩm]],0),
MATCH(D$62,Table_KeHoach_Gia[#Headers],0))</f>
        <v>#N/A</v>
      </c>
      <c r="E63" s="18" t="e">
        <f xml:space="preserve">
INDEX(Table_KeHoach_SanLuong[[#Headers],[#Data]],
MATCH(Table_KeHoach_DoanhThu[[#This Row],[Kế hoạch doanh thu gộp]],Table_KeHoach_SanLuong[[#Headers],[#Data],[Kế hoạch sản lượng]],0),
MATCH(E$53,Table_KeHoach_SanLuong[#Headers],0)) *
INDEX(Table_KeHoach_Gia[#All],
MATCH(Table_KeHoach_DoanhThu[[#This Row],[Kế hoạch doanh thu gộp]],Table_KeHoach_Gia[[#All],[Kế hoạch giá niêm yết thành phẩm]],0),
MATCH(E$62,Table_KeHoach_Gia[#Headers],0))</f>
        <v>#N/A</v>
      </c>
      <c r="F63" s="18" t="e">
        <f xml:space="preserve">
INDEX(Table_KeHoach_SanLuong[[#Headers],[#Data]],
MATCH(Table_KeHoach_DoanhThu[[#This Row],[Kế hoạch doanh thu gộp]],Table_KeHoach_SanLuong[[#Headers],[#Data],[Kế hoạch sản lượng]],0),
MATCH(F$53,Table_KeHoach_SanLuong[#Headers],0)) *
INDEX(Table_KeHoach_Gia[#All],
MATCH(Table_KeHoach_DoanhThu[[#This Row],[Kế hoạch doanh thu gộp]],Table_KeHoach_Gia[[#All],[Kế hoạch giá niêm yết thành phẩm]],0),
MATCH(F$62,Table_KeHoach_Gia[#Headers],0))</f>
        <v>#N/A</v>
      </c>
      <c r="G63" s="18" t="e">
        <f xml:space="preserve">
INDEX(Table_KeHoach_SanLuong[[#Headers],[#Data]],
MATCH(Table_KeHoach_DoanhThu[[#This Row],[Kế hoạch doanh thu gộp]],Table_KeHoach_SanLuong[[#Headers],[#Data],[Kế hoạch sản lượng]],0),
MATCH(G$53,Table_KeHoach_SanLuong[#Headers],0)) *
INDEX(Table_KeHoach_Gia[#All],
MATCH(Table_KeHoach_DoanhThu[[#This Row],[Kế hoạch doanh thu gộp]],Table_KeHoach_Gia[[#All],[Kế hoạch giá niêm yết thành phẩm]],0),
MATCH(G$62,Table_KeHoach_Gia[#Headers],0))</f>
        <v>#N/A</v>
      </c>
      <c r="H63" s="18" t="e">
        <f xml:space="preserve">
INDEX(Table_KeHoach_SanLuong[[#Headers],[#Data]],
MATCH(Table_KeHoach_DoanhThu[[#This Row],[Kế hoạch doanh thu gộp]],Table_KeHoach_SanLuong[[#Headers],[#Data],[Kế hoạch sản lượng]],0),
MATCH(H$53,Table_KeHoach_SanLuong[#Headers],0)) *
INDEX(Table_KeHoach_Gia[#All],
MATCH(Table_KeHoach_DoanhThu[[#This Row],[Kế hoạch doanh thu gộp]],Table_KeHoach_Gia[[#All],[Kế hoạch giá niêm yết thành phẩm]],0),
MATCH(H$62,Table_KeHoach_Gia[#Headers],0))</f>
        <v>#N/A</v>
      </c>
      <c r="I63" s="18" t="e">
        <f xml:space="preserve">
INDEX(Table_KeHoach_SanLuong[[#Headers],[#Data]],
MATCH(Table_KeHoach_DoanhThu[[#This Row],[Kế hoạch doanh thu gộp]],Table_KeHoach_SanLuong[[#Headers],[#Data],[Kế hoạch sản lượng]],0),
MATCH(I$53,Table_KeHoach_SanLuong[#Headers],0)) *
INDEX(Table_KeHoach_Gia[#All],
MATCH(Table_KeHoach_DoanhThu[[#This Row],[Kế hoạch doanh thu gộp]],Table_KeHoach_Gia[[#All],[Kế hoạch giá niêm yết thành phẩm]],0),
MATCH(I$62,Table_KeHoach_Gia[#Headers],0))</f>
        <v>#N/A</v>
      </c>
      <c r="J63" s="18" t="e">
        <f xml:space="preserve">
INDEX(Table_KeHoach_SanLuong[[#Headers],[#Data]],
MATCH(Table_KeHoach_DoanhThu[[#This Row],[Kế hoạch doanh thu gộp]],Table_KeHoach_SanLuong[[#Headers],[#Data],[Kế hoạch sản lượng]],0),
MATCH(J$53,Table_KeHoach_SanLuong[#Headers],0)) *
INDEX(Table_KeHoach_Gia[#All],
MATCH(Table_KeHoach_DoanhThu[[#This Row],[Kế hoạch doanh thu gộp]],Table_KeHoach_Gia[[#All],[Kế hoạch giá niêm yết thành phẩm]],0),
MATCH(J$62,Table_KeHoach_Gia[#Headers],0))</f>
        <v>#N/A</v>
      </c>
      <c r="K63" s="18" t="e">
        <f xml:space="preserve">
INDEX(Table_KeHoach_SanLuong[[#Headers],[#Data]],
MATCH(Table_KeHoach_DoanhThu[[#This Row],[Kế hoạch doanh thu gộp]],Table_KeHoach_SanLuong[[#Headers],[#Data],[Kế hoạch sản lượng]],0),
MATCH(K$53,Table_KeHoach_SanLuong[#Headers],0)) *
INDEX(Table_KeHoach_Gia[#All],
MATCH(Table_KeHoach_DoanhThu[[#This Row],[Kế hoạch doanh thu gộp]],Table_KeHoach_Gia[[#All],[Kế hoạch giá niêm yết thành phẩm]],0),
MATCH(K$62,Table_KeHoach_Gia[#Headers],0))</f>
        <v>#N/A</v>
      </c>
      <c r="L63" s="18" t="e">
        <f xml:space="preserve">
INDEX(Table_KeHoach_SanLuong[[#Headers],[#Data]],
MATCH(Table_KeHoach_DoanhThu[[#This Row],[Kế hoạch doanh thu gộp]],Table_KeHoach_SanLuong[[#Headers],[#Data],[Kế hoạch sản lượng]],0),
MATCH(L$53,Table_KeHoach_SanLuong[#Headers],0)) *
INDEX(Table_KeHoach_Gia[#All],
MATCH(Table_KeHoach_DoanhThu[[#This Row],[Kế hoạch doanh thu gộp]],Table_KeHoach_Gia[[#All],[Kế hoạch giá niêm yết thành phẩm]],0),
MATCH(L$62,Table_KeHoach_Gia[#Headers],0))</f>
        <v>#N/A</v>
      </c>
      <c r="M63" s="18" t="e">
        <f xml:space="preserve">
INDEX(Table_KeHoach_SanLuong[[#Headers],[#Data]],
MATCH(Table_KeHoach_DoanhThu[[#This Row],[Kế hoạch doanh thu gộp]],Table_KeHoach_SanLuong[[#Headers],[#Data],[Kế hoạch sản lượng]],0),
MATCH(M$53,Table_KeHoach_SanLuong[#Headers],0)) *
INDEX(Table_KeHoach_Gia[#All],
MATCH(Table_KeHoach_DoanhThu[[#This Row],[Kế hoạch doanh thu gộp]],Table_KeHoach_Gia[[#All],[Kế hoạch giá niêm yết thành phẩm]],0),
MATCH(M$62,Table_KeHoach_Gia[#Headers],0))</f>
        <v>#N/A</v>
      </c>
      <c r="N63" s="18" t="e">
        <f xml:space="preserve">
INDEX(Table_KeHoach_SanLuong[[#Headers],[#Data]],
MATCH(Table_KeHoach_DoanhThu[[#This Row],[Kế hoạch doanh thu gộp]],Table_KeHoach_SanLuong[[#Headers],[#Data],[Kế hoạch sản lượng]],0),
MATCH(N$53,Table_KeHoach_SanLuong[#Headers],0)) *
INDEX(Table_KeHoach_Gia[#All],
MATCH(Table_KeHoach_DoanhThu[[#This Row],[Kế hoạch doanh thu gộp]],Table_KeHoach_Gia[[#All],[Kế hoạch giá niêm yết thành phẩm]],0),
MATCH(N$62,Table_KeHoach_Gia[#Headers],0))</f>
        <v>#N/A</v>
      </c>
      <c r="O63" s="18" t="e">
        <f xml:space="preserve">
INDEX(Table_KeHoach_SanLuong[[#Headers],[#Data]],
MATCH(Table_KeHoach_DoanhThu[[#This Row],[Kế hoạch doanh thu gộp]],Table_KeHoach_SanLuong[[#Headers],[#Data],[Kế hoạch sản lượng]],0),
MATCH(O$53,Table_KeHoach_SanLuong[#Headers],0)) *
INDEX(Table_KeHoach_Gia[#All],
MATCH(Table_KeHoach_DoanhThu[[#This Row],[Kế hoạch doanh thu gộp]],Table_KeHoach_Gia[[#All],[Kế hoạch giá niêm yết thành phẩm]],0),
MATCH(O$62,Table_KeHoach_Gia[#Headers],0))</f>
        <v>#N/A</v>
      </c>
      <c r="P63" s="18"/>
      <c r="R63" s="7"/>
      <c r="S63" s="7"/>
      <c r="T63" s="7"/>
      <c r="U63" s="7"/>
      <c r="V63" s="7"/>
      <c r="W63" s="7"/>
      <c r="X63" s="7"/>
      <c r="Y63" s="7"/>
    </row>
    <row r="64" spans="2:25" s="53" customFormat="1" ht="18" customHeight="1" x14ac:dyDescent="0.3">
      <c r="B64" s="28" t="s">
        <v>69</v>
      </c>
      <c r="C64" s="18" t="e">
        <f>SUM(Table_KeHoach_DoanhThu[Tham chiếu])</f>
        <v>#DIV/0!</v>
      </c>
      <c r="D64" s="18" t="e">
        <f>SUM(Table_KeHoach_DoanhThu[Tháng 1])</f>
        <v>#N/A</v>
      </c>
      <c r="E64" s="18" t="e">
        <f>SUM(Table_KeHoach_DoanhThu[Tháng 2])</f>
        <v>#N/A</v>
      </c>
      <c r="F64" s="18" t="e">
        <f>SUM(Table_KeHoach_DoanhThu[Tháng 3])</f>
        <v>#N/A</v>
      </c>
      <c r="G64" s="18" t="e">
        <f>SUM(Table_KeHoach_DoanhThu[Tháng 4])</f>
        <v>#N/A</v>
      </c>
      <c r="H64" s="18" t="e">
        <f>SUM(Table_KeHoach_DoanhThu[Tháng 5])</f>
        <v>#N/A</v>
      </c>
      <c r="I64" s="18" t="e">
        <f>SUM(Table_KeHoach_DoanhThu[Tháng 6])</f>
        <v>#N/A</v>
      </c>
      <c r="J64" s="18" t="e">
        <f>SUM(Table_KeHoach_DoanhThu[Tháng 7])</f>
        <v>#N/A</v>
      </c>
      <c r="K64" s="18" t="e">
        <f>SUM(Table_KeHoach_DoanhThu[Tháng 8])</f>
        <v>#N/A</v>
      </c>
      <c r="L64" s="18" t="e">
        <f>SUM(Table_KeHoach_DoanhThu[Tháng 9])</f>
        <v>#N/A</v>
      </c>
      <c r="M64" s="18" t="e">
        <f>SUM(Table_KeHoach_DoanhThu[Tháng 10])</f>
        <v>#N/A</v>
      </c>
      <c r="N64" s="18" t="e">
        <f>SUM(Table_KeHoach_DoanhThu[Tháng 11])</f>
        <v>#N/A</v>
      </c>
      <c r="O64" s="18" t="e">
        <f>SUM(Table_KeHoach_DoanhThu[Tháng 12])</f>
        <v>#N/A</v>
      </c>
      <c r="P64" s="18"/>
      <c r="R64" s="7"/>
      <c r="S64" s="7"/>
      <c r="T64" s="7"/>
      <c r="V64" s="7"/>
      <c r="W64" s="7"/>
      <c r="X64" s="7"/>
    </row>
    <row r="65" spans="1:25" s="12" customFormat="1" ht="18" customHeight="1" x14ac:dyDescent="0.3">
      <c r="B65" s="7"/>
      <c r="C65" s="27"/>
      <c r="D65" s="7"/>
      <c r="E65" s="7"/>
      <c r="F65" s="7"/>
      <c r="G65" s="7"/>
      <c r="H65" s="7"/>
      <c r="I65" s="7"/>
      <c r="J65" s="7"/>
      <c r="K65" s="7"/>
      <c r="L65" s="7"/>
      <c r="M65" s="7"/>
      <c r="N65" s="7"/>
      <c r="O65" s="7"/>
      <c r="P65" s="7"/>
      <c r="R65" s="7"/>
      <c r="S65" s="7"/>
      <c r="T65" s="7"/>
      <c r="V65" s="7"/>
      <c r="W65" s="7"/>
      <c r="X65" s="7"/>
    </row>
    <row r="66" spans="1:25" s="12" customFormat="1" ht="18" customHeight="1" x14ac:dyDescent="0.3">
      <c r="B66" s="7" t="s">
        <v>1039</v>
      </c>
      <c r="C66" s="27"/>
      <c r="D66" s="7"/>
      <c r="E66" s="7"/>
      <c r="F66" s="7"/>
      <c r="G66" s="7"/>
      <c r="H66" s="7"/>
      <c r="I66" s="7"/>
      <c r="J66" s="7"/>
      <c r="K66" s="7"/>
      <c r="L66" s="7"/>
      <c r="M66" s="7"/>
      <c r="N66" s="7"/>
      <c r="O66" s="7"/>
      <c r="P66" s="7"/>
      <c r="Q66" s="53"/>
      <c r="R66" s="7"/>
      <c r="S66" s="7"/>
      <c r="T66" s="7"/>
      <c r="V66" s="7"/>
      <c r="W66" s="7"/>
      <c r="X66" s="7"/>
    </row>
    <row r="67" spans="1:25" s="12" customFormat="1" ht="18" customHeight="1" x14ac:dyDescent="0.3">
      <c r="B67" s="7" t="s">
        <v>325</v>
      </c>
      <c r="C67" s="12" t="s">
        <v>267</v>
      </c>
      <c r="D67" s="16" t="s">
        <v>268</v>
      </c>
      <c r="E67" s="16" t="s">
        <v>269</v>
      </c>
      <c r="F67" s="16" t="s">
        <v>270</v>
      </c>
      <c r="G67" s="16" t="s">
        <v>271</v>
      </c>
      <c r="H67" s="16" t="s">
        <v>272</v>
      </c>
      <c r="I67" s="16" t="s">
        <v>273</v>
      </c>
      <c r="J67" s="16" t="s">
        <v>274</v>
      </c>
      <c r="K67" s="16" t="s">
        <v>275</v>
      </c>
      <c r="L67" s="16" t="s">
        <v>276</v>
      </c>
      <c r="M67" s="16" t="s">
        <v>277</v>
      </c>
      <c r="N67" s="16" t="s">
        <v>278</v>
      </c>
      <c r="O67" s="16" t="s">
        <v>279</v>
      </c>
      <c r="P67" s="4" t="s">
        <v>873</v>
      </c>
      <c r="Q67" s="7"/>
      <c r="R67" s="7"/>
      <c r="S67" s="7"/>
      <c r="T67" s="7"/>
      <c r="U67" s="7"/>
      <c r="V67" s="7"/>
      <c r="W67" s="7"/>
      <c r="X67" s="7"/>
    </row>
    <row r="68" spans="1:25" s="12" customFormat="1" ht="18" customHeight="1" x14ac:dyDescent="0.3">
      <c r="B68" s="7" t="s">
        <v>326</v>
      </c>
      <c r="C68" s="45" t="e" vm="2">
        <f>-C69/SUM(Table_KeHoach_DoanhThu[Tham chiếu])</f>
        <v>#VALUE!</v>
      </c>
      <c r="D68" s="45"/>
      <c r="E68" s="45"/>
      <c r="F68" s="45"/>
      <c r="G68" s="45"/>
      <c r="H68" s="45"/>
      <c r="I68" s="45"/>
      <c r="J68" s="45"/>
      <c r="K68" s="45"/>
      <c r="L68" s="45"/>
      <c r="M68" s="45"/>
      <c r="N68" s="45"/>
      <c r="O68" s="45"/>
      <c r="P68" s="213"/>
      <c r="R68" s="7"/>
      <c r="S68" s="7"/>
      <c r="T68" s="7"/>
      <c r="V68" s="7"/>
      <c r="W68" s="7"/>
      <c r="X68" s="7"/>
    </row>
    <row r="69" spans="1:25" ht="18" customHeight="1" x14ac:dyDescent="0.3">
      <c r="A69" s="211"/>
      <c r="B69" s="52" t="s">
        <v>284</v>
      </c>
      <c r="C69" s="482" t="e" cm="1" vm="1">
        <f t="array" ref="C69">(-
SUM(_xlfn._xlws.FILTER(Table_Main[Giá trị CK],
(Table_Main[Ngày lên đơn] &gt;= BCQT_BatDau) *
(Table_Main[Ngày lên đơn] &lt; BCQT_KetThuc)
))
- IFERROR(
SUM(_xlfn._xlws.FILTER(Table_DonBan[Giá trị CK],
(Table_DonBan[Ngày lập] &gt;= BCQT_BatDau) *
(Table_DonBan[Ngày lập] &lt; BCQT_KetThuc)
)),0))  /
ROUND((BCQT_KetThuc-BCQT_BatDau)/(365.25/12),0)</f>
        <v>#VALUE!</v>
      </c>
      <c r="D69" s="482">
        <f>IFERROR(-D68*Table_KeHoach_DoanhThu[[#Totals],[Tháng 1]],0)</f>
        <v>0</v>
      </c>
      <c r="E69" s="482">
        <f>IFERROR(-E68*Table_KeHoach_DoanhThu[[#Totals],[Tháng 1]],0)</f>
        <v>0</v>
      </c>
      <c r="F69" s="482">
        <f>IFERROR(-F68*Table_KeHoach_DoanhThu[[#Totals],[Tháng 1]],0)</f>
        <v>0</v>
      </c>
      <c r="G69" s="482">
        <f>IFERROR(-G68*Table_KeHoach_DoanhThu[[#Totals],[Tháng 1]],0)</f>
        <v>0</v>
      </c>
      <c r="H69" s="482">
        <f>IFERROR(-H68*Table_KeHoach_DoanhThu[[#Totals],[Tháng 1]],0)</f>
        <v>0</v>
      </c>
      <c r="I69" s="482">
        <f>IFERROR(-I68*Table_KeHoach_DoanhThu[[#Totals],[Tháng 1]],0)</f>
        <v>0</v>
      </c>
      <c r="J69" s="482">
        <f>IFERROR(-J68*Table_KeHoach_DoanhThu[[#Totals],[Tháng 1]],0)</f>
        <v>0</v>
      </c>
      <c r="K69" s="482">
        <f>IFERROR(-K68*Table_KeHoach_DoanhThu[[#Totals],[Tháng 1]],0)</f>
        <v>0</v>
      </c>
      <c r="L69" s="482">
        <f>IFERROR(-L68*Table_KeHoach_DoanhThu[[#Totals],[Tháng 1]],0)</f>
        <v>0</v>
      </c>
      <c r="M69" s="482">
        <f>IFERROR(-M68*Table_KeHoach_DoanhThu[[#Totals],[Tháng 1]],0)</f>
        <v>0</v>
      </c>
      <c r="N69" s="482">
        <f>IFERROR(-N68*Table_KeHoach_DoanhThu[[#Totals],[Tháng 1]],0)</f>
        <v>0</v>
      </c>
      <c r="O69" s="482">
        <f>IFERROR(-O68*Table_KeHoach_DoanhThu[[#Totals],[Tháng 1]],0)</f>
        <v>0</v>
      </c>
      <c r="P69" s="52"/>
    </row>
    <row r="71" spans="1:25" s="53" customFormat="1" ht="18" customHeight="1" x14ac:dyDescent="0.3">
      <c r="B71" s="7" t="s">
        <v>1040</v>
      </c>
      <c r="C71" s="27"/>
      <c r="D71" s="7"/>
      <c r="E71" s="7"/>
      <c r="F71" s="7"/>
      <c r="G71" s="7"/>
      <c r="H71" s="7"/>
      <c r="I71" s="7"/>
      <c r="J71" s="7"/>
      <c r="K71" s="7"/>
      <c r="L71" s="7"/>
      <c r="M71" s="7"/>
      <c r="N71" s="7"/>
      <c r="O71" s="7"/>
      <c r="P71" s="7"/>
      <c r="Q71" s="7"/>
      <c r="R71" s="7"/>
      <c r="S71" s="7"/>
      <c r="T71" s="7"/>
      <c r="U71" s="7"/>
      <c r="V71" s="7"/>
      <c r="W71" s="7"/>
      <c r="X71" s="7"/>
      <c r="Y71" s="7"/>
    </row>
    <row r="72" spans="1:25" s="53" customFormat="1" ht="18" customHeight="1" x14ac:dyDescent="0.3">
      <c r="B72" s="7" t="s">
        <v>328</v>
      </c>
      <c r="C72" s="480" t="s">
        <v>267</v>
      </c>
      <c r="D72" s="480" t="s">
        <v>268</v>
      </c>
      <c r="E72" s="480" t="s">
        <v>269</v>
      </c>
      <c r="F72" s="480" t="s">
        <v>270</v>
      </c>
      <c r="G72" s="480" t="s">
        <v>271</v>
      </c>
      <c r="H72" s="480" t="s">
        <v>272</v>
      </c>
      <c r="I72" s="480" t="s">
        <v>273</v>
      </c>
      <c r="J72" s="480" t="s">
        <v>274</v>
      </c>
      <c r="K72" s="480" t="s">
        <v>275</v>
      </c>
      <c r="L72" s="480" t="s">
        <v>276</v>
      </c>
      <c r="M72" s="480" t="s">
        <v>277</v>
      </c>
      <c r="N72" s="480" t="s">
        <v>278</v>
      </c>
      <c r="O72" s="480" t="s">
        <v>279</v>
      </c>
      <c r="P72" s="4" t="s">
        <v>873</v>
      </c>
      <c r="Q72" s="7"/>
      <c r="R72" s="7"/>
      <c r="S72" s="7"/>
      <c r="T72" s="7"/>
      <c r="U72" s="7"/>
      <c r="V72" s="7"/>
      <c r="W72" s="7"/>
      <c r="X72" s="7"/>
      <c r="Y72" s="7"/>
    </row>
    <row r="73" spans="1:25" s="12" customFormat="1" ht="18" customHeight="1" x14ac:dyDescent="0.3">
      <c r="B73" s="7"/>
      <c r="C73" s="15" cm="1">
        <f t="array" ref="C73">+IFERROR(
AVERAGE(
_xlfn._xlws.FILTER(Table_Main[Giá trị hàng nhập],
(Table_Main[Mã SKU] = $B73) *
(Table_Main[Ngày lên đơn] &gt;= BCQT_BatDau)*
(Table_Main[Ngày lên đơn] &lt; BCQT_KetThuc)
)) /
AVERAGE(
_xlfn._xlws.FILTER(Table_Main[Số lượng],
(Table_Main[Mã SKU] = $B73) *
(Table_Main[Ngày lên đơn] &gt;= BCQT_BatDau)*
(Table_Main[Ngày lên đơn] &lt; BCQT_KetThuc)
)),0)</f>
        <v>0</v>
      </c>
      <c r="D73" s="15"/>
      <c r="E73" s="15"/>
      <c r="F73" s="15"/>
      <c r="G73" s="15"/>
      <c r="H73" s="15"/>
      <c r="I73" s="15"/>
      <c r="J73" s="15"/>
      <c r="K73" s="15"/>
      <c r="L73" s="15"/>
      <c r="M73" s="15"/>
      <c r="N73" s="15"/>
      <c r="O73" s="15"/>
      <c r="P73" s="212"/>
      <c r="R73" s="7"/>
      <c r="S73" s="7"/>
      <c r="T73" s="7"/>
      <c r="V73" s="7"/>
      <c r="W73" s="7"/>
      <c r="X73" s="7"/>
    </row>
    <row r="74" spans="1:25" s="12" customFormat="1" ht="18" customHeight="1" x14ac:dyDescent="0.3">
      <c r="B74" s="27"/>
      <c r="C74" s="27"/>
      <c r="D74" s="7"/>
      <c r="E74" s="7"/>
      <c r="F74" s="7"/>
      <c r="G74" s="7"/>
      <c r="H74" s="7"/>
      <c r="I74" s="7"/>
      <c r="J74" s="7"/>
      <c r="K74" s="7"/>
      <c r="L74" s="7"/>
      <c r="M74" s="7"/>
      <c r="N74" s="7"/>
      <c r="O74" s="7"/>
      <c r="P74" s="7"/>
      <c r="R74" s="7"/>
      <c r="S74" s="7"/>
      <c r="T74" s="7"/>
      <c r="V74" s="7"/>
      <c r="W74" s="7"/>
      <c r="X74" s="7"/>
    </row>
    <row r="75" spans="1:25" s="12" customFormat="1" ht="18" customHeight="1" x14ac:dyDescent="0.3">
      <c r="B75" s="7" t="s">
        <v>1041</v>
      </c>
      <c r="C75" s="27"/>
      <c r="D75" s="7"/>
      <c r="E75" s="7"/>
      <c r="F75" s="7"/>
      <c r="G75" s="7"/>
      <c r="H75" s="7"/>
      <c r="I75" s="7"/>
      <c r="J75" s="7"/>
      <c r="K75" s="7"/>
      <c r="L75" s="7"/>
      <c r="M75" s="7"/>
      <c r="N75" s="7"/>
      <c r="O75" s="7"/>
      <c r="P75" s="52"/>
      <c r="Q75" s="7"/>
      <c r="R75" s="7"/>
      <c r="S75" s="7"/>
      <c r="T75" s="7"/>
      <c r="U75" s="7"/>
      <c r="V75" s="7"/>
      <c r="W75" s="7"/>
      <c r="X75" s="7"/>
      <c r="Y75" s="7"/>
    </row>
    <row r="76" spans="1:25" s="12" customFormat="1" ht="18" customHeight="1" x14ac:dyDescent="0.3">
      <c r="B76" s="46" t="s">
        <v>329</v>
      </c>
      <c r="C76" s="480" t="s">
        <v>267</v>
      </c>
      <c r="D76" s="480" t="s">
        <v>268</v>
      </c>
      <c r="E76" s="480" t="s">
        <v>269</v>
      </c>
      <c r="F76" s="480" t="s">
        <v>270</v>
      </c>
      <c r="G76" s="480" t="s">
        <v>271</v>
      </c>
      <c r="H76" s="480" t="s">
        <v>272</v>
      </c>
      <c r="I76" s="480" t="s">
        <v>273</v>
      </c>
      <c r="J76" s="480" t="s">
        <v>274</v>
      </c>
      <c r="K76" s="480" t="s">
        <v>275</v>
      </c>
      <c r="L76" s="480" t="s">
        <v>276</v>
      </c>
      <c r="M76" s="480" t="s">
        <v>277</v>
      </c>
      <c r="N76" s="480" t="s">
        <v>278</v>
      </c>
      <c r="O76" s="480" t="s">
        <v>279</v>
      </c>
      <c r="P76" s="4" t="s">
        <v>873</v>
      </c>
      <c r="Q76" s="7"/>
      <c r="R76" s="7"/>
      <c r="S76" s="7"/>
      <c r="T76" s="7"/>
      <c r="U76" s="7"/>
      <c r="V76" s="7"/>
      <c r="W76" s="7"/>
      <c r="X76" s="7"/>
    </row>
    <row r="77" spans="1:25" ht="18" customHeight="1" x14ac:dyDescent="0.3">
      <c r="C77" s="18" t="e" cm="1">
        <f t="array" ref="C77"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f>
        <v>#DIV/0!</v>
      </c>
      <c r="D77" s="18">
        <f xml:space="preserve">
-IFERROR(
INDEX(Table_KeHoach_SanLuong[[#Headers],[#Data]],
MATCH(Table_KeHoach_ChiPhiSKU[[#This Row],[Kế hoạch chi phí hàng hóa]],Table_KeHoach_SanLuong[[#Headers],[#Data],[Kế hoạch sản lượng]],0),
MATCH(D$76,Table_KeHoach_SanLuong[#Headers],0)) *
INDEX(Table_KeHoach_GiaNhápKU[#All],
MATCH(Table_KeHoach_ChiPhiSKU[[#This Row],[Kế hoạch chi phí hàng hóa]],Table_KeHoach_GiaNhápKU[[#All],[Kế hoạch giá nhập hàng hóa]],0),
MATCH(D$76, Table_KeHoach_GiaNhápKU[#Headers],0)),0)</f>
        <v>0</v>
      </c>
      <c r="E77" s="18">
        <f xml:space="preserve">
-IFERROR(
INDEX(Table_KeHoach_SanLuong[[#Headers],[#Data]],
MATCH(Table_KeHoach_ChiPhiSKU[[#This Row],[Kế hoạch chi phí hàng hóa]],Table_KeHoach_SanLuong[[#Headers],[#Data],[Kế hoạch sản lượng]],0),
MATCH(E$76,Table_KeHoach_SanLuong[#Headers],0)) *
INDEX(Table_KeHoach_GiaNhápKU[#All],
MATCH(Table_KeHoach_ChiPhiSKU[[#This Row],[Kế hoạch chi phí hàng hóa]],Table_KeHoach_GiaNhápKU[[#All],[Kế hoạch giá nhập hàng hóa]],0),
MATCH(E$76, Table_KeHoach_GiaNhápKU[#Headers],0)),0)</f>
        <v>0</v>
      </c>
      <c r="F77" s="18">
        <f xml:space="preserve">
-IFERROR(
INDEX(Table_KeHoach_SanLuong[[#Headers],[#Data]],
MATCH(Table_KeHoach_ChiPhiSKU[[#This Row],[Kế hoạch chi phí hàng hóa]],Table_KeHoach_SanLuong[[#Headers],[#Data],[Kế hoạch sản lượng]],0),
MATCH(F$76,Table_KeHoach_SanLuong[#Headers],0)) *
INDEX(Table_KeHoach_GiaNhápKU[#All],
MATCH(Table_KeHoach_ChiPhiSKU[[#This Row],[Kế hoạch chi phí hàng hóa]],Table_KeHoach_GiaNhápKU[[#All],[Kế hoạch giá nhập hàng hóa]],0),
MATCH(F$76, Table_KeHoach_GiaNhápKU[#Headers],0)),0)</f>
        <v>0</v>
      </c>
      <c r="G77" s="18">
        <f xml:space="preserve">
-IFERROR(
INDEX(Table_KeHoach_SanLuong[[#Headers],[#Data]],
MATCH(Table_KeHoach_ChiPhiSKU[[#This Row],[Kế hoạch chi phí hàng hóa]],Table_KeHoach_SanLuong[[#Headers],[#Data],[Kế hoạch sản lượng]],0),
MATCH(G$76,Table_KeHoach_SanLuong[#Headers],0)) *
INDEX(Table_KeHoach_GiaNhápKU[#All],
MATCH(Table_KeHoach_ChiPhiSKU[[#This Row],[Kế hoạch chi phí hàng hóa]],Table_KeHoach_GiaNhápKU[[#All],[Kế hoạch giá nhập hàng hóa]],0),
MATCH(G$76, Table_KeHoach_GiaNhápKU[#Headers],0)),0)</f>
        <v>0</v>
      </c>
      <c r="H77" s="18">
        <f xml:space="preserve">
-IFERROR(
INDEX(Table_KeHoach_SanLuong[[#Headers],[#Data]],
MATCH(Table_KeHoach_ChiPhiSKU[[#This Row],[Kế hoạch chi phí hàng hóa]],Table_KeHoach_SanLuong[[#Headers],[#Data],[Kế hoạch sản lượng]],0),
MATCH(H$76,Table_KeHoach_SanLuong[#Headers],0)) *
INDEX(Table_KeHoach_GiaNhápKU[#All],
MATCH(Table_KeHoach_ChiPhiSKU[[#This Row],[Kế hoạch chi phí hàng hóa]],Table_KeHoach_GiaNhápKU[[#All],[Kế hoạch giá nhập hàng hóa]],0),
MATCH(H$76, Table_KeHoach_GiaNhápKU[#Headers],0)),0)</f>
        <v>0</v>
      </c>
      <c r="I77" s="18">
        <f xml:space="preserve">
-IFERROR(
INDEX(Table_KeHoach_SanLuong[[#Headers],[#Data]],
MATCH(Table_KeHoach_ChiPhiSKU[[#This Row],[Kế hoạch chi phí hàng hóa]],Table_KeHoach_SanLuong[[#Headers],[#Data],[Kế hoạch sản lượng]],0),
MATCH(I$76,Table_KeHoach_SanLuong[#Headers],0)) *
INDEX(Table_KeHoach_GiaNhápKU[#All],
MATCH(Table_KeHoach_ChiPhiSKU[[#This Row],[Kế hoạch chi phí hàng hóa]],Table_KeHoach_GiaNhápKU[[#All],[Kế hoạch giá nhập hàng hóa]],0),
MATCH(I$76, Table_KeHoach_GiaNhápKU[#Headers],0)),0)</f>
        <v>0</v>
      </c>
      <c r="J77" s="18">
        <f xml:space="preserve">
-IFERROR(
INDEX(Table_KeHoach_SanLuong[[#Headers],[#Data]],
MATCH(Table_KeHoach_ChiPhiSKU[[#This Row],[Kế hoạch chi phí hàng hóa]],Table_KeHoach_SanLuong[[#Headers],[#Data],[Kế hoạch sản lượng]],0),
MATCH(J$76,Table_KeHoach_SanLuong[#Headers],0)) *
INDEX(Table_KeHoach_GiaNhápKU[#All],
MATCH(Table_KeHoach_ChiPhiSKU[[#This Row],[Kế hoạch chi phí hàng hóa]],Table_KeHoach_GiaNhápKU[[#All],[Kế hoạch giá nhập hàng hóa]],0),
MATCH(J$76, Table_KeHoach_GiaNhápKU[#Headers],0)),0)</f>
        <v>0</v>
      </c>
      <c r="K77" s="18">
        <f xml:space="preserve">
-IFERROR(
INDEX(Table_KeHoach_SanLuong[[#Headers],[#Data]],
MATCH(Table_KeHoach_ChiPhiSKU[[#This Row],[Kế hoạch chi phí hàng hóa]],Table_KeHoach_SanLuong[[#Headers],[#Data],[Kế hoạch sản lượng]],0),
MATCH(K$76,Table_KeHoach_SanLuong[#Headers],0)) *
INDEX(Table_KeHoach_GiaNhápKU[#All],
MATCH(Table_KeHoach_ChiPhiSKU[[#This Row],[Kế hoạch chi phí hàng hóa]],Table_KeHoach_GiaNhápKU[[#All],[Kế hoạch giá nhập hàng hóa]],0),
MATCH(K$76, Table_KeHoach_GiaNhápKU[#Headers],0)),0)</f>
        <v>0</v>
      </c>
      <c r="L77" s="18">
        <f xml:space="preserve">
-IFERROR(
INDEX(Table_KeHoach_SanLuong[[#Headers],[#Data]],
MATCH(Table_KeHoach_ChiPhiSKU[[#This Row],[Kế hoạch chi phí hàng hóa]],Table_KeHoach_SanLuong[[#Headers],[#Data],[Kế hoạch sản lượng]],0),
MATCH(L$76,Table_KeHoach_SanLuong[#Headers],0)) *
INDEX(Table_KeHoach_GiaNhápKU[#All],
MATCH(Table_KeHoach_ChiPhiSKU[[#This Row],[Kế hoạch chi phí hàng hóa]],Table_KeHoach_GiaNhápKU[[#All],[Kế hoạch giá nhập hàng hóa]],0),
MATCH(L$76, Table_KeHoach_GiaNhápKU[#Headers],0)),0)</f>
        <v>0</v>
      </c>
      <c r="M77" s="18">
        <f xml:space="preserve">
-IFERROR(
INDEX(Table_KeHoach_SanLuong[[#Headers],[#Data]],
MATCH(Table_KeHoach_ChiPhiSKU[[#This Row],[Kế hoạch chi phí hàng hóa]],Table_KeHoach_SanLuong[[#Headers],[#Data],[Kế hoạch sản lượng]],0),
MATCH(M$76,Table_KeHoach_SanLuong[#Headers],0)) *
INDEX(Table_KeHoach_GiaNhápKU[#All],
MATCH(Table_KeHoach_ChiPhiSKU[[#This Row],[Kế hoạch chi phí hàng hóa]],Table_KeHoach_GiaNhápKU[[#All],[Kế hoạch giá nhập hàng hóa]],0),
MATCH(M$76, Table_KeHoach_GiaNhápKU[#Headers],0)),0)</f>
        <v>0</v>
      </c>
      <c r="N77" s="18">
        <f xml:space="preserve">
-IFERROR(
INDEX(Table_KeHoach_SanLuong[[#Headers],[#Data]],
MATCH(Table_KeHoach_ChiPhiSKU[[#This Row],[Kế hoạch chi phí hàng hóa]],Table_KeHoach_SanLuong[[#Headers],[#Data],[Kế hoạch sản lượng]],0),
MATCH(N$76,Table_KeHoach_SanLuong[#Headers],0)) *
INDEX(Table_KeHoach_GiaNhápKU[#All],
MATCH(Table_KeHoach_ChiPhiSKU[[#This Row],[Kế hoạch chi phí hàng hóa]],Table_KeHoach_GiaNhápKU[[#All],[Kế hoạch giá nhập hàng hóa]],0),
MATCH(N$76, Table_KeHoach_GiaNhápKU[#Headers],0)),0)</f>
        <v>0</v>
      </c>
      <c r="O77" s="18">
        <f xml:space="preserve">
-IFERROR(
INDEX(Table_KeHoach_SanLuong[[#Headers],[#Data]],
MATCH(Table_KeHoach_ChiPhiSKU[[#This Row],[Kế hoạch chi phí hàng hóa]],Table_KeHoach_SanLuong[[#Headers],[#Data],[Kế hoạch sản lượng]],0),
MATCH(O$76,Table_KeHoach_SanLuong[#Headers],0)) *
INDEX(Table_KeHoach_GiaNhápKU[#All],
MATCH(Table_KeHoach_ChiPhiSKU[[#This Row],[Kế hoạch chi phí hàng hóa]],Table_KeHoach_GiaNhápKU[[#All],[Kế hoạch giá nhập hàng hóa]],0),
MATCH(O$76, Table_KeHoach_GiaNhápKU[#Headers],0)),0)</f>
        <v>0</v>
      </c>
      <c r="P77" s="214"/>
    </row>
    <row r="78" spans="1:25" ht="18" customHeight="1" x14ac:dyDescent="0.15">
      <c r="B78" s="475" t="s">
        <v>1029</v>
      </c>
      <c r="C78" s="483" t="e">
        <f>SUBTOTAL(109,Table_KeHoach_ChiPhiSKU[Tham chiếu])</f>
        <v>#DIV/0!</v>
      </c>
      <c r="D78" s="483">
        <f>SUBTOTAL(109,Table_KeHoach_ChiPhiSKU[Tháng 1])</f>
        <v>0</v>
      </c>
      <c r="E78" s="483">
        <f>SUBTOTAL(109,Table_KeHoach_ChiPhiSKU[Tháng 2])</f>
        <v>0</v>
      </c>
      <c r="F78" s="483">
        <f>SUBTOTAL(109,Table_KeHoach_ChiPhiSKU[Tháng 3])</f>
        <v>0</v>
      </c>
      <c r="G78" s="483">
        <f>SUBTOTAL(109,Table_KeHoach_ChiPhiSKU[Tháng 4])</f>
        <v>0</v>
      </c>
      <c r="H78" s="483">
        <f>SUBTOTAL(109,Table_KeHoach_ChiPhiSKU[Tháng 5])</f>
        <v>0</v>
      </c>
      <c r="I78" s="483">
        <f>SUBTOTAL(109,Table_KeHoach_ChiPhiSKU[Tháng 6])</f>
        <v>0</v>
      </c>
      <c r="J78" s="483">
        <f>SUBTOTAL(109,Table_KeHoach_ChiPhiSKU[Tháng 7])</f>
        <v>0</v>
      </c>
      <c r="K78" s="483">
        <f>SUBTOTAL(109,Table_KeHoach_ChiPhiSKU[Tháng 8])</f>
        <v>0</v>
      </c>
      <c r="L78" s="483">
        <f>SUBTOTAL(109,Table_KeHoach_ChiPhiSKU[Tháng 9])</f>
        <v>0</v>
      </c>
      <c r="M78" s="483">
        <f>SUBTOTAL(109,Table_KeHoach_ChiPhiSKU[Tháng 10])</f>
        <v>0</v>
      </c>
      <c r="N78" s="483">
        <f>SUBTOTAL(109,Table_KeHoach_ChiPhiSKU[Tháng 11])</f>
        <v>0</v>
      </c>
      <c r="O78" s="483">
        <f>SUBTOTAL(109,Table_KeHoach_ChiPhiSKU[Tháng 12])</f>
        <v>0</v>
      </c>
      <c r="P78" s="476"/>
    </row>
    <row r="79" spans="1:25" ht="18" customHeight="1" x14ac:dyDescent="0.3">
      <c r="B79" s="28"/>
      <c r="C79" s="106"/>
      <c r="D79" s="28"/>
      <c r="E79" s="28"/>
      <c r="F79" s="28"/>
      <c r="G79" s="28"/>
      <c r="H79" s="28"/>
      <c r="I79" s="28"/>
      <c r="J79" s="28"/>
      <c r="K79" s="28"/>
      <c r="L79" s="28"/>
      <c r="M79" s="28"/>
      <c r="N79" s="28"/>
      <c r="O79" s="28"/>
      <c r="P79" s="28"/>
    </row>
    <row r="80" spans="1:25" ht="18" customHeight="1" x14ac:dyDescent="0.3">
      <c r="B80" s="7" t="s">
        <v>1042</v>
      </c>
      <c r="C80" s="106"/>
      <c r="D80" s="28"/>
      <c r="E80" s="28"/>
      <c r="F80" s="28"/>
      <c r="G80" s="28"/>
      <c r="H80" s="28"/>
      <c r="I80" s="28"/>
      <c r="J80" s="28"/>
      <c r="K80" s="28"/>
      <c r="L80" s="28"/>
      <c r="M80" s="28"/>
      <c r="N80" s="28"/>
      <c r="O80" s="28"/>
      <c r="P80" s="212"/>
    </row>
    <row r="81" spans="2:16" ht="18" customHeight="1" x14ac:dyDescent="0.3">
      <c r="B81" s="484" t="s">
        <v>330</v>
      </c>
      <c r="C81" s="480" t="s">
        <v>267</v>
      </c>
      <c r="D81" s="480" t="s">
        <v>268</v>
      </c>
      <c r="E81" s="480" t="s">
        <v>269</v>
      </c>
      <c r="F81" s="480" t="s">
        <v>270</v>
      </c>
      <c r="G81" s="480" t="s">
        <v>271</v>
      </c>
      <c r="H81" s="480" t="s">
        <v>272</v>
      </c>
      <c r="I81" s="480" t="s">
        <v>273</v>
      </c>
      <c r="J81" s="480" t="s">
        <v>274</v>
      </c>
      <c r="K81" s="480" t="s">
        <v>275</v>
      </c>
      <c r="L81" s="480" t="s">
        <v>276</v>
      </c>
      <c r="M81" s="480" t="s">
        <v>277</v>
      </c>
      <c r="N81" s="480" t="s">
        <v>278</v>
      </c>
      <c r="O81" s="480" t="s">
        <v>279</v>
      </c>
      <c r="P81" s="4" t="s">
        <v>873</v>
      </c>
    </row>
    <row r="82" spans="2:16" ht="18" customHeight="1" x14ac:dyDescent="0.3">
      <c r="B82" s="18"/>
      <c r="C82" s="17" t="e" cm="1">
        <f t="array" ref="C82">-IFERROR(
SUM(_xlfn._xlws.FILTER(Table_TonKho[Chi phí ghi nhận],
(Table_TonKho[Nguyên liệu] = Table_KeHoach_ChiPhiVatTuSX[[#This Row],[Kế hoạch chi phí nguyên liệu, vật tư]]) *
(Table_TonKho[Kỳ] &gt;=BCQT_BatDau) *
(Table_TonKho[Kỳ] &lt;BCQT_KetThuc)
)),0) /
ROUND((BCQT_KetThuc-BCQT_BatDau)/(365.25/12),0)</f>
        <v>#DIV/0!</v>
      </c>
      <c r="D82" s="418"/>
      <c r="E82" s="418"/>
      <c r="F82" s="418"/>
      <c r="G82" s="418"/>
      <c r="H82" s="418"/>
      <c r="I82" s="418"/>
      <c r="J82" s="418"/>
      <c r="K82" s="418"/>
      <c r="L82" s="418"/>
      <c r="M82" s="418"/>
      <c r="N82" s="418"/>
      <c r="O82" s="418"/>
      <c r="P82" s="215"/>
    </row>
    <row r="83" spans="2:16" ht="18" customHeight="1" x14ac:dyDescent="0.3">
      <c r="B83" s="483" t="s">
        <v>1029</v>
      </c>
      <c r="C83" s="17" t="e">
        <f>SUBTOTAL(109,Table_KeHoach_ChiPhiVatTuSX[Tham chiếu])</f>
        <v>#DIV/0!</v>
      </c>
      <c r="D83" s="17">
        <f>SUBTOTAL(109,Table_KeHoach_ChiPhiVatTuSX[Tháng 1])</f>
        <v>0</v>
      </c>
      <c r="E83" s="17">
        <f>SUBTOTAL(109,Table_KeHoach_ChiPhiVatTuSX[Tháng 2])</f>
        <v>0</v>
      </c>
      <c r="F83" s="17">
        <f>SUBTOTAL(109,Table_KeHoach_ChiPhiVatTuSX[Tháng 3])</f>
        <v>0</v>
      </c>
      <c r="G83" s="17">
        <f>SUBTOTAL(109,Table_KeHoach_ChiPhiVatTuSX[Tháng 4])</f>
        <v>0</v>
      </c>
      <c r="H83" s="17">
        <f>SUBTOTAL(109,Table_KeHoach_ChiPhiVatTuSX[Tháng 5])</f>
        <v>0</v>
      </c>
      <c r="I83" s="17">
        <f>SUBTOTAL(109,Table_KeHoach_ChiPhiVatTuSX[Tháng 6])</f>
        <v>0</v>
      </c>
      <c r="J83" s="17">
        <f>SUBTOTAL(109,Table_KeHoach_ChiPhiVatTuSX[Tháng 7])</f>
        <v>0</v>
      </c>
      <c r="K83" s="17">
        <f>SUBTOTAL(109,Table_KeHoach_ChiPhiVatTuSX[Tháng 8])</f>
        <v>0</v>
      </c>
      <c r="L83" s="17">
        <f>SUBTOTAL(109,Table_KeHoach_ChiPhiVatTuSX[Tháng 9])</f>
        <v>0</v>
      </c>
      <c r="M83" s="17">
        <f>SUBTOTAL(109,Table_KeHoach_ChiPhiVatTuSX[Tháng 10])</f>
        <v>0</v>
      </c>
      <c r="N83" s="17">
        <f>SUBTOTAL(109,Table_KeHoach_ChiPhiVatTuSX[Tháng 11])</f>
        <v>0</v>
      </c>
      <c r="O83" s="17">
        <f>SUBTOTAL(109,Table_KeHoach_ChiPhiVatTuSX[Tháng 12])</f>
        <v>0</v>
      </c>
      <c r="P83" s="28"/>
    </row>
    <row r="84" spans="2:16" ht="18" customHeight="1" x14ac:dyDescent="0.3">
      <c r="B84" s="106"/>
      <c r="C84" s="106"/>
      <c r="D84" s="216"/>
      <c r="E84" s="215"/>
      <c r="F84" s="215"/>
      <c r="G84" s="215"/>
      <c r="H84" s="215"/>
      <c r="I84" s="215"/>
      <c r="J84" s="215"/>
      <c r="K84" s="215"/>
      <c r="L84" s="215"/>
      <c r="M84" s="215"/>
      <c r="N84" s="215"/>
      <c r="O84" s="215"/>
      <c r="P84" s="215"/>
    </row>
    <row r="85" spans="2:16" ht="18" customHeight="1" x14ac:dyDescent="0.3">
      <c r="B85" s="7" t="s">
        <v>1043</v>
      </c>
      <c r="C85" s="106"/>
      <c r="D85" s="216"/>
      <c r="E85" s="215"/>
      <c r="F85" s="215"/>
      <c r="G85" s="215"/>
      <c r="H85" s="215"/>
      <c r="I85" s="215"/>
      <c r="J85" s="215"/>
      <c r="K85" s="215"/>
      <c r="L85" s="215"/>
      <c r="M85" s="215"/>
      <c r="N85" s="215"/>
      <c r="O85" s="215"/>
      <c r="P85" s="214"/>
    </row>
    <row r="86" spans="2:16" ht="18" customHeight="1" x14ac:dyDescent="0.3">
      <c r="B86" s="484" t="s">
        <v>331</v>
      </c>
      <c r="C86" s="480" t="s">
        <v>267</v>
      </c>
      <c r="D86" s="480" t="s">
        <v>268</v>
      </c>
      <c r="E86" s="480" t="s">
        <v>269</v>
      </c>
      <c r="F86" s="480" t="s">
        <v>270</v>
      </c>
      <c r="G86" s="480" t="s">
        <v>271</v>
      </c>
      <c r="H86" s="480" t="s">
        <v>272</v>
      </c>
      <c r="I86" s="480" t="s">
        <v>273</v>
      </c>
      <c r="J86" s="480" t="s">
        <v>274</v>
      </c>
      <c r="K86" s="480" t="s">
        <v>275</v>
      </c>
      <c r="L86" s="480" t="s">
        <v>276</v>
      </c>
      <c r="M86" s="480" t="s">
        <v>277</v>
      </c>
      <c r="N86" s="480" t="s">
        <v>278</v>
      </c>
      <c r="O86" s="480" t="s">
        <v>279</v>
      </c>
      <c r="P86" s="481" t="s">
        <v>873</v>
      </c>
    </row>
    <row r="87" spans="2:16" ht="18" customHeight="1" x14ac:dyDescent="0.3">
      <c r="B87" s="485"/>
      <c r="C87" s="18" t="e" cm="1">
        <f t="array" ref="C87" xml:space="preserve">
(-IFERROR(SUM(
_xlfn._xlws.FILTER(Table_ChiPhiKD[Phân bổ sản xuất],
(Table_ChiPhiKD[Kỳ] &gt;=BCQT_BatDau) *
(Table_ChiPhiKD[Kỳ] &lt;BCQT_KetThuc) *
(Table_ChiPhiKD[Nhóm chi phí] = Table_KeHoach_ChiPhiTienIchSX[[#This Row],[Kế hoạch chi phí tiện ích sản xuất]] )
)),0)
- IFERROR(SUMPRODUCT(
_xlfn._xlws.FILTER(Table_ChiPhiKD[Phân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f>
        <v>#DIV/0!</v>
      </c>
      <c r="D87" s="418"/>
      <c r="E87" s="418"/>
      <c r="F87" s="418"/>
      <c r="G87" s="418"/>
      <c r="H87" s="418"/>
      <c r="I87" s="418"/>
      <c r="J87" s="418"/>
      <c r="K87" s="418"/>
      <c r="L87" s="418"/>
      <c r="M87" s="418"/>
      <c r="N87" s="418"/>
      <c r="O87" s="418"/>
      <c r="P87" s="418"/>
    </row>
    <row r="88" spans="2:16" ht="18" customHeight="1" x14ac:dyDescent="0.3">
      <c r="B88" s="483" t="s">
        <v>1029</v>
      </c>
      <c r="C88" s="483" t="e">
        <f>SUBTOTAL(109,Table_KeHoach_ChiPhiTienIchSX[Tham chiếu])</f>
        <v>#DIV/0!</v>
      </c>
      <c r="D88" s="483">
        <f>SUBTOTAL(109,Table_KeHoach_ChiPhiTienIchSX[Tháng 1])</f>
        <v>0</v>
      </c>
      <c r="E88" s="483">
        <f>SUBTOTAL(109,Table_KeHoach_ChiPhiTienIchSX[Tháng 2])</f>
        <v>0</v>
      </c>
      <c r="F88" s="483">
        <f>SUBTOTAL(109,Table_KeHoach_ChiPhiTienIchSX[Tháng 3])</f>
        <v>0</v>
      </c>
      <c r="G88" s="483">
        <f>SUBTOTAL(109,Table_KeHoach_ChiPhiTienIchSX[Tháng 4])</f>
        <v>0</v>
      </c>
      <c r="H88" s="483">
        <f>SUBTOTAL(109,Table_KeHoach_ChiPhiTienIchSX[Tháng 5])</f>
        <v>0</v>
      </c>
      <c r="I88" s="483">
        <f>SUBTOTAL(109,Table_KeHoach_ChiPhiTienIchSX[Tháng 6])</f>
        <v>0</v>
      </c>
      <c r="J88" s="483">
        <f>SUBTOTAL(109,Table_KeHoach_ChiPhiTienIchSX[Tháng 7])</f>
        <v>0</v>
      </c>
      <c r="K88" s="483">
        <f>SUBTOTAL(109,Table_KeHoach_ChiPhiTienIchSX[Tháng 8])</f>
        <v>0</v>
      </c>
      <c r="L88" s="483">
        <f>SUBTOTAL(109,Table_KeHoach_ChiPhiTienIchSX[Tháng 9])</f>
        <v>0</v>
      </c>
      <c r="M88" s="483">
        <f>SUBTOTAL(109,Table_KeHoach_ChiPhiTienIchSX[Tháng 10])</f>
        <v>0</v>
      </c>
      <c r="N88" s="483">
        <f>SUBTOTAL(109,Table_KeHoach_ChiPhiTienIchSX[Tháng 11])</f>
        <v>0</v>
      </c>
      <c r="O88" s="483">
        <f>SUBTOTAL(109,Table_KeHoach_ChiPhiTienIchSX[Tháng 12])</f>
        <v>0</v>
      </c>
      <c r="P88" s="418"/>
    </row>
    <row r="90" spans="2:16" ht="18" customHeight="1" x14ac:dyDescent="0.3">
      <c r="B90" s="7" t="s">
        <v>1044</v>
      </c>
      <c r="P90" s="215"/>
    </row>
    <row r="91" spans="2:16" ht="18" customHeight="1" x14ac:dyDescent="0.3">
      <c r="B91" s="484" t="s">
        <v>332</v>
      </c>
      <c r="C91" s="480" t="s">
        <v>267</v>
      </c>
      <c r="D91" s="480" t="s">
        <v>268</v>
      </c>
      <c r="E91" s="480" t="s">
        <v>269</v>
      </c>
      <c r="F91" s="480" t="s">
        <v>270</v>
      </c>
      <c r="G91" s="480" t="s">
        <v>271</v>
      </c>
      <c r="H91" s="480" t="s">
        <v>272</v>
      </c>
      <c r="I91" s="480" t="s">
        <v>273</v>
      </c>
      <c r="J91" s="480" t="s">
        <v>274</v>
      </c>
      <c r="K91" s="480" t="s">
        <v>275</v>
      </c>
      <c r="L91" s="480" t="s">
        <v>276</v>
      </c>
      <c r="M91" s="480" t="s">
        <v>277</v>
      </c>
      <c r="N91" s="480" t="s">
        <v>278</v>
      </c>
      <c r="O91" s="480" t="s">
        <v>279</v>
      </c>
      <c r="P91" s="481" t="s">
        <v>873</v>
      </c>
    </row>
    <row r="92" spans="2:16" ht="18" customHeight="1" x14ac:dyDescent="0.3">
      <c r="B92" s="34"/>
      <c r="C92" s="34" t="e" cm="1">
        <f t="array" ref="C92"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
_xlfn._xlws.FILTER(Table_ChiPhiKD[Giá trị]-Table_ChiPhiKD[Phân bổ sản xuất],
(Table_ChiPhiKD[Kỳ] &gt;=BCQT_BatDau) *
(Table_ChiPhiKD[Kỳ] &lt;BCQT_KetThuc) *
(Table_ChiPhiKD[Nhóm chi phí] = Table_KeHoach_ChiPhiVatTuVP[[#This Row],[Kế hoạch chi phí vật tư &amp; tiện ích văn phòng]] )
)),0)
- IFERROR(SUMPRODUCT(
_xlfn._xlws.FILTER(Table_ChiPhiKD[Giá trị]-Table_ChiPhiKD[Phân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f>
        <v>#DIV/0!</v>
      </c>
      <c r="D92" s="34"/>
      <c r="E92" s="34"/>
      <c r="F92" s="34"/>
      <c r="G92" s="34"/>
      <c r="H92" s="34"/>
      <c r="I92" s="34"/>
      <c r="J92" s="34"/>
      <c r="K92" s="34"/>
      <c r="L92" s="34"/>
      <c r="M92" s="34"/>
      <c r="N92" s="34"/>
      <c r="O92" s="34"/>
      <c r="P92" s="486"/>
    </row>
    <row r="93" spans="2:16" ht="18" customHeight="1" x14ac:dyDescent="0.3">
      <c r="B93" s="34"/>
      <c r="C93" s="34" t="e" cm="1">
        <f t="array" ref="C93"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
_xlfn._xlws.FILTER(Table_ChiPhiKD[Giá trị]-Table_ChiPhiKD[Phân bổ sản xuất],
(Table_ChiPhiKD[Kỳ] &gt;=BCQT_BatDau) *
(Table_ChiPhiKD[Kỳ] &lt;BCQT_KetThuc) *
(Table_ChiPhiKD[Nhóm chi phí] = Table_KeHoach_ChiPhiVatTuVP[[#This Row],[Kế hoạch chi phí vật tư &amp; tiện ích văn phòng]] )
)),0)
- IFERROR(SUMPRODUCT(
_xlfn._xlws.FILTER(Table_ChiPhiKD[Giá trị]-Table_ChiPhiKD[Phân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f>
        <v>#DIV/0!</v>
      </c>
      <c r="D93" s="34"/>
      <c r="E93" s="34"/>
      <c r="F93" s="34"/>
      <c r="G93" s="34"/>
      <c r="H93" s="34"/>
      <c r="I93" s="34"/>
      <c r="J93" s="34"/>
      <c r="K93" s="34"/>
      <c r="L93" s="34"/>
      <c r="M93" s="34"/>
      <c r="N93" s="34"/>
      <c r="O93" s="34"/>
      <c r="P93" s="34"/>
    </row>
    <row r="94" spans="2:16" ht="18" customHeight="1" x14ac:dyDescent="0.3">
      <c r="B94" s="483" t="s">
        <v>1029</v>
      </c>
      <c r="C94" s="483" t="e">
        <f>SUBTOTAL(109,Table_KeHoach_ChiPhiVatTuVP[Tham chiếu])</f>
        <v>#DIV/0!</v>
      </c>
      <c r="D94" s="483">
        <f>SUBTOTAL(109,Table_KeHoach_ChiPhiVatTuVP[Tháng 1])</f>
        <v>0</v>
      </c>
      <c r="E94" s="483">
        <f>SUBTOTAL(109,Table_KeHoach_ChiPhiVatTuVP[Tháng 2])</f>
        <v>0</v>
      </c>
      <c r="F94" s="483">
        <f>SUBTOTAL(109,Table_KeHoach_ChiPhiVatTuVP[Tháng 3])</f>
        <v>0</v>
      </c>
      <c r="G94" s="483">
        <f>SUBTOTAL(109,Table_KeHoach_ChiPhiVatTuVP[Tháng 4])</f>
        <v>0</v>
      </c>
      <c r="H94" s="483">
        <f>SUBTOTAL(109,Table_KeHoach_ChiPhiVatTuVP[Tháng 5])</f>
        <v>0</v>
      </c>
      <c r="I94" s="483">
        <f>SUBTOTAL(109,Table_KeHoach_ChiPhiVatTuVP[Tháng 6])</f>
        <v>0</v>
      </c>
      <c r="J94" s="483">
        <f>SUBTOTAL(109,Table_KeHoach_ChiPhiVatTuVP[Tháng 7])</f>
        <v>0</v>
      </c>
      <c r="K94" s="483">
        <f>SUBTOTAL(109,Table_KeHoach_ChiPhiVatTuVP[Tháng 8])</f>
        <v>0</v>
      </c>
      <c r="L94" s="483">
        <f>SUBTOTAL(109,Table_KeHoach_ChiPhiVatTuVP[Tháng 9])</f>
        <v>0</v>
      </c>
      <c r="M94" s="483">
        <f>SUBTOTAL(109,Table_KeHoach_ChiPhiVatTuVP[Tháng 10])</f>
        <v>0</v>
      </c>
      <c r="N94" s="483">
        <f>SUBTOTAL(109,Table_KeHoach_ChiPhiVatTuVP[Tháng 11])</f>
        <v>0</v>
      </c>
      <c r="O94" s="483">
        <f>SUBTOTAL(109,Table_KeHoach_ChiPhiVatTuVP[Tháng 12])</f>
        <v>0</v>
      </c>
      <c r="P94" s="483"/>
    </row>
    <row r="95" spans="2:16" ht="18" customHeight="1" x14ac:dyDescent="0.3">
      <c r="B95" s="28"/>
      <c r="C95" s="106"/>
      <c r="D95" s="28"/>
      <c r="E95" s="28"/>
      <c r="F95" s="28"/>
      <c r="G95" s="28"/>
      <c r="H95" s="28"/>
      <c r="I95" s="28"/>
      <c r="J95" s="28"/>
      <c r="K95" s="28"/>
      <c r="L95" s="28"/>
      <c r="M95" s="28"/>
      <c r="N95" s="28"/>
      <c r="O95" s="28"/>
      <c r="P95" s="28"/>
    </row>
    <row r="96" spans="2:16" ht="18" customHeight="1" x14ac:dyDescent="0.3">
      <c r="B96" s="7" t="s">
        <v>1067</v>
      </c>
      <c r="C96" s="106"/>
      <c r="D96" s="28"/>
      <c r="E96" s="28"/>
      <c r="F96" s="28"/>
      <c r="G96" s="28"/>
      <c r="H96" s="28"/>
      <c r="I96" s="28"/>
      <c r="J96" s="28"/>
      <c r="K96" s="28"/>
      <c r="L96" s="28"/>
      <c r="M96" s="28"/>
      <c r="N96" s="28"/>
      <c r="O96" s="28"/>
      <c r="P96" s="215"/>
    </row>
    <row r="97" spans="2:17" ht="18" customHeight="1" x14ac:dyDescent="0.3">
      <c r="B97" s="45" t="s">
        <v>333</v>
      </c>
      <c r="C97" s="478" t="s">
        <v>267</v>
      </c>
      <c r="D97" s="478" t="s">
        <v>268</v>
      </c>
      <c r="E97" s="478" t="s">
        <v>269</v>
      </c>
      <c r="F97" s="478" t="s">
        <v>270</v>
      </c>
      <c r="G97" s="478" t="s">
        <v>271</v>
      </c>
      <c r="H97" s="478" t="s">
        <v>272</v>
      </c>
      <c r="I97" s="478" t="s">
        <v>273</v>
      </c>
      <c r="J97" s="478" t="s">
        <v>274</v>
      </c>
      <c r="K97" s="478" t="s">
        <v>275</v>
      </c>
      <c r="L97" s="478" t="s">
        <v>276</v>
      </c>
      <c r="M97" s="478" t="s">
        <v>277</v>
      </c>
      <c r="N97" s="478" t="s">
        <v>278</v>
      </c>
      <c r="O97" s="478" t="s">
        <v>279</v>
      </c>
      <c r="P97" s="479" t="s">
        <v>873</v>
      </c>
    </row>
    <row r="98" spans="2:17" ht="18" customHeight="1" x14ac:dyDescent="0.3">
      <c r="B98" s="45"/>
      <c r="C98" s="552" t="e" cm="1" vm="1">
        <f t="array" ref="C98"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f>
        <v>#VALUE!</v>
      </c>
      <c r="D98" s="45"/>
      <c r="E98" s="45"/>
      <c r="F98" s="45"/>
      <c r="G98" s="45"/>
      <c r="H98" s="45"/>
      <c r="I98" s="45"/>
      <c r="J98" s="45"/>
      <c r="K98" s="45"/>
      <c r="L98" s="45"/>
      <c r="M98" s="45"/>
      <c r="N98" s="45"/>
      <c r="O98" s="45"/>
      <c r="P98" s="45"/>
      <c r="Q98" s="215"/>
    </row>
    <row r="100" spans="2:17" ht="18" customHeight="1" x14ac:dyDescent="0.3">
      <c r="B100" s="7" t="s">
        <v>1068</v>
      </c>
      <c r="P100" s="217"/>
    </row>
    <row r="101" spans="2:17" ht="18" customHeight="1" x14ac:dyDescent="0.3">
      <c r="B101" s="484" t="s">
        <v>334</v>
      </c>
      <c r="C101" s="480" t="s">
        <v>267</v>
      </c>
      <c r="D101" s="480" t="s">
        <v>268</v>
      </c>
      <c r="E101" s="480" t="s">
        <v>269</v>
      </c>
      <c r="F101" s="480" t="s">
        <v>270</v>
      </c>
      <c r="G101" s="480" t="s">
        <v>271</v>
      </c>
      <c r="H101" s="480" t="s">
        <v>272</v>
      </c>
      <c r="I101" s="480" t="s">
        <v>273</v>
      </c>
      <c r="J101" s="480" t="s">
        <v>274</v>
      </c>
      <c r="K101" s="480" t="s">
        <v>275</v>
      </c>
      <c r="L101" s="480" t="s">
        <v>276</v>
      </c>
      <c r="M101" s="480" t="s">
        <v>277</v>
      </c>
      <c r="N101" s="480" t="s">
        <v>278</v>
      </c>
      <c r="O101" s="480" t="s">
        <v>279</v>
      </c>
      <c r="P101" s="481" t="s">
        <v>873</v>
      </c>
    </row>
    <row r="102" spans="2:17" ht="18" customHeight="1" x14ac:dyDescent="0.3">
      <c r="B102" s="15"/>
      <c r="C102" s="18" t="e" cm="1" vm="1">
        <f t="array" ref="C102">-SUM(_xlfn._xlws.FILTER(Table_Main[Hoa hồng],
(Table_Main[Mã SKU] = Table_KeHoach_ChiPhiHoaHong[[#This Row],[Kế hoạch chi phí hoa hồng]]) *
(Table_Main[Ngày lên đơn] &gt;= BCQT_BatDau) *
(Table_Main[Ngày lên đơn] &lt; BCQT_KetThuc)
)) /
ROUND((BCQT_KetThuc-BCQT_BatDau)/(365.25/12),0)</f>
        <v>#VALUE!</v>
      </c>
      <c r="D102" s="18" t="e">
        <f>-
INDEX(Table_KeHoach_TyleHoaHong[#All],
MATCH(Table_KeHoach_ChiPhiHoaHong[[#This Row],[Kế hoạch chi phí hoa hồng]],Table_KeHoach_TyleHoaHong[[#All],[Kế hoạch tỷ lệ hoa hồng]],0),
MATCH(D$101,Table_KeHoach_TyleHoaHong[#Headers],0)) *
INDEX(Table_KeHoach_DoanhThu[[#Headers],[#Data]],
MATCH(Table_KeHoach_ChiPhiHoaHong[[#This Row],[Kế hoạch chi phí hoa hồng]],Table_KeHoach_DoanhThu[[#Headers],[#Data],[Kế hoạch doanh thu gộp]],0),
MATCH(D$101, Table_KeHoach_DoanhThu[#Headers],0))</f>
        <v>#N/A</v>
      </c>
      <c r="E102" s="18" t="e">
        <f>-
INDEX(Table_KeHoach_TyleHoaHong[#All],
MATCH(Table_KeHoach_ChiPhiHoaHong[[#This Row],[Kế hoạch chi phí hoa hồng]],Table_KeHoach_TyleHoaHong[[#All],[Kế hoạch tỷ lệ hoa hồng]],0),
MATCH(E$101,Table_KeHoach_TyleHoaHong[#Headers],0)) *
INDEX(Table_KeHoach_DoanhThu[[#Headers],[#Data]],
MATCH(Table_KeHoach_ChiPhiHoaHong[[#This Row],[Kế hoạch chi phí hoa hồng]],Table_KeHoach_DoanhThu[[#Headers],[#Data],[Kế hoạch doanh thu gộp]],0),
MATCH(E$101, Table_KeHoach_DoanhThu[#Headers],0))</f>
        <v>#N/A</v>
      </c>
      <c r="F102" s="18" t="e">
        <f>-
INDEX(Table_KeHoach_TyleHoaHong[#All],
MATCH(Table_KeHoach_ChiPhiHoaHong[[#This Row],[Kế hoạch chi phí hoa hồng]],Table_KeHoach_TyleHoaHong[[#All],[Kế hoạch tỷ lệ hoa hồng]],0),
MATCH(F$101,Table_KeHoach_TyleHoaHong[#Headers],0)) *
INDEX(Table_KeHoach_DoanhThu[[#Headers],[#Data]],
MATCH(Table_KeHoach_ChiPhiHoaHong[[#This Row],[Kế hoạch chi phí hoa hồng]],Table_KeHoach_DoanhThu[[#Headers],[#Data],[Kế hoạch doanh thu gộp]],0),
MATCH(F$101, Table_KeHoach_DoanhThu[#Headers],0))</f>
        <v>#N/A</v>
      </c>
      <c r="G102" s="18" t="e">
        <f>-
INDEX(Table_KeHoach_TyleHoaHong[#All],
MATCH(Table_KeHoach_ChiPhiHoaHong[[#This Row],[Kế hoạch chi phí hoa hồng]],Table_KeHoach_TyleHoaHong[[#All],[Kế hoạch tỷ lệ hoa hồng]],0),
MATCH(G$101,Table_KeHoach_TyleHoaHong[#Headers],0)) *
INDEX(Table_KeHoach_DoanhThu[[#Headers],[#Data]],
MATCH(Table_KeHoach_ChiPhiHoaHong[[#This Row],[Kế hoạch chi phí hoa hồng]],Table_KeHoach_DoanhThu[[#Headers],[#Data],[Kế hoạch doanh thu gộp]],0),
MATCH(G$101, Table_KeHoach_DoanhThu[#Headers],0))</f>
        <v>#N/A</v>
      </c>
      <c r="H102" s="18" t="e">
        <f>-
INDEX(Table_KeHoach_TyleHoaHong[#All],
MATCH(Table_KeHoach_ChiPhiHoaHong[[#This Row],[Kế hoạch chi phí hoa hồng]],Table_KeHoach_TyleHoaHong[[#All],[Kế hoạch tỷ lệ hoa hồng]],0),
MATCH(H$101,Table_KeHoach_TyleHoaHong[#Headers],0)) *
INDEX(Table_KeHoach_DoanhThu[[#Headers],[#Data]],
MATCH(Table_KeHoach_ChiPhiHoaHong[[#This Row],[Kế hoạch chi phí hoa hồng]],Table_KeHoach_DoanhThu[[#Headers],[#Data],[Kế hoạch doanh thu gộp]],0),
MATCH(H$101, Table_KeHoach_DoanhThu[#Headers],0))</f>
        <v>#N/A</v>
      </c>
      <c r="I102" s="18" t="e">
        <f>-
INDEX(Table_KeHoach_TyleHoaHong[#All],
MATCH(Table_KeHoach_ChiPhiHoaHong[[#This Row],[Kế hoạch chi phí hoa hồng]],Table_KeHoach_TyleHoaHong[[#All],[Kế hoạch tỷ lệ hoa hồng]],0),
MATCH(I$101,Table_KeHoach_TyleHoaHong[#Headers],0)) *
INDEX(Table_KeHoach_DoanhThu[[#Headers],[#Data]],
MATCH(Table_KeHoach_ChiPhiHoaHong[[#This Row],[Kế hoạch chi phí hoa hồng]],Table_KeHoach_DoanhThu[[#Headers],[#Data],[Kế hoạch doanh thu gộp]],0),
MATCH(I$101, Table_KeHoach_DoanhThu[#Headers],0))</f>
        <v>#N/A</v>
      </c>
      <c r="J102" s="18" t="e">
        <f>-
INDEX(Table_KeHoach_TyleHoaHong[#All],
MATCH(Table_KeHoach_ChiPhiHoaHong[[#This Row],[Kế hoạch chi phí hoa hồng]],Table_KeHoach_TyleHoaHong[[#All],[Kế hoạch tỷ lệ hoa hồng]],0),
MATCH(J$101,Table_KeHoach_TyleHoaHong[#Headers],0)) *
INDEX(Table_KeHoach_DoanhThu[[#Headers],[#Data]],
MATCH(Table_KeHoach_ChiPhiHoaHong[[#This Row],[Kế hoạch chi phí hoa hồng]],Table_KeHoach_DoanhThu[[#Headers],[#Data],[Kế hoạch doanh thu gộp]],0),
MATCH(J$101, Table_KeHoach_DoanhThu[#Headers],0))</f>
        <v>#N/A</v>
      </c>
      <c r="K102" s="18" t="e">
        <f>-
INDEX(Table_KeHoach_TyleHoaHong[#All],
MATCH(Table_KeHoach_ChiPhiHoaHong[[#This Row],[Kế hoạch chi phí hoa hồng]],Table_KeHoach_TyleHoaHong[[#All],[Kế hoạch tỷ lệ hoa hồng]],0),
MATCH(K$101,Table_KeHoach_TyleHoaHong[#Headers],0)) *
INDEX(Table_KeHoach_DoanhThu[[#Headers],[#Data]],
MATCH(Table_KeHoach_ChiPhiHoaHong[[#This Row],[Kế hoạch chi phí hoa hồng]],Table_KeHoach_DoanhThu[[#Headers],[#Data],[Kế hoạch doanh thu gộp]],0),
MATCH(K$101, Table_KeHoach_DoanhThu[#Headers],0))</f>
        <v>#N/A</v>
      </c>
      <c r="L102" s="18" t="e">
        <f>-
INDEX(Table_KeHoach_TyleHoaHong[#All],
MATCH(Table_KeHoach_ChiPhiHoaHong[[#This Row],[Kế hoạch chi phí hoa hồng]],Table_KeHoach_TyleHoaHong[[#All],[Kế hoạch tỷ lệ hoa hồng]],0),
MATCH(L$101,Table_KeHoach_TyleHoaHong[#Headers],0)) *
INDEX(Table_KeHoach_DoanhThu[[#Headers],[#Data]],
MATCH(Table_KeHoach_ChiPhiHoaHong[[#This Row],[Kế hoạch chi phí hoa hồng]],Table_KeHoach_DoanhThu[[#Headers],[#Data],[Kế hoạch doanh thu gộp]],0),
MATCH(L$101, Table_KeHoach_DoanhThu[#Headers],0))</f>
        <v>#N/A</v>
      </c>
      <c r="M102" s="18" t="e">
        <f>-
INDEX(Table_KeHoach_TyleHoaHong[#All],
MATCH(Table_KeHoach_ChiPhiHoaHong[[#This Row],[Kế hoạch chi phí hoa hồng]],Table_KeHoach_TyleHoaHong[[#All],[Kế hoạch tỷ lệ hoa hồng]],0),
MATCH(M$101,Table_KeHoach_TyleHoaHong[#Headers],0)) *
INDEX(Table_KeHoach_DoanhThu[[#Headers],[#Data]],
MATCH(Table_KeHoach_ChiPhiHoaHong[[#This Row],[Kế hoạch chi phí hoa hồng]],Table_KeHoach_DoanhThu[[#Headers],[#Data],[Kế hoạch doanh thu gộp]],0),
MATCH(M$101, Table_KeHoach_DoanhThu[#Headers],0))</f>
        <v>#N/A</v>
      </c>
      <c r="N102" s="18" t="e">
        <f>-
INDEX(Table_KeHoach_TyleHoaHong[#All],
MATCH(Table_KeHoach_ChiPhiHoaHong[[#This Row],[Kế hoạch chi phí hoa hồng]],Table_KeHoach_TyleHoaHong[[#All],[Kế hoạch tỷ lệ hoa hồng]],0),
MATCH(N$101,Table_KeHoach_TyleHoaHong[#Headers],0)) *
INDEX(Table_KeHoach_DoanhThu[[#Headers],[#Data]],
MATCH(Table_KeHoach_ChiPhiHoaHong[[#This Row],[Kế hoạch chi phí hoa hồng]],Table_KeHoach_DoanhThu[[#Headers],[#Data],[Kế hoạch doanh thu gộp]],0),
MATCH(N$101, Table_KeHoach_DoanhThu[#Headers],0))</f>
        <v>#N/A</v>
      </c>
      <c r="O102" s="18" t="e">
        <f>-
INDEX(Table_KeHoach_TyleHoaHong[#All],
MATCH(Table_KeHoach_ChiPhiHoaHong[[#This Row],[Kế hoạch chi phí hoa hồng]],Table_KeHoach_TyleHoaHong[[#All],[Kế hoạch tỷ lệ hoa hồng]],0),
MATCH(O$101,Table_KeHoach_TyleHoaHong[#Headers],0)) *
INDEX(Table_KeHoach_DoanhThu[[#Headers],[#Data]],
MATCH(Table_KeHoach_ChiPhiHoaHong[[#This Row],[Kế hoạch chi phí hoa hồng]],Table_KeHoach_DoanhThu[[#Headers],[#Data],[Kế hoạch doanh thu gộp]],0),
MATCH(O$101, Table_KeHoach_DoanhThu[#Headers],0))</f>
        <v>#N/A</v>
      </c>
      <c r="P102" s="18"/>
    </row>
    <row r="103" spans="2:17" ht="18" customHeight="1" x14ac:dyDescent="0.15">
      <c r="B103" s="483" t="s">
        <v>1029</v>
      </c>
      <c r="C103" s="487" t="e" vm="2">
        <f>SUBTOTAL(109,Table_KeHoach_ChiPhiHoaHong[Tham chiếu])</f>
        <v>#VALUE!</v>
      </c>
      <c r="D103" s="487" t="e">
        <f>SUBTOTAL(109,Table_KeHoach_ChiPhiHoaHong[Tháng 1])</f>
        <v>#N/A</v>
      </c>
      <c r="E103" s="487" t="e">
        <f>SUBTOTAL(109,Table_KeHoach_ChiPhiHoaHong[Tháng 2])</f>
        <v>#N/A</v>
      </c>
      <c r="F103" s="487" t="e">
        <f>SUBTOTAL(109,Table_KeHoach_ChiPhiHoaHong[Tháng 3])</f>
        <v>#N/A</v>
      </c>
      <c r="G103" s="487" t="e">
        <f>SUBTOTAL(109,Table_KeHoach_ChiPhiHoaHong[Tháng 4])</f>
        <v>#N/A</v>
      </c>
      <c r="H103" s="487" t="e">
        <f>SUBTOTAL(109,Table_KeHoach_ChiPhiHoaHong[Tháng 5])</f>
        <v>#N/A</v>
      </c>
      <c r="I103" s="487" t="e">
        <f>SUBTOTAL(109,Table_KeHoach_ChiPhiHoaHong[Tháng 6])</f>
        <v>#N/A</v>
      </c>
      <c r="J103" s="487" t="e">
        <f>SUBTOTAL(109,Table_KeHoach_ChiPhiHoaHong[Tháng 7])</f>
        <v>#N/A</v>
      </c>
      <c r="K103" s="487" t="e">
        <f>SUBTOTAL(109,Table_KeHoach_ChiPhiHoaHong[Tháng 8])</f>
        <v>#N/A</v>
      </c>
      <c r="L103" s="487" t="e">
        <f>SUBTOTAL(109,Table_KeHoach_ChiPhiHoaHong[Tháng 9])</f>
        <v>#N/A</v>
      </c>
      <c r="M103" s="487" t="e">
        <f>SUBTOTAL(109,Table_KeHoach_ChiPhiHoaHong[Tháng 10])</f>
        <v>#N/A</v>
      </c>
      <c r="N103" s="487" t="e">
        <f>SUBTOTAL(109,Table_KeHoach_ChiPhiHoaHong[Tháng 11])</f>
        <v>#N/A</v>
      </c>
      <c r="O103" s="487" t="e">
        <f>SUBTOTAL(109,Table_KeHoach_ChiPhiHoaHong[Tháng 12])</f>
        <v>#N/A</v>
      </c>
      <c r="P103" s="487"/>
    </row>
    <row r="105" spans="2:17" ht="18" customHeight="1" x14ac:dyDescent="0.3">
      <c r="B105" s="7" t="s">
        <v>1045</v>
      </c>
      <c r="P105" s="45"/>
    </row>
    <row r="106" spans="2:17" ht="18" customHeight="1" x14ac:dyDescent="0.3">
      <c r="B106" s="488" t="s">
        <v>336</v>
      </c>
      <c r="C106" s="478" t="s">
        <v>267</v>
      </c>
      <c r="D106" s="478" t="s">
        <v>268</v>
      </c>
      <c r="E106" s="478" t="s">
        <v>269</v>
      </c>
      <c r="F106" s="478" t="s">
        <v>270</v>
      </c>
      <c r="G106" s="478" t="s">
        <v>271</v>
      </c>
      <c r="H106" s="478" t="s">
        <v>272</v>
      </c>
      <c r="I106" s="478" t="s">
        <v>273</v>
      </c>
      <c r="J106" s="478" t="s">
        <v>274</v>
      </c>
      <c r="K106" s="478" t="s">
        <v>275</v>
      </c>
      <c r="L106" s="478" t="s">
        <v>276</v>
      </c>
      <c r="M106" s="478" t="s">
        <v>277</v>
      </c>
      <c r="N106" s="478" t="s">
        <v>278</v>
      </c>
      <c r="O106" s="478" t="s">
        <v>279</v>
      </c>
      <c r="P106" s="479" t="s">
        <v>873</v>
      </c>
    </row>
    <row r="107" spans="2:17" ht="18" customHeight="1" x14ac:dyDescent="0.3">
      <c r="B107" s="45"/>
      <c r="C107" s="68" t="e" cm="1">
        <f t="array" ref="C107">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f>
        <v>#N/A</v>
      </c>
      <c r="D107" s="68"/>
      <c r="E107" s="68"/>
      <c r="F107" s="68"/>
      <c r="G107" s="68"/>
      <c r="H107" s="68"/>
      <c r="I107" s="68"/>
      <c r="J107" s="68"/>
      <c r="K107" s="68"/>
      <c r="L107" s="68"/>
      <c r="M107" s="68"/>
      <c r="N107" s="68"/>
      <c r="O107" s="68"/>
      <c r="P107" s="68"/>
    </row>
    <row r="108" spans="2:17" ht="18" customHeight="1" x14ac:dyDescent="0.3">
      <c r="B108" s="28"/>
      <c r="C108" s="106"/>
      <c r="D108" s="28"/>
      <c r="E108" s="28"/>
      <c r="F108" s="28"/>
      <c r="G108" s="28"/>
      <c r="H108" s="28"/>
      <c r="I108" s="28"/>
      <c r="J108" s="28"/>
      <c r="K108" s="28"/>
      <c r="L108" s="28"/>
      <c r="M108" s="28"/>
      <c r="N108" s="28"/>
      <c r="O108" s="28"/>
      <c r="P108" s="28"/>
    </row>
    <row r="109" spans="2:17" ht="18" customHeight="1" x14ac:dyDescent="0.3">
      <c r="B109" s="7" t="s">
        <v>1046</v>
      </c>
      <c r="C109" s="106"/>
      <c r="D109" s="28"/>
      <c r="E109" s="28"/>
      <c r="F109" s="28"/>
      <c r="G109" s="28"/>
      <c r="H109" s="28"/>
      <c r="I109" s="28"/>
      <c r="J109" s="28"/>
      <c r="K109" s="28"/>
      <c r="L109" s="28"/>
      <c r="M109" s="28"/>
      <c r="N109" s="28"/>
      <c r="O109" s="28"/>
      <c r="P109" s="18"/>
    </row>
    <row r="110" spans="2:17" ht="18" customHeight="1" x14ac:dyDescent="0.3">
      <c r="B110" s="45" t="s">
        <v>335</v>
      </c>
      <c r="C110" s="478" t="s">
        <v>267</v>
      </c>
      <c r="D110" s="478" t="s">
        <v>268</v>
      </c>
      <c r="E110" s="478" t="s">
        <v>269</v>
      </c>
      <c r="F110" s="478" t="s">
        <v>270</v>
      </c>
      <c r="G110" s="478" t="s">
        <v>271</v>
      </c>
      <c r="H110" s="478" t="s">
        <v>272</v>
      </c>
      <c r="I110" s="478" t="s">
        <v>273</v>
      </c>
      <c r="J110" s="478" t="s">
        <v>274</v>
      </c>
      <c r="K110" s="478" t="s">
        <v>275</v>
      </c>
      <c r="L110" s="478" t="s">
        <v>276</v>
      </c>
      <c r="M110" s="478" t="s">
        <v>277</v>
      </c>
      <c r="N110" s="478" t="s">
        <v>278</v>
      </c>
      <c r="O110" s="478" t="s">
        <v>279</v>
      </c>
      <c r="P110" s="479" t="s">
        <v>873</v>
      </c>
    </row>
    <row r="111" spans="2:17" ht="18" customHeight="1" x14ac:dyDescent="0.3">
      <c r="B111" s="45"/>
      <c r="C111" s="68" cm="1">
        <f t="array" ref="C11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f>
        <v>0</v>
      </c>
      <c r="D111" s="68"/>
      <c r="E111" s="68"/>
      <c r="F111" s="68"/>
      <c r="G111" s="68"/>
      <c r="H111" s="68"/>
      <c r="I111" s="68"/>
      <c r="J111" s="68"/>
      <c r="K111" s="68"/>
      <c r="L111" s="68"/>
      <c r="M111" s="68"/>
      <c r="N111" s="68"/>
      <c r="O111" s="68"/>
      <c r="P111" s="68"/>
    </row>
    <row r="112" spans="2:17" ht="18" customHeight="1" x14ac:dyDescent="0.3">
      <c r="B112" s="28"/>
      <c r="C112" s="106"/>
      <c r="D112" s="28"/>
      <c r="E112" s="28"/>
      <c r="F112" s="28"/>
      <c r="G112" s="28"/>
      <c r="H112" s="28"/>
      <c r="I112" s="28"/>
      <c r="J112" s="28"/>
      <c r="K112" s="28"/>
      <c r="L112" s="28"/>
      <c r="M112" s="28"/>
      <c r="N112" s="28"/>
    </row>
    <row r="113" spans="2:16" ht="18" customHeight="1" x14ac:dyDescent="0.3">
      <c r="B113" s="21" t="s">
        <v>1047</v>
      </c>
      <c r="C113" s="106"/>
      <c r="D113" s="28"/>
      <c r="E113" s="28"/>
      <c r="F113" s="28"/>
      <c r="G113" s="28"/>
      <c r="H113" s="28"/>
      <c r="I113" s="28"/>
      <c r="J113" s="28"/>
      <c r="K113" s="28"/>
      <c r="L113" s="28"/>
      <c r="M113" s="28"/>
      <c r="N113" s="28"/>
      <c r="P113" s="86"/>
    </row>
    <row r="114" spans="2:16" ht="18" customHeight="1" x14ac:dyDescent="0.3">
      <c r="B114" s="484" t="s">
        <v>337</v>
      </c>
      <c r="C114" s="480" t="s">
        <v>267</v>
      </c>
      <c r="D114" s="480" t="s">
        <v>268</v>
      </c>
      <c r="E114" s="480" t="s">
        <v>269</v>
      </c>
      <c r="F114" s="480" t="s">
        <v>270</v>
      </c>
      <c r="G114" s="480" t="s">
        <v>271</v>
      </c>
      <c r="H114" s="480" t="s">
        <v>272</v>
      </c>
      <c r="I114" s="480" t="s">
        <v>273</v>
      </c>
      <c r="J114" s="480" t="s">
        <v>274</v>
      </c>
      <c r="K114" s="480" t="s">
        <v>275</v>
      </c>
      <c r="L114" s="480" t="s">
        <v>276</v>
      </c>
      <c r="M114" s="480" t="s">
        <v>277</v>
      </c>
      <c r="N114" s="480" t="s">
        <v>278</v>
      </c>
      <c r="O114" s="480" t="s">
        <v>279</v>
      </c>
      <c r="P114" s="481" t="s">
        <v>873</v>
      </c>
    </row>
    <row r="115" spans="2:16" ht="18" customHeight="1" x14ac:dyDescent="0.3">
      <c r="B115" s="15"/>
      <c r="C115" s="18" t="e" cm="1">
        <f t="array" ref="C115">-IFERROR(
SUM(_xlfn._xlws.FILTER(Table_ThuChiKD[Phí GD],
(Table_ThuChiKD[TK GD] = Table_KeHoach_ChiPhiThanhToan[[#This Row],[Kế hoạch chi phí thanh toán]]) *
(Table_ThuChiKD[Ngày GD] &gt;=BCQT_BatDau) *
(Table_ThuChiKD[Ngày GD] &lt; BCQT_KetThuc )
)),0)/
ROUND((BCQT_KetThuc-BCQT_BatDau)/(365.25/12),0)</f>
        <v>#DIV/0!</v>
      </c>
      <c r="D115" s="18" t="e">
        <f>-
INDEX(Table_KeHoach_DoanhThuTaiKhoan[#All],
MATCH(Table_KeHoach_ChiPhiThanhToan[[#This Row],[Kế hoạch chi phí thanh toán]],Table_KeHoach_DoanhThuTaiKhoan[[#All],[Kế hoạch tỷ trọng doanh thu]],0),
MATCH(D$114,Table_KeHoach_DoanhThuTaiKhoan[#Headers],0)) *
INDEX(Table_KeHoach_ChietKhauThanToan[#All],
MATCH(Table_KeHoach_ChiPhiThanhToan[[#This Row],[Kế hoạch chi phí thanh toán]],Table_KeHoach_ChietKhauThanToan[[#All],[Kế hoạch tỷ lệ CK thanh toán]],0),
MATCH(D$114,Table_KeHoach_ChietKhauThanToan[#Headers],0)) *
HLOOKUP(D$114,Table_KeHoach_DoanhThu[#All],COUNTA(Table_KeHoach_DoanhThu[[#All],[Kế hoạch doanh thu gộp]]),0)</f>
        <v>#N/A</v>
      </c>
      <c r="E115" s="18" t="e">
        <f>-
INDEX(Table_KeHoach_DoanhThuTaiKhoan[#All],
MATCH(Table_KeHoach_ChiPhiThanhToan[[#This Row],[Kế hoạch chi phí thanh toán]],Table_KeHoach_DoanhThuTaiKhoan[[#All],[Kế hoạch tỷ trọng doanh thu]],0),
MATCH(E$114,Table_KeHoach_DoanhThuTaiKhoan[#Headers],0)) *
INDEX(Table_KeHoach_ChietKhauThanToan[#All],
MATCH(Table_KeHoach_ChiPhiThanhToan[[#This Row],[Kế hoạch chi phí thanh toán]],Table_KeHoach_ChietKhauThanToan[[#All],[Kế hoạch tỷ lệ CK thanh toán]],0),
MATCH(E$114,Table_KeHoach_ChietKhauThanToan[#Headers],0)) *
HLOOKUP(E$114,Table_KeHoach_DoanhThu[#All],COUNTA(Table_KeHoach_DoanhThu[[#All],[Kế hoạch doanh thu gộp]]),0)</f>
        <v>#N/A</v>
      </c>
      <c r="F115" s="18" t="e">
        <f>-
INDEX(Table_KeHoach_DoanhThuTaiKhoan[#All],
MATCH(Table_KeHoach_ChiPhiThanhToan[[#This Row],[Kế hoạch chi phí thanh toán]],Table_KeHoach_DoanhThuTaiKhoan[[#All],[Kế hoạch tỷ trọng doanh thu]],0),
MATCH(F$114,Table_KeHoach_DoanhThuTaiKhoan[#Headers],0)) *
INDEX(Table_KeHoach_ChietKhauThanToan[#All],
MATCH(Table_KeHoach_ChiPhiThanhToan[[#This Row],[Kế hoạch chi phí thanh toán]],Table_KeHoach_ChietKhauThanToan[[#All],[Kế hoạch tỷ lệ CK thanh toán]],0),
MATCH(F$114,Table_KeHoach_ChietKhauThanToan[#Headers],0)) *
HLOOKUP(F$114,Table_KeHoach_DoanhThu[#All],COUNTA(Table_KeHoach_DoanhThu[[#All],[Kế hoạch doanh thu gộp]]),0)</f>
        <v>#N/A</v>
      </c>
      <c r="G115" s="18" t="e">
        <f>-
INDEX(Table_KeHoach_DoanhThuTaiKhoan[#All],
MATCH(Table_KeHoach_ChiPhiThanhToan[[#This Row],[Kế hoạch chi phí thanh toán]],Table_KeHoach_DoanhThuTaiKhoan[[#All],[Kế hoạch tỷ trọng doanh thu]],0),
MATCH(G$114,Table_KeHoach_DoanhThuTaiKhoan[#Headers],0)) *
INDEX(Table_KeHoach_ChietKhauThanToan[#All],
MATCH(Table_KeHoach_ChiPhiThanhToan[[#This Row],[Kế hoạch chi phí thanh toán]],Table_KeHoach_ChietKhauThanToan[[#All],[Kế hoạch tỷ lệ CK thanh toán]],0),
MATCH(G$114,Table_KeHoach_ChietKhauThanToan[#Headers],0)) *
HLOOKUP(G$114,Table_KeHoach_DoanhThu[#All],COUNTA(Table_KeHoach_DoanhThu[[#All],[Kế hoạch doanh thu gộp]]),0)</f>
        <v>#N/A</v>
      </c>
      <c r="H115" s="18" t="e">
        <f>-
INDEX(Table_KeHoach_DoanhThuTaiKhoan[#All],
MATCH(Table_KeHoach_ChiPhiThanhToan[[#This Row],[Kế hoạch chi phí thanh toán]],Table_KeHoach_DoanhThuTaiKhoan[[#All],[Kế hoạch tỷ trọng doanh thu]],0),
MATCH(H$114,Table_KeHoach_DoanhThuTaiKhoan[#Headers],0)) *
INDEX(Table_KeHoach_ChietKhauThanToan[#All],
MATCH(Table_KeHoach_ChiPhiThanhToan[[#This Row],[Kế hoạch chi phí thanh toán]],Table_KeHoach_ChietKhauThanToan[[#All],[Kế hoạch tỷ lệ CK thanh toán]],0),
MATCH(H$114,Table_KeHoach_ChietKhauThanToan[#Headers],0)) *
HLOOKUP(H$114,Table_KeHoach_DoanhThu[#All],COUNTA(Table_KeHoach_DoanhThu[[#All],[Kế hoạch doanh thu gộp]]),0)</f>
        <v>#N/A</v>
      </c>
      <c r="I115" s="18" t="e">
        <f>-
INDEX(Table_KeHoach_DoanhThuTaiKhoan[#All],
MATCH(Table_KeHoach_ChiPhiThanhToan[[#This Row],[Kế hoạch chi phí thanh toán]],Table_KeHoach_DoanhThuTaiKhoan[[#All],[Kế hoạch tỷ trọng doanh thu]],0),
MATCH(I$114,Table_KeHoach_DoanhThuTaiKhoan[#Headers],0)) *
INDEX(Table_KeHoach_ChietKhauThanToan[#All],
MATCH(Table_KeHoach_ChiPhiThanhToan[[#This Row],[Kế hoạch chi phí thanh toán]],Table_KeHoach_ChietKhauThanToan[[#All],[Kế hoạch tỷ lệ CK thanh toán]],0),
MATCH(I$114,Table_KeHoach_ChietKhauThanToan[#Headers],0)) *
HLOOKUP(I$114,Table_KeHoach_DoanhThu[#All],COUNTA(Table_KeHoach_DoanhThu[[#All],[Kế hoạch doanh thu gộp]]),0)</f>
        <v>#N/A</v>
      </c>
      <c r="J115" s="18" t="e">
        <f>-
INDEX(Table_KeHoach_DoanhThuTaiKhoan[#All],
MATCH(Table_KeHoach_ChiPhiThanhToan[[#This Row],[Kế hoạch chi phí thanh toán]],Table_KeHoach_DoanhThuTaiKhoan[[#All],[Kế hoạch tỷ trọng doanh thu]],0),
MATCH(J$114,Table_KeHoach_DoanhThuTaiKhoan[#Headers],0)) *
INDEX(Table_KeHoach_ChietKhauThanToan[#All],
MATCH(Table_KeHoach_ChiPhiThanhToan[[#This Row],[Kế hoạch chi phí thanh toán]],Table_KeHoach_ChietKhauThanToan[[#All],[Kế hoạch tỷ lệ CK thanh toán]],0),
MATCH(J$114,Table_KeHoach_ChietKhauThanToan[#Headers],0)) *
HLOOKUP(J$114,Table_KeHoach_DoanhThu[#All],COUNTA(Table_KeHoach_DoanhThu[[#All],[Kế hoạch doanh thu gộp]]),0)</f>
        <v>#N/A</v>
      </c>
      <c r="K115" s="18" t="e">
        <f>-
INDEX(Table_KeHoach_DoanhThuTaiKhoan[#All],
MATCH(Table_KeHoach_ChiPhiThanhToan[[#This Row],[Kế hoạch chi phí thanh toán]],Table_KeHoach_DoanhThuTaiKhoan[[#All],[Kế hoạch tỷ trọng doanh thu]],0),
MATCH(K$114,Table_KeHoach_DoanhThuTaiKhoan[#Headers],0)) *
INDEX(Table_KeHoach_ChietKhauThanToan[#All],
MATCH(Table_KeHoach_ChiPhiThanhToan[[#This Row],[Kế hoạch chi phí thanh toán]],Table_KeHoach_ChietKhauThanToan[[#All],[Kế hoạch tỷ lệ CK thanh toán]],0),
MATCH(K$114,Table_KeHoach_ChietKhauThanToan[#Headers],0)) *
HLOOKUP(K$114,Table_KeHoach_DoanhThu[#All],COUNTA(Table_KeHoach_DoanhThu[[#All],[Kế hoạch doanh thu gộp]]),0)</f>
        <v>#N/A</v>
      </c>
      <c r="L115" s="18" t="e">
        <f>-
INDEX(Table_KeHoach_DoanhThuTaiKhoan[#All],
MATCH(Table_KeHoach_ChiPhiThanhToan[[#This Row],[Kế hoạch chi phí thanh toán]],Table_KeHoach_DoanhThuTaiKhoan[[#All],[Kế hoạch tỷ trọng doanh thu]],0),
MATCH(L$114,Table_KeHoach_DoanhThuTaiKhoan[#Headers],0)) *
INDEX(Table_KeHoach_ChietKhauThanToan[#All],
MATCH(Table_KeHoach_ChiPhiThanhToan[[#This Row],[Kế hoạch chi phí thanh toán]],Table_KeHoach_ChietKhauThanToan[[#All],[Kế hoạch tỷ lệ CK thanh toán]],0),
MATCH(L$114,Table_KeHoach_ChietKhauThanToan[#Headers],0)) *
HLOOKUP(L$114,Table_KeHoach_DoanhThu[#All],COUNTA(Table_KeHoach_DoanhThu[[#All],[Kế hoạch doanh thu gộp]]),0)</f>
        <v>#N/A</v>
      </c>
      <c r="M115" s="18" t="e">
        <f>-
INDEX(Table_KeHoach_DoanhThuTaiKhoan[#All],
MATCH(Table_KeHoach_ChiPhiThanhToan[[#This Row],[Kế hoạch chi phí thanh toán]],Table_KeHoach_DoanhThuTaiKhoan[[#All],[Kế hoạch tỷ trọng doanh thu]],0),
MATCH(M$114,Table_KeHoach_DoanhThuTaiKhoan[#Headers],0)) *
INDEX(Table_KeHoach_ChietKhauThanToan[#All],
MATCH(Table_KeHoach_ChiPhiThanhToan[[#This Row],[Kế hoạch chi phí thanh toán]],Table_KeHoach_ChietKhauThanToan[[#All],[Kế hoạch tỷ lệ CK thanh toán]],0),
MATCH(M$114,Table_KeHoach_ChietKhauThanToan[#Headers],0)) *
HLOOKUP(M$114,Table_KeHoach_DoanhThu[#All],COUNTA(Table_KeHoach_DoanhThu[[#All],[Kế hoạch doanh thu gộp]]),0)</f>
        <v>#N/A</v>
      </c>
      <c r="N115" s="18" t="e">
        <f>-
INDEX(Table_KeHoach_DoanhThuTaiKhoan[#All],
MATCH(Table_KeHoach_ChiPhiThanhToan[[#This Row],[Kế hoạch chi phí thanh toán]],Table_KeHoach_DoanhThuTaiKhoan[[#All],[Kế hoạch tỷ trọng doanh thu]],0),
MATCH(N$114,Table_KeHoach_DoanhThuTaiKhoan[#Headers],0)) *
INDEX(Table_KeHoach_ChietKhauThanToan[#All],
MATCH(Table_KeHoach_ChiPhiThanhToan[[#This Row],[Kế hoạch chi phí thanh toán]],Table_KeHoach_ChietKhauThanToan[[#All],[Kế hoạch tỷ lệ CK thanh toán]],0),
MATCH(N$114,Table_KeHoach_ChietKhauThanToan[#Headers],0)) *
HLOOKUP(N$114,Table_KeHoach_DoanhThu[#All],COUNTA(Table_KeHoach_DoanhThu[[#All],[Kế hoạch doanh thu gộp]]),0)</f>
        <v>#N/A</v>
      </c>
      <c r="O115" s="18" t="e">
        <f>-
INDEX(Table_KeHoach_DoanhThuTaiKhoan[#All],
MATCH(Table_KeHoach_ChiPhiThanhToan[[#This Row],[Kế hoạch chi phí thanh toán]],Table_KeHoach_DoanhThuTaiKhoan[[#All],[Kế hoạch tỷ trọng doanh thu]],0),
MATCH(O$114,Table_KeHoach_DoanhThuTaiKhoan[#Headers],0)) *
INDEX(Table_KeHoach_ChietKhauThanToan[#All],
MATCH(Table_KeHoach_ChiPhiThanhToan[[#This Row],[Kế hoạch chi phí thanh toán]],Table_KeHoach_ChietKhauThanToan[[#All],[Kế hoạch tỷ lệ CK thanh toán]],0),
MATCH(O$114,Table_KeHoach_ChietKhauThanToan[#Headers],0)) *
HLOOKUP(O$114,Table_KeHoach_DoanhThu[#All],COUNTA(Table_KeHoach_DoanhThu[[#All],[Kế hoạch doanh thu gộp]]),0)</f>
        <v>#N/A</v>
      </c>
      <c r="P115" s="18"/>
    </row>
    <row r="116" spans="2:16" ht="18" customHeight="1" x14ac:dyDescent="0.3">
      <c r="B116" s="483" t="s">
        <v>1029</v>
      </c>
      <c r="C116" s="483" t="e">
        <f>SUBTOTAL(109,Table_KeHoach_ChiPhiThanhToan[Tham chiếu])</f>
        <v>#DIV/0!</v>
      </c>
      <c r="D116" s="483" t="e">
        <f>SUBTOTAL(109,Table_KeHoach_ChiPhiThanhToan[Tháng 1])</f>
        <v>#N/A</v>
      </c>
      <c r="E116" s="483" t="e">
        <f>SUBTOTAL(109,Table_KeHoach_ChiPhiThanhToan[Tháng 2])</f>
        <v>#N/A</v>
      </c>
      <c r="F116" s="483" t="e">
        <f>SUBTOTAL(109,Table_KeHoach_ChiPhiThanhToan[Tháng 3])</f>
        <v>#N/A</v>
      </c>
      <c r="G116" s="483" t="e">
        <f>SUBTOTAL(109,Table_KeHoach_ChiPhiThanhToan[Tháng 4])</f>
        <v>#N/A</v>
      </c>
      <c r="H116" s="483" t="e">
        <f>SUBTOTAL(109,Table_KeHoach_ChiPhiThanhToan[Tháng 5])</f>
        <v>#N/A</v>
      </c>
      <c r="I116" s="483" t="e">
        <f>SUBTOTAL(109,Table_KeHoach_ChiPhiThanhToan[Tháng 6])</f>
        <v>#N/A</v>
      </c>
      <c r="J116" s="483" t="e">
        <f>SUBTOTAL(109,Table_KeHoach_ChiPhiThanhToan[Tháng 7])</f>
        <v>#N/A</v>
      </c>
      <c r="K116" s="483" t="e">
        <f>SUBTOTAL(109,Table_KeHoach_ChiPhiThanhToan[Tháng 8])</f>
        <v>#N/A</v>
      </c>
      <c r="L116" s="483" t="e">
        <f>SUBTOTAL(109,Table_KeHoach_ChiPhiThanhToan[Tháng 9])</f>
        <v>#N/A</v>
      </c>
      <c r="M116" s="483" t="e">
        <f>SUBTOTAL(109,Table_KeHoach_ChiPhiThanhToan[Tháng 10])</f>
        <v>#N/A</v>
      </c>
      <c r="N116" s="483" t="e">
        <f>SUBTOTAL(109,Table_KeHoach_ChiPhiThanhToan[Tháng 11])</f>
        <v>#N/A</v>
      </c>
      <c r="O116" s="483" t="e">
        <f>SUBTOTAL(109,Table_KeHoach_ChiPhiThanhToan[Tháng 12])</f>
        <v>#N/A</v>
      </c>
      <c r="P116" s="483"/>
    </row>
    <row r="118" spans="2:16" ht="18" customHeight="1" x14ac:dyDescent="0.3">
      <c r="B118" s="7" t="s">
        <v>1048</v>
      </c>
      <c r="P118" s="68"/>
    </row>
    <row r="119" spans="2:16" ht="18" customHeight="1" x14ac:dyDescent="0.3">
      <c r="B119" s="7" t="s">
        <v>338</v>
      </c>
      <c r="C119" s="12" t="s">
        <v>267</v>
      </c>
      <c r="D119" s="16" t="s">
        <v>268</v>
      </c>
      <c r="E119" s="16" t="s">
        <v>269</v>
      </c>
      <c r="F119" s="16" t="s">
        <v>270</v>
      </c>
      <c r="G119" s="16" t="s">
        <v>271</v>
      </c>
      <c r="H119" s="16" t="s">
        <v>272</v>
      </c>
      <c r="I119" s="16" t="s">
        <v>273</v>
      </c>
      <c r="J119" s="16" t="s">
        <v>274</v>
      </c>
      <c r="K119" s="16" t="s">
        <v>275</v>
      </c>
      <c r="L119" s="16" t="s">
        <v>276</v>
      </c>
      <c r="M119" s="16" t="s">
        <v>277</v>
      </c>
      <c r="N119" s="16" t="s">
        <v>278</v>
      </c>
      <c r="O119" s="16" t="s">
        <v>279</v>
      </c>
      <c r="P119" s="4" t="s">
        <v>873</v>
      </c>
    </row>
    <row r="120" spans="2:16" ht="18" customHeight="1" x14ac:dyDescent="0.3">
      <c r="B120" s="45" t="s">
        <v>339</v>
      </c>
      <c r="C120" s="68" t="e">
        <f>-C121/SUM(Table_KeHoach_DoanhThu[Tham chiếu])</f>
        <v>#DIV/0!</v>
      </c>
      <c r="D120" s="68"/>
      <c r="E120" s="68"/>
      <c r="F120" s="68"/>
      <c r="G120" s="68"/>
      <c r="H120" s="68"/>
      <c r="I120" s="68"/>
      <c r="J120" s="68"/>
      <c r="K120" s="68"/>
      <c r="L120" s="68"/>
      <c r="M120" s="68"/>
      <c r="N120" s="68"/>
      <c r="O120" s="68"/>
      <c r="P120" s="68"/>
    </row>
    <row r="121" spans="2:16" ht="18" customHeight="1" x14ac:dyDescent="0.3">
      <c r="B121" s="482" t="s">
        <v>290</v>
      </c>
      <c r="C121" s="482" t="e" cm="1">
        <f t="array" ref="C121" xml:space="preserve">
(
-IFERROR(
SUM(_xlfn._xlws.FILTER(Table_VanDon[Phí ship],
(Table_VanDon[Bên chịu phí] = "Bên bán") *
(Table_VanDon[Ngày lập] &gt;= BCQT_BatDau) *
(Table_VanDon[Ngày lập] &lt; BCQT_KetThuc)
)),0)
-IFERROR(
SUM(_xlfn._xlws.FILTER(Table_DonMua[Phụ phí],
(Table_DonMua[Ngày lập] &gt;= BCQT_BatDau)*
(Table_DonMua[Ngày lập] &lt; BCQT_KetThuc)
)),0)
)/
ROUND((BCQT_KetThuc-BCQT_BatDau)/(365.25/12),0)</f>
        <v>#DIV/0!</v>
      </c>
      <c r="D121" s="482" t="e">
        <f>-D120*HLOOKUP(D$119,Table_KeHoach_DoanhThu[#All],COUNTA(Table_KeHoach_DoanhThu[[#All],[Kế hoạch doanh thu gộp]]),0)</f>
        <v>#N/A</v>
      </c>
      <c r="E121" s="482" t="e">
        <f>-E120*HLOOKUP(E$119,Table_KeHoach_DoanhThu[#All],COUNTA(Table_KeHoach_DoanhThu[[#All],[Kế hoạch doanh thu gộp]]),0)</f>
        <v>#N/A</v>
      </c>
      <c r="F121" s="482" t="e">
        <f>-F120*HLOOKUP(F$119,Table_KeHoach_DoanhThu[#All],COUNTA(Table_KeHoach_DoanhThu[[#All],[Kế hoạch doanh thu gộp]]),0)</f>
        <v>#N/A</v>
      </c>
      <c r="G121" s="482" t="e">
        <f>-G120*HLOOKUP(G$119,Table_KeHoach_DoanhThu[#All],COUNTA(Table_KeHoach_DoanhThu[[#All],[Kế hoạch doanh thu gộp]]),0)</f>
        <v>#N/A</v>
      </c>
      <c r="H121" s="482" t="e">
        <f>-H120*HLOOKUP(H$119,Table_KeHoach_DoanhThu[#All],COUNTA(Table_KeHoach_DoanhThu[[#All],[Kế hoạch doanh thu gộp]]),0)</f>
        <v>#N/A</v>
      </c>
      <c r="I121" s="482" t="e">
        <f>-I120*HLOOKUP(I$119,Table_KeHoach_DoanhThu[#All],COUNTA(Table_KeHoach_DoanhThu[[#All],[Kế hoạch doanh thu gộp]]),0)</f>
        <v>#N/A</v>
      </c>
      <c r="J121" s="482" t="e">
        <f>-J120*HLOOKUP(J$119,Table_KeHoach_DoanhThu[#All],COUNTA(Table_KeHoach_DoanhThu[[#All],[Kế hoạch doanh thu gộp]]),0)</f>
        <v>#N/A</v>
      </c>
      <c r="K121" s="482" t="e">
        <f>-K120*HLOOKUP(K$119,Table_KeHoach_DoanhThu[#All],COUNTA(Table_KeHoach_DoanhThu[[#All],[Kế hoạch doanh thu gộp]]),0)</f>
        <v>#N/A</v>
      </c>
      <c r="L121" s="482" t="e">
        <f>-L120*HLOOKUP(L$119,Table_KeHoach_DoanhThu[#All],COUNTA(Table_KeHoach_DoanhThu[[#All],[Kế hoạch doanh thu gộp]]),0)</f>
        <v>#N/A</v>
      </c>
      <c r="M121" s="482" t="e">
        <f>-M120*HLOOKUP(M$119,Table_KeHoach_DoanhThu[#All],COUNTA(Table_KeHoach_DoanhThu[[#All],[Kế hoạch doanh thu gộp]]),0)</f>
        <v>#N/A</v>
      </c>
      <c r="N121" s="482" t="e">
        <f>-N120*HLOOKUP(N$119,Table_KeHoach_DoanhThu[#All],COUNTA(Table_KeHoach_DoanhThu[[#All],[Kế hoạch doanh thu gộp]]),0)</f>
        <v>#N/A</v>
      </c>
      <c r="O121" s="482" t="e">
        <f>-O120*HLOOKUP(O$119,Table_KeHoach_DoanhThu[#All],COUNTA(Table_KeHoach_DoanhThu[[#All],[Kế hoạch doanh thu gộp]]),0)</f>
        <v>#N/A</v>
      </c>
      <c r="P121" s="482">
        <f>-P120*HLOOKUP(P$119,Table_KeHoach_DoanhThu[#All],COUNTA(Table_KeHoach_DoanhThu[[#All],[Kế hoạch doanh thu gộp]]),0)</f>
        <v>0</v>
      </c>
    </row>
    <row r="123" spans="2:16" ht="18" customHeight="1" x14ac:dyDescent="0.3">
      <c r="B123" s="7" t="s">
        <v>1049</v>
      </c>
    </row>
    <row r="124" spans="2:16" ht="18" customHeight="1" x14ac:dyDescent="0.3">
      <c r="B124" s="15" t="s">
        <v>340</v>
      </c>
      <c r="C124" s="480" t="s">
        <v>267</v>
      </c>
      <c r="D124" s="480" t="s">
        <v>268</v>
      </c>
      <c r="E124" s="480" t="s">
        <v>269</v>
      </c>
      <c r="F124" s="480" t="s">
        <v>270</v>
      </c>
      <c r="G124" s="480" t="s">
        <v>271</v>
      </c>
      <c r="H124" s="480" t="s">
        <v>272</v>
      </c>
      <c r="I124" s="480" t="s">
        <v>273</v>
      </c>
      <c r="J124" s="480" t="s">
        <v>274</v>
      </c>
      <c r="K124" s="480" t="s">
        <v>275</v>
      </c>
      <c r="L124" s="480" t="s">
        <v>276</v>
      </c>
      <c r="M124" s="480" t="s">
        <v>277</v>
      </c>
      <c r="N124" s="480" t="s">
        <v>278</v>
      </c>
      <c r="O124" s="480" t="s">
        <v>279</v>
      </c>
      <c r="P124" s="481" t="s">
        <v>873</v>
      </c>
    </row>
    <row r="125" spans="2:16" ht="18" customHeight="1" x14ac:dyDescent="0.3">
      <c r="B125" s="15"/>
      <c r="C125" s="15" t="e">
        <f>-VLOOKUP(Table_KeHoach_LuongNet[[#This Row],[Kế hoạch lương gross]],Table_NhanVien[],COUNTA(Table_NhanVien[[#Headers],[Mã NV]:[Lương gross]]),0)</f>
        <v>#N/A</v>
      </c>
      <c r="D125" s="15"/>
      <c r="E125" s="15"/>
      <c r="F125" s="15"/>
      <c r="G125" s="15"/>
      <c r="H125" s="15"/>
      <c r="I125" s="15"/>
      <c r="J125" s="15"/>
      <c r="K125" s="15"/>
      <c r="L125" s="15"/>
      <c r="M125" s="15"/>
      <c r="N125" s="15"/>
      <c r="O125" s="15"/>
      <c r="P125" s="15"/>
    </row>
    <row r="127" spans="2:16" ht="18" customHeight="1" x14ac:dyDescent="0.3">
      <c r="B127" s="7" t="s">
        <v>1050</v>
      </c>
      <c r="P127" s="85"/>
    </row>
    <row r="128" spans="2:16" ht="18" customHeight="1" x14ac:dyDescent="0.3">
      <c r="B128" s="484" t="s">
        <v>1069</v>
      </c>
      <c r="C128" s="480" t="s">
        <v>267</v>
      </c>
      <c r="D128" s="480" t="s">
        <v>268</v>
      </c>
      <c r="E128" s="480" t="s">
        <v>269</v>
      </c>
      <c r="F128" s="480" t="s">
        <v>270</v>
      </c>
      <c r="G128" s="480" t="s">
        <v>271</v>
      </c>
      <c r="H128" s="480" t="s">
        <v>272</v>
      </c>
      <c r="I128" s="480" t="s">
        <v>273</v>
      </c>
      <c r="J128" s="480" t="s">
        <v>274</v>
      </c>
      <c r="K128" s="480" t="s">
        <v>275</v>
      </c>
      <c r="L128" s="480" t="s">
        <v>276</v>
      </c>
      <c r="M128" s="480" t="s">
        <v>277</v>
      </c>
      <c r="N128" s="480" t="s">
        <v>278</v>
      </c>
      <c r="O128" s="480" t="s">
        <v>279</v>
      </c>
      <c r="P128" s="481" t="s">
        <v>873</v>
      </c>
    </row>
    <row r="129" spans="2:16" ht="18" customHeight="1" x14ac:dyDescent="0.3">
      <c r="B129" s="15"/>
      <c r="C129" s="18" t="e" cm="1">
        <f t="array" ref="C129"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f>
        <v>#DIV/0!</v>
      </c>
      <c r="D129" s="18" t="e">
        <f xml:space="preserve">
INDEX(Table_KeHoach_LuongNet[#All],
MATCH(Table_KeHoach_LuongGross[[#This Row],[Kế hoạch chi phí nhân sự (+ bảo hiểm)]],Table_KeHoach_LuongNet[[#All],[Kế hoạch lương gross]],0),
MATCH(D$128,Table_KeHoach_LuongNet[#Headers],0))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E129" s="18" t="e">
        <f xml:space="preserve">
INDEX(Table_KeHoach_LuongNet[#All],
MATCH(Table_KeHoach_LuongGross[[#This Row],[Kế hoạch chi phí nhân sự (+ bảo hiểm)]],Table_KeHoach_LuongNet[[#All],[Kế hoạch lương gross]],0),
MATCH(E$128,Table_KeHoach_LuongNet[#Headers],0))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F129" s="18" t="e">
        <f xml:space="preserve">
INDEX(Table_KeHoach_LuongNet[#All],
MATCH(Table_KeHoach_LuongGross[[#This Row],[Kế hoạch chi phí nhân sự (+ bảo hiểm)]],Table_KeHoach_LuongNet[[#All],[Kế hoạch lương gross]],0),
MATCH(F$128,Table_KeHoach_LuongNet[#Headers],0))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G129" s="18" t="e">
        <f xml:space="preserve">
INDEX(Table_KeHoach_LuongNet[#All],
MATCH(Table_KeHoach_LuongGross[[#This Row],[Kế hoạch chi phí nhân sự (+ bảo hiểm)]],Table_KeHoach_LuongNet[[#All],[Kế hoạch lương gross]],0),
MATCH(G$128,Table_KeHoach_LuongNet[#Headers],0))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H129" s="18" t="e">
        <f xml:space="preserve">
INDEX(Table_KeHoach_LuongNet[#All],
MATCH(Table_KeHoach_LuongGross[[#This Row],[Kế hoạch chi phí nhân sự (+ bảo hiểm)]],Table_KeHoach_LuongNet[[#All],[Kế hoạch lương gross]],0),
MATCH(H$128,Table_KeHoach_LuongNet[#Headers],0))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I129" s="18" t="e">
        <f xml:space="preserve">
INDEX(Table_KeHoach_LuongNet[#All],
MATCH(Table_KeHoach_LuongGross[[#This Row],[Kế hoạch chi phí nhân sự (+ bảo hiểm)]],Table_KeHoach_LuongNet[[#All],[Kế hoạch lương gross]],0),
MATCH(I$128,Table_KeHoach_LuongNet[#Headers],0))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J129" s="18" t="e">
        <f xml:space="preserve">
INDEX(Table_KeHoach_LuongNet[#All],
MATCH(Table_KeHoach_LuongGross[[#This Row],[Kế hoạch chi phí nhân sự (+ bảo hiểm)]],Table_KeHoach_LuongNet[[#All],[Kế hoạch lương gross]],0),
MATCH(J$128,Table_KeHoach_LuongNet[#Headers],0))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K129" s="18" t="e">
        <f xml:space="preserve">
INDEX(Table_KeHoach_LuongNet[#All],
MATCH(Table_KeHoach_LuongGross[[#This Row],[Kế hoạch chi phí nhân sự (+ bảo hiểm)]],Table_KeHoach_LuongNet[[#All],[Kế hoạch lương gross]],0),
MATCH(K$128,Table_KeHoach_LuongNet[#Headers],0))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L129" s="18" t="e">
        <f xml:space="preserve">
INDEX(Table_KeHoach_LuongNet[#All],
MATCH(Table_KeHoach_LuongGross[[#This Row],[Kế hoạch chi phí nhân sự (+ bảo hiểm)]],Table_KeHoach_LuongNet[[#All],[Kế hoạch lương gross]],0),
MATCH(L$128,Table_KeHoach_LuongNet[#Headers],0))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M129" s="18" t="e">
        <f xml:space="preserve">
INDEX(Table_KeHoach_LuongNet[#All],
MATCH(Table_KeHoach_LuongGross[[#This Row],[Kế hoạch chi phí nhân sự (+ bảo hiểm)]],Table_KeHoach_LuongNet[[#All],[Kế hoạch lương gross]],0),
MATCH(M$128,Table_KeHoach_LuongNet[#Headers],0))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N129" s="18" t="e">
        <f xml:space="preserve">
INDEX(Table_KeHoach_LuongNet[#All],
MATCH(Table_KeHoach_LuongGross[[#This Row],[Kế hoạch chi phí nhân sự (+ bảo hiểm)]],Table_KeHoach_LuongNet[[#All],[Kế hoạch lương gross]],0),
MATCH(N$128,Table_KeHoach_LuongNet[#Headers],0))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O129" s="18" t="e">
        <f xml:space="preserve">
INDEX(Table_KeHoach_LuongNet[#All],
MATCH(Table_KeHoach_LuongGross[[#This Row],[Kế hoạch chi phí nhân sự (+ bảo hiểm)]],Table_KeHoach_LuongNet[[#All],[Kế hoạch lương gross]],0),
MATCH(O$128,Table_KeHoach_LuongNet[#Headers],0))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P129" s="18"/>
    </row>
    <row r="130" spans="2:16" ht="18" customHeight="1" x14ac:dyDescent="0.3">
      <c r="B130" s="498" t="s">
        <v>1029</v>
      </c>
      <c r="C130" s="498" t="e">
        <f>SUBTOTAL(109,Table_KeHoach_LuongGross[Tham chiếu])</f>
        <v>#DIV/0!</v>
      </c>
      <c r="D130" s="498" t="e">
        <f>SUBTOTAL(109,Table_KeHoach_LuongGross[Tháng 1])</f>
        <v>#N/A</v>
      </c>
      <c r="E130" s="498" t="e">
        <f>SUBTOTAL(109,Table_KeHoach_LuongGross[Tháng 2])</f>
        <v>#N/A</v>
      </c>
      <c r="F130" s="498" t="e">
        <f>SUBTOTAL(109,Table_KeHoach_LuongGross[Tháng 3])</f>
        <v>#N/A</v>
      </c>
      <c r="G130" s="498" t="e">
        <f>SUBTOTAL(109,Table_KeHoach_LuongGross[Tháng 4])</f>
        <v>#N/A</v>
      </c>
      <c r="H130" s="498" t="e">
        <f>SUBTOTAL(109,Table_KeHoach_LuongGross[Tháng 5])</f>
        <v>#N/A</v>
      </c>
      <c r="I130" s="498" t="e">
        <f>SUBTOTAL(109,Table_KeHoach_LuongGross[Tháng 6])</f>
        <v>#N/A</v>
      </c>
      <c r="J130" s="498" t="e">
        <f>SUBTOTAL(109,Table_KeHoach_LuongGross[Tháng 7])</f>
        <v>#N/A</v>
      </c>
      <c r="K130" s="498" t="e">
        <f>SUBTOTAL(109,Table_KeHoach_LuongGross[Tháng 8])</f>
        <v>#N/A</v>
      </c>
      <c r="L130" s="498" t="e">
        <f>SUBTOTAL(109,Table_KeHoach_LuongGross[Tháng 9])</f>
        <v>#N/A</v>
      </c>
      <c r="M130" s="498" t="e">
        <f>SUBTOTAL(109,Table_KeHoach_LuongGross[Tháng 10])</f>
        <v>#N/A</v>
      </c>
      <c r="N130" s="498" t="e">
        <f>SUBTOTAL(109,Table_KeHoach_LuongGross[Tháng 11])</f>
        <v>#N/A</v>
      </c>
      <c r="O130" s="498" t="e">
        <f>SUBTOTAL(109,Table_KeHoach_LuongGross[Tháng 12])</f>
        <v>#N/A</v>
      </c>
      <c r="P130" s="498"/>
    </row>
    <row r="132" spans="2:16" ht="18" customHeight="1" x14ac:dyDescent="0.3">
      <c r="B132" s="7" t="s">
        <v>1051</v>
      </c>
      <c r="P132" s="212"/>
    </row>
    <row r="133" spans="2:16" ht="18" customHeight="1" x14ac:dyDescent="0.3">
      <c r="B133" s="15" t="s">
        <v>341</v>
      </c>
      <c r="C133" s="480" t="s">
        <v>267</v>
      </c>
      <c r="D133" s="480" t="s">
        <v>268</v>
      </c>
      <c r="E133" s="480" t="s">
        <v>269</v>
      </c>
      <c r="F133" s="480" t="s">
        <v>270</v>
      </c>
      <c r="G133" s="480" t="s">
        <v>271</v>
      </c>
      <c r="H133" s="480" t="s">
        <v>272</v>
      </c>
      <c r="I133" s="480" t="s">
        <v>273</v>
      </c>
      <c r="J133" s="480" t="s">
        <v>274</v>
      </c>
      <c r="K133" s="480" t="s">
        <v>275</v>
      </c>
      <c r="L133" s="480" t="s">
        <v>276</v>
      </c>
      <c r="M133" s="480" t="s">
        <v>277</v>
      </c>
      <c r="N133" s="480" t="s">
        <v>278</v>
      </c>
      <c r="O133" s="480" t="s">
        <v>279</v>
      </c>
      <c r="P133" s="481" t="s">
        <v>873</v>
      </c>
    </row>
    <row r="134" spans="2:16" ht="18" customHeight="1" x14ac:dyDescent="0.3">
      <c r="B134" s="15"/>
      <c r="C134" s="15" t="e" cm="1">
        <f t="array" ref="C134"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f>
        <v>#DIV/0!</v>
      </c>
      <c r="D134" s="15"/>
      <c r="E134" s="15"/>
      <c r="F134" s="15"/>
      <c r="G134" s="15"/>
      <c r="H134" s="15"/>
      <c r="I134" s="15"/>
      <c r="J134" s="15"/>
      <c r="K134" s="15"/>
      <c r="L134" s="15"/>
      <c r="M134" s="15"/>
      <c r="N134" s="15"/>
      <c r="O134" s="15"/>
      <c r="P134" s="15"/>
    </row>
    <row r="135" spans="2:16" ht="18" customHeight="1" x14ac:dyDescent="0.3">
      <c r="B135" s="483" t="s">
        <v>1029</v>
      </c>
      <c r="C135" s="483" t="e">
        <f>SUBTOTAL(109,Table_KeHoach_ThuongNhanSu[Tham chiếu])</f>
        <v>#DIV/0!</v>
      </c>
      <c r="D135" s="483">
        <f>SUBTOTAL(109,Table_KeHoach_ThuongNhanSu[Tháng 1])</f>
        <v>0</v>
      </c>
      <c r="E135" s="483">
        <f>SUBTOTAL(109,Table_KeHoach_ThuongNhanSu[Tháng 2])</f>
        <v>0</v>
      </c>
      <c r="F135" s="483">
        <f>SUBTOTAL(109,Table_KeHoach_ThuongNhanSu[Tháng 3])</f>
        <v>0</v>
      </c>
      <c r="G135" s="483">
        <f>SUBTOTAL(109,Table_KeHoach_ThuongNhanSu[Tháng 4])</f>
        <v>0</v>
      </c>
      <c r="H135" s="483">
        <f>SUBTOTAL(109,Table_KeHoach_ThuongNhanSu[Tháng 5])</f>
        <v>0</v>
      </c>
      <c r="I135" s="483">
        <f>SUBTOTAL(109,Table_KeHoach_ThuongNhanSu[Tháng 6])</f>
        <v>0</v>
      </c>
      <c r="J135" s="483">
        <f>SUBTOTAL(109,Table_KeHoach_ThuongNhanSu[Tháng 7])</f>
        <v>0</v>
      </c>
      <c r="K135" s="483">
        <f>SUBTOTAL(109,Table_KeHoach_ThuongNhanSu[Tháng 8])</f>
        <v>0</v>
      </c>
      <c r="L135" s="483">
        <f>SUBTOTAL(109,Table_KeHoach_ThuongNhanSu[Tháng 9])</f>
        <v>0</v>
      </c>
      <c r="M135" s="483">
        <f>SUBTOTAL(109,Table_KeHoach_ThuongNhanSu[Tháng 10])</f>
        <v>0</v>
      </c>
      <c r="N135" s="483">
        <f>SUBTOTAL(109,Table_KeHoach_ThuongNhanSu[Tháng 11])</f>
        <v>0</v>
      </c>
      <c r="O135" s="483">
        <f>SUBTOTAL(109,Table_KeHoach_ThuongNhanSu[Tháng 12])</f>
        <v>0</v>
      </c>
      <c r="P135" s="483"/>
    </row>
    <row r="137" spans="2:16" ht="18" customHeight="1" x14ac:dyDescent="0.3">
      <c r="B137" s="7" t="s">
        <v>1052</v>
      </c>
      <c r="P137" s="18"/>
    </row>
    <row r="138" spans="2:16" ht="18" customHeight="1" x14ac:dyDescent="0.3">
      <c r="B138" s="15" t="s">
        <v>342</v>
      </c>
      <c r="C138" s="480" t="s">
        <v>267</v>
      </c>
      <c r="D138" s="480" t="s">
        <v>268</v>
      </c>
      <c r="E138" s="480" t="s">
        <v>269</v>
      </c>
      <c r="F138" s="480" t="s">
        <v>270</v>
      </c>
      <c r="G138" s="480" t="s">
        <v>271</v>
      </c>
      <c r="H138" s="480" t="s">
        <v>272</v>
      </c>
      <c r="I138" s="480" t="s">
        <v>273</v>
      </c>
      <c r="J138" s="480" t="s">
        <v>274</v>
      </c>
      <c r="K138" s="480" t="s">
        <v>275</v>
      </c>
      <c r="L138" s="480" t="s">
        <v>276</v>
      </c>
      <c r="M138" s="480" t="s">
        <v>277</v>
      </c>
      <c r="N138" s="480" t="s">
        <v>278</v>
      </c>
      <c r="O138" s="480" t="s">
        <v>279</v>
      </c>
      <c r="P138" s="481" t="s">
        <v>873</v>
      </c>
    </row>
    <row r="139" spans="2:16" ht="18" customHeight="1" x14ac:dyDescent="0.3">
      <c r="B139" s="414" t="s">
        <v>343</v>
      </c>
      <c r="C139" s="15" t="e" cm="1">
        <f t="array" ref="C139"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39" s="15"/>
      <c r="E139" s="15"/>
      <c r="F139" s="15"/>
      <c r="G139" s="15"/>
      <c r="H139" s="15"/>
      <c r="I139" s="15"/>
      <c r="J139" s="15"/>
      <c r="K139" s="15"/>
      <c r="L139" s="15"/>
      <c r="M139" s="15"/>
      <c r="N139" s="15"/>
      <c r="O139" s="15"/>
      <c r="P139" s="15"/>
    </row>
    <row r="140" spans="2:16" ht="18" customHeight="1" x14ac:dyDescent="0.3">
      <c r="B140" s="414" t="s">
        <v>344</v>
      </c>
      <c r="C140" s="15" t="e" cm="1">
        <f t="array" ref="C140"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0" s="15"/>
      <c r="E140" s="15"/>
      <c r="F140" s="15"/>
      <c r="G140" s="15"/>
      <c r="H140" s="15"/>
      <c r="I140" s="15"/>
      <c r="J140" s="15"/>
      <c r="K140" s="15"/>
      <c r="L140" s="15"/>
      <c r="M140" s="15"/>
      <c r="N140" s="15"/>
      <c r="O140" s="15"/>
      <c r="P140" s="15"/>
    </row>
    <row r="141" spans="2:16" ht="18" customHeight="1" x14ac:dyDescent="0.3">
      <c r="B141" s="414" t="s">
        <v>345</v>
      </c>
      <c r="C141" s="15" t="e" cm="1">
        <f t="array" ref="C14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1" s="15"/>
      <c r="E141" s="15"/>
      <c r="F141" s="15"/>
      <c r="G141" s="15"/>
      <c r="H141" s="15"/>
      <c r="I141" s="15"/>
      <c r="J141" s="15"/>
      <c r="K141" s="15"/>
      <c r="L141" s="15"/>
      <c r="M141" s="15"/>
      <c r="N141" s="15"/>
      <c r="O141" s="15"/>
      <c r="P141" s="15"/>
    </row>
    <row r="142" spans="2:16" ht="18" customHeight="1" x14ac:dyDescent="0.15">
      <c r="B142" s="483" t="s">
        <v>1029</v>
      </c>
      <c r="C142" s="487" t="e">
        <f>SUBTOTAL(109,Table_KeHoach_ChiPhiBanHang[Tham chiếu])</f>
        <v>#DIV/0!</v>
      </c>
      <c r="D142" s="487">
        <f>SUBTOTAL(109,Table_KeHoach_ChiPhiBanHang[Tháng 1])</f>
        <v>0</v>
      </c>
      <c r="E142" s="487">
        <f>SUBTOTAL(109,Table_KeHoach_ChiPhiBanHang[Tháng 2])</f>
        <v>0</v>
      </c>
      <c r="F142" s="487">
        <f>SUBTOTAL(109,Table_KeHoach_ChiPhiBanHang[Tháng 3])</f>
        <v>0</v>
      </c>
      <c r="G142" s="487">
        <f>SUBTOTAL(109,Table_KeHoach_ChiPhiBanHang[Tháng 4])</f>
        <v>0</v>
      </c>
      <c r="H142" s="487">
        <f>SUBTOTAL(109,Table_KeHoach_ChiPhiBanHang[Tháng 5])</f>
        <v>0</v>
      </c>
      <c r="I142" s="487">
        <f>SUBTOTAL(109,Table_KeHoach_ChiPhiBanHang[Tháng 6])</f>
        <v>0</v>
      </c>
      <c r="J142" s="487">
        <f>SUBTOTAL(109,Table_KeHoach_ChiPhiBanHang[Tháng 7])</f>
        <v>0</v>
      </c>
      <c r="K142" s="487">
        <f>SUBTOTAL(109,Table_KeHoach_ChiPhiBanHang[Tháng 8])</f>
        <v>0</v>
      </c>
      <c r="L142" s="487">
        <f>SUBTOTAL(109,Table_KeHoach_ChiPhiBanHang[Tháng 9])</f>
        <v>0</v>
      </c>
      <c r="M142" s="487">
        <f>SUBTOTAL(109,Table_KeHoach_ChiPhiBanHang[Tháng 10])</f>
        <v>0</v>
      </c>
      <c r="N142" s="487">
        <f>SUBTOTAL(109,Table_KeHoach_ChiPhiBanHang[Tháng 11])</f>
        <v>0</v>
      </c>
      <c r="O142" s="487">
        <f>SUBTOTAL(109,Table_KeHoach_ChiPhiBanHang[Tháng 12])</f>
        <v>0</v>
      </c>
      <c r="P142" s="483"/>
    </row>
    <row r="143" spans="2:16" ht="18" customHeight="1" x14ac:dyDescent="0.3">
      <c r="B143" s="28"/>
      <c r="C143" s="106"/>
      <c r="D143" s="28"/>
      <c r="E143" s="28"/>
      <c r="F143" s="28"/>
      <c r="G143" s="28"/>
      <c r="H143" s="28"/>
      <c r="I143" s="28"/>
      <c r="J143" s="28"/>
      <c r="K143" s="28"/>
      <c r="L143" s="28"/>
      <c r="M143" s="28"/>
      <c r="N143" s="28"/>
      <c r="O143" s="28"/>
      <c r="P143" s="28"/>
    </row>
    <row r="144" spans="2:16" ht="18" customHeight="1" x14ac:dyDescent="0.3">
      <c r="B144" s="7" t="s">
        <v>1053</v>
      </c>
      <c r="C144" s="106"/>
      <c r="D144" s="28"/>
      <c r="E144" s="28"/>
      <c r="F144" s="28"/>
      <c r="G144" s="28"/>
      <c r="H144" s="28"/>
      <c r="I144" s="28"/>
      <c r="J144" s="28"/>
      <c r="K144" s="28"/>
      <c r="L144" s="28"/>
      <c r="M144" s="28"/>
      <c r="N144" s="28"/>
      <c r="O144" s="28"/>
      <c r="P144" s="16"/>
    </row>
    <row r="145" spans="2:16" ht="18" customHeight="1" x14ac:dyDescent="0.3">
      <c r="B145" s="15" t="s">
        <v>342</v>
      </c>
      <c r="C145" s="480" t="s">
        <v>267</v>
      </c>
      <c r="D145" s="480" t="s">
        <v>268</v>
      </c>
      <c r="E145" s="480" t="s">
        <v>269</v>
      </c>
      <c r="F145" s="480" t="s">
        <v>270</v>
      </c>
      <c r="G145" s="480" t="s">
        <v>271</v>
      </c>
      <c r="H145" s="480" t="s">
        <v>272</v>
      </c>
      <c r="I145" s="480" t="s">
        <v>273</v>
      </c>
      <c r="J145" s="480" t="s">
        <v>274</v>
      </c>
      <c r="K145" s="480" t="s">
        <v>275</v>
      </c>
      <c r="L145" s="480" t="s">
        <v>276</v>
      </c>
      <c r="M145" s="480" t="s">
        <v>277</v>
      </c>
      <c r="N145" s="480" t="s">
        <v>278</v>
      </c>
      <c r="O145" s="480" t="s">
        <v>279</v>
      </c>
      <c r="P145" s="481" t="s">
        <v>873</v>
      </c>
    </row>
    <row r="146" spans="2:16" ht="18" customHeight="1" x14ac:dyDescent="0.3">
      <c r="B146" s="15" t="s">
        <v>346</v>
      </c>
      <c r="C146" s="15" t="e" cm="1">
        <f t="array" ref="C146"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6" s="15"/>
      <c r="E146" s="15"/>
      <c r="F146" s="15"/>
      <c r="G146" s="15"/>
      <c r="H146" s="15"/>
      <c r="I146" s="15"/>
      <c r="J146" s="15"/>
      <c r="K146" s="15"/>
      <c r="L146" s="15"/>
      <c r="M146" s="15"/>
      <c r="N146" s="15"/>
      <c r="O146" s="15"/>
      <c r="P146" s="15"/>
    </row>
    <row r="147" spans="2:16" ht="18" customHeight="1" x14ac:dyDescent="0.3">
      <c r="B147" s="414" t="s">
        <v>347</v>
      </c>
      <c r="C147" s="15" t="e" cm="1">
        <f t="array" ref="C147"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7" s="15"/>
      <c r="E147" s="15"/>
      <c r="F147" s="15"/>
      <c r="G147" s="15"/>
      <c r="H147" s="15"/>
      <c r="I147" s="15"/>
      <c r="J147" s="15"/>
      <c r="K147" s="15"/>
      <c r="L147" s="15"/>
      <c r="M147" s="15"/>
      <c r="N147" s="15"/>
      <c r="O147" s="15"/>
      <c r="P147" s="15"/>
    </row>
    <row r="148" spans="2:16" ht="18" customHeight="1" x14ac:dyDescent="0.3">
      <c r="B148" s="483" t="s">
        <v>1029</v>
      </c>
      <c r="C148" s="483" t="e">
        <f>SUBTOTAL(109,Table_KeHoach_ChiPhiKhac[Tham chiếu])</f>
        <v>#DIV/0!</v>
      </c>
      <c r="D148" s="483">
        <f>SUBTOTAL(109,Table_KeHoach_ChiPhiKhac[Tháng 1])</f>
        <v>0</v>
      </c>
      <c r="E148" s="483">
        <f>SUBTOTAL(109,Table_KeHoach_ChiPhiKhac[Tháng 2])</f>
        <v>0</v>
      </c>
      <c r="F148" s="483">
        <f>SUBTOTAL(109,Table_KeHoach_ChiPhiKhac[Tháng 3])</f>
        <v>0</v>
      </c>
      <c r="G148" s="483">
        <f>SUBTOTAL(109,Table_KeHoach_ChiPhiKhac[Tháng 4])</f>
        <v>0</v>
      </c>
      <c r="H148" s="483">
        <f>SUBTOTAL(109,Table_KeHoach_ChiPhiKhac[Tháng 5])</f>
        <v>0</v>
      </c>
      <c r="I148" s="483">
        <f>SUBTOTAL(109,Table_KeHoach_ChiPhiKhac[Tháng 6])</f>
        <v>0</v>
      </c>
      <c r="J148" s="483">
        <f>SUBTOTAL(109,Table_KeHoach_ChiPhiKhac[Tháng 7])</f>
        <v>0</v>
      </c>
      <c r="K148" s="483">
        <f>SUBTOTAL(109,Table_KeHoach_ChiPhiKhac[Tháng 8])</f>
        <v>0</v>
      </c>
      <c r="L148" s="483">
        <f>SUBTOTAL(109,Table_KeHoach_ChiPhiKhac[Tháng 9])</f>
        <v>0</v>
      </c>
      <c r="M148" s="483">
        <f>SUBTOTAL(109,Table_KeHoach_ChiPhiKhac[Tháng 10])</f>
        <v>0</v>
      </c>
      <c r="N148" s="483">
        <f>SUBTOTAL(109,Table_KeHoach_ChiPhiKhac[Tháng 11])</f>
        <v>0</v>
      </c>
      <c r="O148" s="483">
        <f>SUBTOTAL(109,Table_KeHoach_ChiPhiKhac[Tháng 12])</f>
        <v>0</v>
      </c>
      <c r="P148" s="483"/>
    </row>
    <row r="150" spans="2:16" ht="18" customHeight="1" x14ac:dyDescent="0.3">
      <c r="B150" s="7" t="s">
        <v>1053</v>
      </c>
      <c r="P150" s="16"/>
    </row>
    <row r="151" spans="2:16" ht="18" customHeight="1" x14ac:dyDescent="0.3">
      <c r="B151" s="484" t="s">
        <v>348</v>
      </c>
      <c r="C151" s="480" t="s">
        <v>267</v>
      </c>
      <c r="D151" s="480" t="s">
        <v>268</v>
      </c>
      <c r="E151" s="480" t="s">
        <v>269</v>
      </c>
      <c r="F151" s="480" t="s">
        <v>270</v>
      </c>
      <c r="G151" s="480" t="s">
        <v>271</v>
      </c>
      <c r="H151" s="480" t="s">
        <v>272</v>
      </c>
      <c r="I151" s="480" t="s">
        <v>273</v>
      </c>
      <c r="J151" s="480" t="s">
        <v>274</v>
      </c>
      <c r="K151" s="480" t="s">
        <v>275</v>
      </c>
      <c r="L151" s="480" t="s">
        <v>276</v>
      </c>
      <c r="M151" s="480" t="s">
        <v>277</v>
      </c>
      <c r="N151" s="480" t="s">
        <v>278</v>
      </c>
      <c r="O151" s="480" t="s">
        <v>279</v>
      </c>
      <c r="P151" s="481" t="s">
        <v>873</v>
      </c>
    </row>
    <row r="152" spans="2:16" ht="18" customHeight="1" x14ac:dyDescent="0.3">
      <c r="B152" s="415" t="s">
        <v>349</v>
      </c>
      <c r="C152" s="18"/>
      <c r="D152" s="18" cm="1">
        <f t="array" ref="D152">- IFERROR(
SUM(_xlfn._xlws.FILTER(Table_TSCD[Giá trị khấu hao (tháng)],
(NOT(ISBLANK(Table_TSCD[Ngày vận hành])))*
(ISBLANK(Table_TSCD[Ngày thanh lý]))*
(Table_TSCD[Ngày vận hành] &lt;= D$2) *
(Table_TSCD[Ngày kết thúc] &gt; D$2)
)),0)
- IFERROR(
SUM(_xlfn._xlws.FILTER(Table_TSCD[Giá trị khấu hao (tháng)],
(NOT(ISBLANK(Table_TSCD[Ngày vận hành])))*
(NOT(ISBLANK(Table_TSCD[Ngày thanh lý])))*
(Table_TSCD[Ngày vận hành] &lt;= D$2) *
(MIN(Table_TSCD[Ngày kết thúc], Table_TSCD[Ngày thanh lý])&gt; D$2)
)),0)</f>
        <v>0</v>
      </c>
      <c r="E152" s="18" cm="1">
        <f t="array" ref="E152">- IFERROR(
SUM(_xlfn._xlws.FILTER(Table_TSCD[Giá trị khấu hao (tháng)],
(NOT(ISBLANK(Table_TSCD[Ngày vận hành])))*
(ISBLANK(Table_TSCD[Ngày thanh lý]))*
(Table_TSCD[Ngày vận hành] &lt;= E$2) *
(Table_TSCD[Ngày kết thúc] &gt; E$2)
)),0)
- IFERROR(
SUM(_xlfn._xlws.FILTER(Table_TSCD[Giá trị khấu hao (tháng)],
(NOT(ISBLANK(Table_TSCD[Ngày vận hành])))*
(NOT(ISBLANK(Table_TSCD[Ngày thanh lý])))*
(Table_TSCD[Ngày vận hành] &lt;= E$2) *
(MIN(Table_TSCD[Ngày kết thúc], Table_TSCD[Ngày thanh lý])&gt; E$2)
)),0)</f>
        <v>0</v>
      </c>
      <c r="F152" s="18" cm="1">
        <f t="array" ref="F152">- IFERROR(
SUM(_xlfn._xlws.FILTER(Table_TSCD[Giá trị khấu hao (tháng)],
(NOT(ISBLANK(Table_TSCD[Ngày vận hành])))*
(ISBLANK(Table_TSCD[Ngày thanh lý]))*
(Table_TSCD[Ngày vận hành] &lt;= F$2) *
(Table_TSCD[Ngày kết thúc] &gt; F$2)
)),0)
- IFERROR(
SUM(_xlfn._xlws.FILTER(Table_TSCD[Giá trị khấu hao (tháng)],
(NOT(ISBLANK(Table_TSCD[Ngày vận hành])))*
(NOT(ISBLANK(Table_TSCD[Ngày thanh lý])))*
(Table_TSCD[Ngày vận hành] &lt;= F$2) *
(MIN(Table_TSCD[Ngày kết thúc], Table_TSCD[Ngày thanh lý])&gt; F$2)
)),0)</f>
        <v>0</v>
      </c>
      <c r="G152" s="18" cm="1">
        <f t="array" ref="G152">- IFERROR(
SUM(_xlfn._xlws.FILTER(Table_TSCD[Giá trị khấu hao (tháng)],
(NOT(ISBLANK(Table_TSCD[Ngày vận hành])))*
(ISBLANK(Table_TSCD[Ngày thanh lý]))*
(Table_TSCD[Ngày vận hành] &lt;= G$2) *
(Table_TSCD[Ngày kết thúc] &gt; G$2)
)),0)
- IFERROR(
SUM(_xlfn._xlws.FILTER(Table_TSCD[Giá trị khấu hao (tháng)],
(NOT(ISBLANK(Table_TSCD[Ngày vận hành])))*
(NOT(ISBLANK(Table_TSCD[Ngày thanh lý])))*
(Table_TSCD[Ngày vận hành] &lt;= G$2) *
(MIN(Table_TSCD[Ngày kết thúc], Table_TSCD[Ngày thanh lý])&gt; G$2)
)),0)</f>
        <v>0</v>
      </c>
      <c r="H152" s="18" cm="1">
        <f t="array" ref="H152">- IFERROR(
SUM(_xlfn._xlws.FILTER(Table_TSCD[Giá trị khấu hao (tháng)],
(NOT(ISBLANK(Table_TSCD[Ngày vận hành])))*
(ISBLANK(Table_TSCD[Ngày thanh lý]))*
(Table_TSCD[Ngày vận hành] &lt;= H$2) *
(Table_TSCD[Ngày kết thúc] &gt; H$2)
)),0)
- IFERROR(
SUM(_xlfn._xlws.FILTER(Table_TSCD[Giá trị khấu hao (tháng)],
(NOT(ISBLANK(Table_TSCD[Ngày vận hành])))*
(NOT(ISBLANK(Table_TSCD[Ngày thanh lý])))*
(Table_TSCD[Ngày vận hành] &lt;= H$2) *
(MIN(Table_TSCD[Ngày kết thúc], Table_TSCD[Ngày thanh lý])&gt; H$2)
)),0)</f>
        <v>0</v>
      </c>
      <c r="I152" s="18" cm="1">
        <f t="array" ref="I152">- IFERROR(
SUM(_xlfn._xlws.FILTER(Table_TSCD[Giá trị khấu hao (tháng)],
(NOT(ISBLANK(Table_TSCD[Ngày vận hành])))*
(ISBLANK(Table_TSCD[Ngày thanh lý]))*
(Table_TSCD[Ngày vận hành] &lt;= I$2) *
(Table_TSCD[Ngày kết thúc] &gt; I$2)
)),0)
- IFERROR(
SUM(_xlfn._xlws.FILTER(Table_TSCD[Giá trị khấu hao (tháng)],
(NOT(ISBLANK(Table_TSCD[Ngày vận hành])))*
(NOT(ISBLANK(Table_TSCD[Ngày thanh lý])))*
(Table_TSCD[Ngày vận hành] &lt;= I$2) *
(MIN(Table_TSCD[Ngày kết thúc], Table_TSCD[Ngày thanh lý])&gt; I$2)
)),0)</f>
        <v>0</v>
      </c>
      <c r="J152" s="18" cm="1">
        <f t="array" ref="J152">- IFERROR(
SUM(_xlfn._xlws.FILTER(Table_TSCD[Giá trị khấu hao (tháng)],
(NOT(ISBLANK(Table_TSCD[Ngày vận hành])))*
(ISBLANK(Table_TSCD[Ngày thanh lý]))*
(Table_TSCD[Ngày vận hành] &lt;= J$2) *
(Table_TSCD[Ngày kết thúc] &gt; J$2)
)),0)
- IFERROR(
SUM(_xlfn._xlws.FILTER(Table_TSCD[Giá trị khấu hao (tháng)],
(NOT(ISBLANK(Table_TSCD[Ngày vận hành])))*
(NOT(ISBLANK(Table_TSCD[Ngày thanh lý])))*
(Table_TSCD[Ngày vận hành] &lt;= J$2) *
(MIN(Table_TSCD[Ngày kết thúc], Table_TSCD[Ngày thanh lý])&gt; J$2)
)),0)</f>
        <v>0</v>
      </c>
      <c r="K152" s="18" cm="1">
        <f t="array" ref="K152">- IFERROR(
SUM(_xlfn._xlws.FILTER(Table_TSCD[Giá trị khấu hao (tháng)],
(NOT(ISBLANK(Table_TSCD[Ngày vận hành])))*
(ISBLANK(Table_TSCD[Ngày thanh lý]))*
(Table_TSCD[Ngày vận hành] &lt;= K$2) *
(Table_TSCD[Ngày kết thúc] &gt; K$2)
)),0)
- IFERROR(
SUM(_xlfn._xlws.FILTER(Table_TSCD[Giá trị khấu hao (tháng)],
(NOT(ISBLANK(Table_TSCD[Ngày vận hành])))*
(NOT(ISBLANK(Table_TSCD[Ngày thanh lý])))*
(Table_TSCD[Ngày vận hành] &lt;= K$2) *
(MIN(Table_TSCD[Ngày kết thúc], Table_TSCD[Ngày thanh lý])&gt; K$2)
)),0)</f>
        <v>0</v>
      </c>
      <c r="L152" s="18" cm="1">
        <f t="array" ref="L152">- IFERROR(
SUM(_xlfn._xlws.FILTER(Table_TSCD[Giá trị khấu hao (tháng)],
(NOT(ISBLANK(Table_TSCD[Ngày vận hành])))*
(ISBLANK(Table_TSCD[Ngày thanh lý]))*
(Table_TSCD[Ngày vận hành] &lt;= L$2) *
(Table_TSCD[Ngày kết thúc] &gt; L$2)
)),0)
- IFERROR(
SUM(_xlfn._xlws.FILTER(Table_TSCD[Giá trị khấu hao (tháng)],
(NOT(ISBLANK(Table_TSCD[Ngày vận hành])))*
(NOT(ISBLANK(Table_TSCD[Ngày thanh lý])))*
(Table_TSCD[Ngày vận hành] &lt;= L$2) *
(MIN(Table_TSCD[Ngày kết thúc], Table_TSCD[Ngày thanh lý])&gt; L$2)
)),0)</f>
        <v>0</v>
      </c>
      <c r="M152" s="18" cm="1">
        <f t="array" ref="M152">- IFERROR(
SUM(_xlfn._xlws.FILTER(Table_TSCD[Giá trị khấu hao (tháng)],
(NOT(ISBLANK(Table_TSCD[Ngày vận hành])))*
(ISBLANK(Table_TSCD[Ngày thanh lý]))*
(Table_TSCD[Ngày vận hành] &lt;= M$2) *
(Table_TSCD[Ngày kết thúc] &gt; M$2)
)),0)
- IFERROR(
SUM(_xlfn._xlws.FILTER(Table_TSCD[Giá trị khấu hao (tháng)],
(NOT(ISBLANK(Table_TSCD[Ngày vận hành])))*
(NOT(ISBLANK(Table_TSCD[Ngày thanh lý])))*
(Table_TSCD[Ngày vận hành] &lt;= M$2) *
(MIN(Table_TSCD[Ngày kết thúc], Table_TSCD[Ngày thanh lý])&gt; M$2)
)),0)</f>
        <v>0</v>
      </c>
      <c r="N152" s="18" cm="1">
        <f t="array" ref="N152">- IFERROR(
SUM(_xlfn._xlws.FILTER(Table_TSCD[Giá trị khấu hao (tháng)],
(NOT(ISBLANK(Table_TSCD[Ngày vận hành])))*
(ISBLANK(Table_TSCD[Ngày thanh lý]))*
(Table_TSCD[Ngày vận hành] &lt;= N$2) *
(Table_TSCD[Ngày kết thúc] &gt; N$2)
)),0)
- IFERROR(
SUM(_xlfn._xlws.FILTER(Table_TSCD[Giá trị khấu hao (tháng)],
(NOT(ISBLANK(Table_TSCD[Ngày vận hành])))*
(NOT(ISBLANK(Table_TSCD[Ngày thanh lý])))*
(Table_TSCD[Ngày vận hành] &lt;= N$2) *
(MIN(Table_TSCD[Ngày kết thúc], Table_TSCD[Ngày thanh lý])&gt; N$2)
)),0)</f>
        <v>0</v>
      </c>
      <c r="O152" s="18" cm="1">
        <f t="array" ref="O152">- IFERROR(
SUM(_xlfn._xlws.FILTER(Table_TSCD[Giá trị khấu hao (tháng)],
(NOT(ISBLANK(Table_TSCD[Ngày vận hành])))*
(ISBLANK(Table_TSCD[Ngày thanh lý]))*
(Table_TSCD[Ngày vận hành] &lt;= O$2) *
(Table_TSCD[Ngày kết thúc] &gt; O$2)
)),0)
- IFERROR(
SUM(_xlfn._xlws.FILTER(Table_TSCD[Giá trị khấu hao (tháng)],
(NOT(ISBLANK(Table_TSCD[Ngày vận hành])))*
(NOT(ISBLANK(Table_TSCD[Ngày thanh lý])))*
(Table_TSCD[Ngày vận hành] &lt;= O$2) *
(MIN(Table_TSCD[Ngày kết thúc], Table_TSCD[Ngày thanh lý])&gt; O$2)
)),0)</f>
        <v>0</v>
      </c>
      <c r="P152" s="18"/>
    </row>
    <row r="153" spans="2:16" ht="18" customHeight="1" x14ac:dyDescent="0.3">
      <c r="B153" s="415" t="s">
        <v>297</v>
      </c>
      <c r="C153" s="18"/>
      <c r="D153" s="18" cm="1">
        <f t="array" ref="D153">- IFERROR(
SUM(_xlfn._xlws.FILTER(Table_VayNo_LichTra[Lãi vay],
(NOT(ISBLANK(Table_VayNo_LichTra[Tháng])))*
(Table_VayNo_LichTra[Kỳ]&gt;= D$2) *
(Table_VayNo_LichTra[Kỳ] &lt;
DATE(YEAR(D$2), MONTH(D$2) + 1, 1))
)),0)
- IFERROR(
SUM(_xlfn._xlws.FILTER(Table_VayNo_LichTra[Lãi vay],
(ISBLANK(Table_VayNo_LichTra[Tháng]))*
(YEAR(Table_VayNo_LichTra[Ngày vay]) &lt;&gt; YEAR(D$2))*
(YEAR(Table_VayNo_LichTra[Ngày kết thúc]) &lt;&gt; YEAR(D$2))*
(Table_VayNo_LichTra[Năm]=YEAR(D$2))
))/12,0)
- IFERROR(SUMPRODUCT(
_xlfn._xlws.FILTER(Table_VayNo_LichTra[Lãi vay],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_xlfn._xlws.FILTER(Table_VayNo_LichTra[Lãi vay],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_xlfn._xlws.FILTER(Table_VayNo_LichTra[Lãi vay],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3" s="18" cm="1">
        <f t="array" ref="E153">- IFERROR(
SUM(_xlfn._xlws.FILTER(Table_VayNo_LichTra[Lãi vay],
(NOT(ISBLANK(Table_VayNo_LichTra[Tháng])))*
(Table_VayNo_LichTra[Kỳ]&gt;= E$2) *
(Table_VayNo_LichTra[Kỳ] &lt;
DATE(YEAR(E$2), MONTH(E$2) + 1, 1))
)),0)
- IFERROR(
SUM(_xlfn._xlws.FILTER(Table_VayNo_LichTra[Lãi vay],
(ISBLANK(Table_VayNo_LichTra[Tháng]))*
(YEAR(Table_VayNo_LichTra[Ngày vay]) &lt;&gt; YEAR(E$2))*
(YEAR(Table_VayNo_LichTra[Ngày kết thúc]) &lt;&gt; YEAR(E$2))*
(Table_VayNo_LichTra[Năm]=YEAR(E$2))
))/12,0)
- IFERROR(SUMPRODUCT(
_xlfn._xlws.FILTER(Table_VayNo_LichTra[Lãi vay],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_xlfn._xlws.FILTER(Table_VayNo_LichTra[Lãi vay],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_xlfn._xlws.FILTER(Table_VayNo_LichTra[Lãi vay],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3" s="18" cm="1">
        <f t="array" ref="F153">- IFERROR(
SUM(_xlfn._xlws.FILTER(Table_VayNo_LichTra[Lãi vay],
(NOT(ISBLANK(Table_VayNo_LichTra[Tháng])))*
(Table_VayNo_LichTra[Kỳ]&gt;= F$2) *
(Table_VayNo_LichTra[Kỳ] &lt;
DATE(YEAR(F$2), MONTH(F$2) + 1, 1))
)),0)
- IFERROR(
SUM(_xlfn._xlws.FILTER(Table_VayNo_LichTra[Lãi vay],
(ISBLANK(Table_VayNo_LichTra[Tháng]))*
(YEAR(Table_VayNo_LichTra[Ngày vay]) &lt;&gt; YEAR(F$2))*
(YEAR(Table_VayNo_LichTra[Ngày kết thúc]) &lt;&gt; YEAR(F$2))*
(Table_VayNo_LichTra[Năm]=YEAR(F$2))
))/12,0)
- IFERROR(SUMPRODUCT(
_xlfn._xlws.FILTER(Table_VayNo_LichTra[Lãi vay],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_xlfn._xlws.FILTER(Table_VayNo_LichTra[Lãi vay],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_xlfn._xlws.FILTER(Table_VayNo_LichTra[Lãi vay],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3" s="18" cm="1">
        <f t="array" ref="G153">- IFERROR(
SUM(_xlfn._xlws.FILTER(Table_VayNo_LichTra[Lãi vay],
(NOT(ISBLANK(Table_VayNo_LichTra[Tháng])))*
(Table_VayNo_LichTra[Kỳ]&gt;= G$2) *
(Table_VayNo_LichTra[Kỳ] &lt;
DATE(YEAR(G$2), MONTH(G$2) + 1, 1))
)),0)
- IFERROR(
SUM(_xlfn._xlws.FILTER(Table_VayNo_LichTra[Lãi vay],
(ISBLANK(Table_VayNo_LichTra[Tháng]))*
(YEAR(Table_VayNo_LichTra[Ngày vay]) &lt;&gt; YEAR(G$2))*
(YEAR(Table_VayNo_LichTra[Ngày kết thúc]) &lt;&gt; YEAR(G$2))*
(Table_VayNo_LichTra[Năm]=YEAR(G$2))
))/12,0)
- IFERROR(SUMPRODUCT(
_xlfn._xlws.FILTER(Table_VayNo_LichTra[Lãi vay],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_xlfn._xlws.FILTER(Table_VayNo_LichTra[Lãi vay],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_xlfn._xlws.FILTER(Table_VayNo_LichTra[Lãi vay],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3" s="18" cm="1">
        <f t="array" ref="H153">- IFERROR(
SUM(_xlfn._xlws.FILTER(Table_VayNo_LichTra[Lãi vay],
(NOT(ISBLANK(Table_VayNo_LichTra[Tháng])))*
(Table_VayNo_LichTra[Kỳ]&gt;= H$2) *
(Table_VayNo_LichTra[Kỳ] &lt;
DATE(YEAR(H$2), MONTH(H$2) + 1, 1))
)),0)
- IFERROR(
SUM(_xlfn._xlws.FILTER(Table_VayNo_LichTra[Lãi vay],
(ISBLANK(Table_VayNo_LichTra[Tháng]))*
(YEAR(Table_VayNo_LichTra[Ngày vay]) &lt;&gt; YEAR(H$2))*
(YEAR(Table_VayNo_LichTra[Ngày kết thúc]) &lt;&gt; YEAR(H$2))*
(Table_VayNo_LichTra[Năm]=YEAR(H$2))
))/12,0)
- IFERROR(SUMPRODUCT(
_xlfn._xlws.FILTER(Table_VayNo_LichTra[Lãi vay],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_xlfn._xlws.FILTER(Table_VayNo_LichTra[Lãi vay],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_xlfn._xlws.FILTER(Table_VayNo_LichTra[Lãi vay],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3" s="18" cm="1">
        <f t="array" ref="I153">- IFERROR(
SUM(_xlfn._xlws.FILTER(Table_VayNo_LichTra[Lãi vay],
(NOT(ISBLANK(Table_VayNo_LichTra[Tháng])))*
(Table_VayNo_LichTra[Kỳ]&gt;= I$2) *
(Table_VayNo_LichTra[Kỳ] &lt;
DATE(YEAR(I$2), MONTH(I$2) + 1, 1))
)),0)
- IFERROR(
SUM(_xlfn._xlws.FILTER(Table_VayNo_LichTra[Lãi vay],
(ISBLANK(Table_VayNo_LichTra[Tháng]))*
(YEAR(Table_VayNo_LichTra[Ngày vay]) &lt;&gt; YEAR(I$2))*
(YEAR(Table_VayNo_LichTra[Ngày kết thúc]) &lt;&gt; YEAR(I$2))*
(Table_VayNo_LichTra[Năm]=YEAR(I$2))
))/12,0)
- IFERROR(SUMPRODUCT(
_xlfn._xlws.FILTER(Table_VayNo_LichTra[Lãi vay],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_xlfn._xlws.FILTER(Table_VayNo_LichTra[Lãi vay],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_xlfn._xlws.FILTER(Table_VayNo_LichTra[Lãi vay],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3" s="18" cm="1">
        <f t="array" ref="J153">- IFERROR(
SUM(_xlfn._xlws.FILTER(Table_VayNo_LichTra[Lãi vay],
(NOT(ISBLANK(Table_VayNo_LichTra[Tháng])))*
(Table_VayNo_LichTra[Kỳ]&gt;= J$2) *
(Table_VayNo_LichTra[Kỳ] &lt;
DATE(YEAR(J$2), MONTH(J$2) + 1, 1))
)),0)
- IFERROR(
SUM(_xlfn._xlws.FILTER(Table_VayNo_LichTra[Lãi vay],
(ISBLANK(Table_VayNo_LichTra[Tháng]))*
(YEAR(Table_VayNo_LichTra[Ngày vay]) &lt;&gt; YEAR(J$2))*
(YEAR(Table_VayNo_LichTra[Ngày kết thúc]) &lt;&gt; YEAR(J$2))*
(Table_VayNo_LichTra[Năm]=YEAR(J$2))
))/12,0)
- IFERROR(SUMPRODUCT(
_xlfn._xlws.FILTER(Table_VayNo_LichTra[Lãi vay],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_xlfn._xlws.FILTER(Table_VayNo_LichTra[Lãi vay],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_xlfn._xlws.FILTER(Table_VayNo_LichTra[Lãi vay],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3" s="18" cm="1">
        <f t="array" ref="K153">- IFERROR(
SUM(_xlfn._xlws.FILTER(Table_VayNo_LichTra[Lãi vay],
(NOT(ISBLANK(Table_VayNo_LichTra[Tháng])))*
(Table_VayNo_LichTra[Kỳ]&gt;= K$2) *
(Table_VayNo_LichTra[Kỳ] &lt;
DATE(YEAR(K$2), MONTH(K$2) + 1, 1))
)),0)
- IFERROR(
SUM(_xlfn._xlws.FILTER(Table_VayNo_LichTra[Lãi vay],
(ISBLANK(Table_VayNo_LichTra[Tháng]))*
(YEAR(Table_VayNo_LichTra[Ngày vay]) &lt;&gt; YEAR(K$2))*
(YEAR(Table_VayNo_LichTra[Ngày kết thúc]) &lt;&gt; YEAR(K$2))*
(Table_VayNo_LichTra[Năm]=YEAR(K$2))
))/12,0)
- IFERROR(SUMPRODUCT(
_xlfn._xlws.FILTER(Table_VayNo_LichTra[Lãi vay],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_xlfn._xlws.FILTER(Table_VayNo_LichTra[Lãi vay],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_xlfn._xlws.FILTER(Table_VayNo_LichTra[Lãi vay],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3" s="18" cm="1">
        <f t="array" ref="L153">- IFERROR(
SUM(_xlfn._xlws.FILTER(Table_VayNo_LichTra[Lãi vay],
(NOT(ISBLANK(Table_VayNo_LichTra[Tháng])))*
(Table_VayNo_LichTra[Kỳ]&gt;= L$2) *
(Table_VayNo_LichTra[Kỳ] &lt;
DATE(YEAR(L$2), MONTH(L$2) + 1, 1))
)),0)
- IFERROR(
SUM(_xlfn._xlws.FILTER(Table_VayNo_LichTra[Lãi vay],
(ISBLANK(Table_VayNo_LichTra[Tháng]))*
(YEAR(Table_VayNo_LichTra[Ngày vay]) &lt;&gt; YEAR(L$2))*
(YEAR(Table_VayNo_LichTra[Ngày kết thúc]) &lt;&gt; YEAR(L$2))*
(Table_VayNo_LichTra[Năm]=YEAR(L$2))
))/12,0)
- IFERROR(SUMPRODUCT(
_xlfn._xlws.FILTER(Table_VayNo_LichTra[Lãi vay],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_xlfn._xlws.FILTER(Table_VayNo_LichTra[Lãi vay],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_xlfn._xlws.FILTER(Table_VayNo_LichTra[Lãi vay],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3" s="18" cm="1">
        <f t="array" ref="M153">- IFERROR(
SUM(_xlfn._xlws.FILTER(Table_VayNo_LichTra[Lãi vay],
(NOT(ISBLANK(Table_VayNo_LichTra[Tháng])))*
(Table_VayNo_LichTra[Kỳ]&gt;= M$2) *
(Table_VayNo_LichTra[Kỳ] &lt;
DATE(YEAR(M$2), MONTH(M$2) + 1, 1))
)),0)
- IFERROR(
SUM(_xlfn._xlws.FILTER(Table_VayNo_LichTra[Lãi vay],
(ISBLANK(Table_VayNo_LichTra[Tháng]))*
(YEAR(Table_VayNo_LichTra[Ngày vay]) &lt;&gt; YEAR(M$2))*
(YEAR(Table_VayNo_LichTra[Ngày kết thúc]) &lt;&gt; YEAR(M$2))*
(Table_VayNo_LichTra[Năm]=YEAR(M$2))
))/12,0)
- IFERROR(SUMPRODUCT(
_xlfn._xlws.FILTER(Table_VayNo_LichTra[Lãi vay],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_xlfn._xlws.FILTER(Table_VayNo_LichTra[Lãi vay],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_xlfn._xlws.FILTER(Table_VayNo_LichTra[Lãi vay],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3" s="18" cm="1">
        <f t="array" ref="N153">- IFERROR(
SUM(_xlfn._xlws.FILTER(Table_VayNo_LichTra[Lãi vay],
(NOT(ISBLANK(Table_VayNo_LichTra[Tháng])))*
(Table_VayNo_LichTra[Kỳ]&gt;= N$2) *
(Table_VayNo_LichTra[Kỳ] &lt;
DATE(YEAR(N$2), MONTH(N$2) + 1, 1))
)),0)
- IFERROR(
SUM(_xlfn._xlws.FILTER(Table_VayNo_LichTra[Lãi vay],
(ISBLANK(Table_VayNo_LichTra[Tháng]))*
(YEAR(Table_VayNo_LichTra[Ngày vay]) &lt;&gt; YEAR(N$2))*
(YEAR(Table_VayNo_LichTra[Ngày kết thúc]) &lt;&gt; YEAR(N$2))*
(Table_VayNo_LichTra[Năm]=YEAR(N$2))
))/12,0)
- IFERROR(SUMPRODUCT(
_xlfn._xlws.FILTER(Table_VayNo_LichTra[Lãi vay],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_xlfn._xlws.FILTER(Table_VayNo_LichTra[Lãi vay],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_xlfn._xlws.FILTER(Table_VayNo_LichTra[Lãi vay],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3" s="18" cm="1">
        <f t="array" ref="O153">- IFERROR(
SUM(_xlfn._xlws.FILTER(Table_VayNo_LichTra[Lãi vay],
(NOT(ISBLANK(Table_VayNo_LichTra[Tháng])))*
(Table_VayNo_LichTra[Kỳ]&gt;= O$2) *
(Table_VayNo_LichTra[Kỳ] &lt;
DATE(YEAR(O$2), MONTH(O$2) + 1, 1))
)),0)
- IFERROR(
SUM(_xlfn._xlws.FILTER(Table_VayNo_LichTra[Lãi vay],
(ISBLANK(Table_VayNo_LichTra[Tháng]))*
(YEAR(Table_VayNo_LichTra[Ngày vay]) &lt;&gt; YEAR(O$2))*
(YEAR(Table_VayNo_LichTra[Ngày kết thúc]) &lt;&gt; YEAR(O$2))*
(Table_VayNo_LichTra[Năm]=YEAR(O$2))
))/12,0)
- IFERROR(SUMPRODUCT(
_xlfn._xlws.FILTER(Table_VayNo_LichTra[Lãi vay],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_xlfn._xlws.FILTER(Table_VayNo_LichTra[Lãi vay],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_xlfn._xlws.FILTER(Table_VayNo_LichTra[Lãi vay],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3" s="18"/>
    </row>
    <row r="154" spans="2:16" ht="18" customHeight="1" x14ac:dyDescent="0.3">
      <c r="B154" s="18" t="s">
        <v>350</v>
      </c>
      <c r="C154" s="18"/>
      <c r="D154" s="18" cm="1">
        <f t="array" ref="D154">- IFERROR(
SUM(_xlfn._xlws.FILTER(Table_VayNo_LichTra[Trả gốc trong kỳ],
(NOT(ISBLANK(Table_VayNo_LichTra[Tháng])))*
(Table_VayNo_LichTra[Kỳ]&gt;= D$2) *
(Table_VayNo_LichTra[Kỳ] &lt;
DATE(YEAR(D$2), MONTH(D$2) + 1, 1))
)),0)
- IFERROR(
SUM(_xlfn._xlws.FILTER(Table_VayNo_LichTra[Trả gốc trong kỳ],
(ISBLANK(Table_VayNo_LichTra[Tháng]))*
(YEAR(Table_VayNo_LichTra[Ngày vay]) &lt;&gt; YEAR(D$2))*
(YEAR(Table_VayNo_LichTra[Ngày kết thúc]) &lt;&gt; YEAR(D$2))*
(Table_VayNo_LichTra[Năm]=YEAR(D$2))
))/12,0)
- IFERROR(SUMPRODUCT(
_xlfn._xlws.FILTER(Table_VayNo_LichTra[Trả gốc trong kỳ],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_xlfn._xlws.FILTER(Table_VayNo_LichTra[Trả gốc trong kỳ],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_xlfn._xlws.FILTER(Table_VayNo_LichTra[Trả gốc trong kỳ],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4" s="18" cm="1">
        <f t="array" ref="E154">- IFERROR(
SUM(_xlfn._xlws.FILTER(Table_VayNo_LichTra[Trả gốc trong kỳ],
(NOT(ISBLANK(Table_VayNo_LichTra[Tháng])))*
(Table_VayNo_LichTra[Kỳ]&gt;= E$2) *
(Table_VayNo_LichTra[Kỳ] &lt;
DATE(YEAR(E$2), MONTH(E$2) + 1, 1))
)),0)
- IFERROR(
SUM(_xlfn._xlws.FILTER(Table_VayNo_LichTra[Trả gốc trong kỳ],
(ISBLANK(Table_VayNo_LichTra[Tháng]))*
(YEAR(Table_VayNo_LichTra[Ngày vay]) &lt;&gt; YEAR(E$2))*
(YEAR(Table_VayNo_LichTra[Ngày kết thúc]) &lt;&gt; YEAR(E$2))*
(Table_VayNo_LichTra[Năm]=YEAR(E$2))
))/12,0)
- IFERROR(SUMPRODUCT(
_xlfn._xlws.FILTER(Table_VayNo_LichTra[Trả gốc trong kỳ],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_xlfn._xlws.FILTER(Table_VayNo_LichTra[Trả gốc trong kỳ],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_xlfn._xlws.FILTER(Table_VayNo_LichTra[Trả gốc trong kỳ],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4" s="18" cm="1">
        <f t="array" ref="F154">- IFERROR(
SUM(_xlfn._xlws.FILTER(Table_VayNo_LichTra[Trả gốc trong kỳ],
(NOT(ISBLANK(Table_VayNo_LichTra[Tháng])))*
(Table_VayNo_LichTra[Kỳ]&gt;= F$2) *
(Table_VayNo_LichTra[Kỳ] &lt;
DATE(YEAR(F$2), MONTH(F$2) + 1, 1))
)),0)
- IFERROR(
SUM(_xlfn._xlws.FILTER(Table_VayNo_LichTra[Trả gốc trong kỳ],
(ISBLANK(Table_VayNo_LichTra[Tháng]))*
(YEAR(Table_VayNo_LichTra[Ngày vay]) &lt;&gt; YEAR(F$2))*
(YEAR(Table_VayNo_LichTra[Ngày kết thúc]) &lt;&gt; YEAR(F$2))*
(Table_VayNo_LichTra[Năm]=YEAR(F$2))
))/12,0)
- IFERROR(SUMPRODUCT(
_xlfn._xlws.FILTER(Table_VayNo_LichTra[Trả gốc trong kỳ],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_xlfn._xlws.FILTER(Table_VayNo_LichTra[Trả gốc trong kỳ],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_xlfn._xlws.FILTER(Table_VayNo_LichTra[Trả gốc trong kỳ],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4" s="18" cm="1">
        <f t="array" ref="G154">- IFERROR(
SUM(_xlfn._xlws.FILTER(Table_VayNo_LichTra[Trả gốc trong kỳ],
(NOT(ISBLANK(Table_VayNo_LichTra[Tháng])))*
(Table_VayNo_LichTra[Kỳ]&gt;= G$2) *
(Table_VayNo_LichTra[Kỳ] &lt;
DATE(YEAR(G$2), MONTH(G$2) + 1, 1))
)),0)
- IFERROR(
SUM(_xlfn._xlws.FILTER(Table_VayNo_LichTra[Trả gốc trong kỳ],
(ISBLANK(Table_VayNo_LichTra[Tháng]))*
(YEAR(Table_VayNo_LichTra[Ngày vay]) &lt;&gt; YEAR(G$2))*
(YEAR(Table_VayNo_LichTra[Ngày kết thúc]) &lt;&gt; YEAR(G$2))*
(Table_VayNo_LichTra[Năm]=YEAR(G$2))
))/12,0)
- IFERROR(SUMPRODUCT(
_xlfn._xlws.FILTER(Table_VayNo_LichTra[Trả gốc trong kỳ],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_xlfn._xlws.FILTER(Table_VayNo_LichTra[Trả gốc trong kỳ],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_xlfn._xlws.FILTER(Table_VayNo_LichTra[Trả gốc trong kỳ],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4" s="18" cm="1">
        <f t="array" ref="H154">- IFERROR(
SUM(_xlfn._xlws.FILTER(Table_VayNo_LichTra[Trả gốc trong kỳ],
(NOT(ISBLANK(Table_VayNo_LichTra[Tháng])))*
(Table_VayNo_LichTra[Kỳ]&gt;= H$2) *
(Table_VayNo_LichTra[Kỳ] &lt;
DATE(YEAR(H$2), MONTH(H$2) + 1, 1))
)),0)
- IFERROR(
SUM(_xlfn._xlws.FILTER(Table_VayNo_LichTra[Trả gốc trong kỳ],
(ISBLANK(Table_VayNo_LichTra[Tháng]))*
(YEAR(Table_VayNo_LichTra[Ngày vay]) &lt;&gt; YEAR(H$2))*
(YEAR(Table_VayNo_LichTra[Ngày kết thúc]) &lt;&gt; YEAR(H$2))*
(Table_VayNo_LichTra[Năm]=YEAR(H$2))
))/12,0)
- IFERROR(SUMPRODUCT(
_xlfn._xlws.FILTER(Table_VayNo_LichTra[Trả gốc trong kỳ],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_xlfn._xlws.FILTER(Table_VayNo_LichTra[Trả gốc trong kỳ],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_xlfn._xlws.FILTER(Table_VayNo_LichTra[Trả gốc trong kỳ],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4" s="18" cm="1">
        <f t="array" ref="I154">- IFERROR(
SUM(_xlfn._xlws.FILTER(Table_VayNo_LichTra[Trả gốc trong kỳ],
(NOT(ISBLANK(Table_VayNo_LichTra[Tháng])))*
(Table_VayNo_LichTra[Kỳ]&gt;= I$2) *
(Table_VayNo_LichTra[Kỳ] &lt;
DATE(YEAR(I$2), MONTH(I$2) + 1, 1))
)),0)
- IFERROR(
SUM(_xlfn._xlws.FILTER(Table_VayNo_LichTra[Trả gốc trong kỳ],
(ISBLANK(Table_VayNo_LichTra[Tháng]))*
(YEAR(Table_VayNo_LichTra[Ngày vay]) &lt;&gt; YEAR(I$2))*
(YEAR(Table_VayNo_LichTra[Ngày kết thúc]) &lt;&gt; YEAR(I$2))*
(Table_VayNo_LichTra[Năm]=YEAR(I$2))
))/12,0)
- IFERROR(SUMPRODUCT(
_xlfn._xlws.FILTER(Table_VayNo_LichTra[Trả gốc trong kỳ],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_xlfn._xlws.FILTER(Table_VayNo_LichTra[Trả gốc trong kỳ],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_xlfn._xlws.FILTER(Table_VayNo_LichTra[Trả gốc trong kỳ],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4" s="18" cm="1">
        <f t="array" ref="J154">- IFERROR(
SUM(_xlfn._xlws.FILTER(Table_VayNo_LichTra[Trả gốc trong kỳ],
(NOT(ISBLANK(Table_VayNo_LichTra[Tháng])))*
(Table_VayNo_LichTra[Kỳ]&gt;= J$2) *
(Table_VayNo_LichTra[Kỳ] &lt;
DATE(YEAR(J$2), MONTH(J$2) + 1, 1))
)),0)
- IFERROR(
SUM(_xlfn._xlws.FILTER(Table_VayNo_LichTra[Trả gốc trong kỳ],
(ISBLANK(Table_VayNo_LichTra[Tháng]))*
(YEAR(Table_VayNo_LichTra[Ngày vay]) &lt;&gt; YEAR(J$2))*
(YEAR(Table_VayNo_LichTra[Ngày kết thúc]) &lt;&gt; YEAR(J$2))*
(Table_VayNo_LichTra[Năm]=YEAR(J$2))
))/12,0)
- IFERROR(SUMPRODUCT(
_xlfn._xlws.FILTER(Table_VayNo_LichTra[Trả gốc trong kỳ],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_xlfn._xlws.FILTER(Table_VayNo_LichTra[Trả gốc trong kỳ],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_xlfn._xlws.FILTER(Table_VayNo_LichTra[Trả gốc trong kỳ],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4" s="18" cm="1">
        <f t="array" ref="K154">- IFERROR(
SUM(_xlfn._xlws.FILTER(Table_VayNo_LichTra[Trả gốc trong kỳ],
(NOT(ISBLANK(Table_VayNo_LichTra[Tháng])))*
(Table_VayNo_LichTra[Kỳ]&gt;= K$2) *
(Table_VayNo_LichTra[Kỳ] &lt;
DATE(YEAR(K$2), MONTH(K$2) + 1, 1))
)),0)
- IFERROR(
SUM(_xlfn._xlws.FILTER(Table_VayNo_LichTra[Trả gốc trong kỳ],
(ISBLANK(Table_VayNo_LichTra[Tháng]))*
(YEAR(Table_VayNo_LichTra[Ngày vay]) &lt;&gt; YEAR(K$2))*
(YEAR(Table_VayNo_LichTra[Ngày kết thúc]) &lt;&gt; YEAR(K$2))*
(Table_VayNo_LichTra[Năm]=YEAR(K$2))
))/12,0)
- IFERROR(SUMPRODUCT(
_xlfn._xlws.FILTER(Table_VayNo_LichTra[Trả gốc trong kỳ],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_xlfn._xlws.FILTER(Table_VayNo_LichTra[Trả gốc trong kỳ],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_xlfn._xlws.FILTER(Table_VayNo_LichTra[Trả gốc trong kỳ],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4" s="18" cm="1">
        <f t="array" ref="L154">- IFERROR(
SUM(_xlfn._xlws.FILTER(Table_VayNo_LichTra[Trả gốc trong kỳ],
(NOT(ISBLANK(Table_VayNo_LichTra[Tháng])))*
(Table_VayNo_LichTra[Kỳ]&gt;= L$2) *
(Table_VayNo_LichTra[Kỳ] &lt;
DATE(YEAR(L$2), MONTH(L$2) + 1, 1))
)),0)
- IFERROR(
SUM(_xlfn._xlws.FILTER(Table_VayNo_LichTra[Trả gốc trong kỳ],
(ISBLANK(Table_VayNo_LichTra[Tháng]))*
(YEAR(Table_VayNo_LichTra[Ngày vay]) &lt;&gt; YEAR(L$2))*
(YEAR(Table_VayNo_LichTra[Ngày kết thúc]) &lt;&gt; YEAR(L$2))*
(Table_VayNo_LichTra[Năm]=YEAR(L$2))
))/12,0)
- IFERROR(SUMPRODUCT(
_xlfn._xlws.FILTER(Table_VayNo_LichTra[Trả gốc trong kỳ],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_xlfn._xlws.FILTER(Table_VayNo_LichTra[Trả gốc trong kỳ],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_xlfn._xlws.FILTER(Table_VayNo_LichTra[Trả gốc trong kỳ],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4" s="18" cm="1">
        <f t="array" ref="M154">- IFERROR(
SUM(_xlfn._xlws.FILTER(Table_VayNo_LichTra[Trả gốc trong kỳ],
(NOT(ISBLANK(Table_VayNo_LichTra[Tháng])))*
(Table_VayNo_LichTra[Kỳ]&gt;= M$2) *
(Table_VayNo_LichTra[Kỳ] &lt;
DATE(YEAR(M$2), MONTH(M$2) + 1, 1))
)),0)
- IFERROR(
SUM(_xlfn._xlws.FILTER(Table_VayNo_LichTra[Trả gốc trong kỳ],
(ISBLANK(Table_VayNo_LichTra[Tháng]))*
(YEAR(Table_VayNo_LichTra[Ngày vay]) &lt;&gt; YEAR(M$2))*
(YEAR(Table_VayNo_LichTra[Ngày kết thúc]) &lt;&gt; YEAR(M$2))*
(Table_VayNo_LichTra[Năm]=YEAR(M$2))
))/12,0)
- IFERROR(SUMPRODUCT(
_xlfn._xlws.FILTER(Table_VayNo_LichTra[Trả gốc trong kỳ],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_xlfn._xlws.FILTER(Table_VayNo_LichTra[Trả gốc trong kỳ],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_xlfn._xlws.FILTER(Table_VayNo_LichTra[Trả gốc trong kỳ],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4" s="18" cm="1">
        <f t="array" ref="N154">- IFERROR(
SUM(_xlfn._xlws.FILTER(Table_VayNo_LichTra[Trả gốc trong kỳ],
(NOT(ISBLANK(Table_VayNo_LichTra[Tháng])))*
(Table_VayNo_LichTra[Kỳ]&gt;= N$2) *
(Table_VayNo_LichTra[Kỳ] &lt;
DATE(YEAR(N$2), MONTH(N$2) + 1, 1))
)),0)
- IFERROR(
SUM(_xlfn._xlws.FILTER(Table_VayNo_LichTra[Trả gốc trong kỳ],
(ISBLANK(Table_VayNo_LichTra[Tháng]))*
(YEAR(Table_VayNo_LichTra[Ngày vay]) &lt;&gt; YEAR(N$2))*
(YEAR(Table_VayNo_LichTra[Ngày kết thúc]) &lt;&gt; YEAR(N$2))*
(Table_VayNo_LichTra[Năm]=YEAR(N$2))
))/12,0)
- IFERROR(SUMPRODUCT(
_xlfn._xlws.FILTER(Table_VayNo_LichTra[Trả gốc trong kỳ],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_xlfn._xlws.FILTER(Table_VayNo_LichTra[Trả gốc trong kỳ],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_xlfn._xlws.FILTER(Table_VayNo_LichTra[Trả gốc trong kỳ],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4" s="18" cm="1">
        <f t="array" ref="O154">- IFERROR(
SUM(_xlfn._xlws.FILTER(Table_VayNo_LichTra[Trả gốc trong kỳ],
(NOT(ISBLANK(Table_VayNo_LichTra[Tháng])))*
(Table_VayNo_LichTra[Kỳ]&gt;= O$2) *
(Table_VayNo_LichTra[Kỳ] &lt;
DATE(YEAR(O$2), MONTH(O$2) + 1, 1))
)),0)
- IFERROR(
SUM(_xlfn._xlws.FILTER(Table_VayNo_LichTra[Trả gốc trong kỳ],
(ISBLANK(Table_VayNo_LichTra[Tháng]))*
(YEAR(Table_VayNo_LichTra[Ngày vay]) &lt;&gt; YEAR(O$2))*
(YEAR(Table_VayNo_LichTra[Ngày kết thúc]) &lt;&gt; YEAR(O$2))*
(Table_VayNo_LichTra[Năm]=YEAR(O$2))
))/12,0)
- IFERROR(SUMPRODUCT(
_xlfn._xlws.FILTER(Table_VayNo_LichTra[Trả gốc trong kỳ],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_xlfn._xlws.FILTER(Table_VayNo_LichTra[Trả gốc trong kỳ],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_xlfn._xlws.FILTER(Table_VayNo_LichTra[Trả gốc trong kỳ],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4" s="482"/>
    </row>
    <row r="156" spans="2:16" ht="18" customHeight="1" x14ac:dyDescent="0.3">
      <c r="B156" s="7" t="s">
        <v>1054</v>
      </c>
    </row>
    <row r="157" spans="2:16" ht="18" customHeight="1" x14ac:dyDescent="0.3">
      <c r="B157" s="15" t="s">
        <v>1027</v>
      </c>
      <c r="C157" s="480" t="s">
        <v>673</v>
      </c>
      <c r="D157" s="480" t="s">
        <v>268</v>
      </c>
      <c r="E157" s="480" t="s">
        <v>269</v>
      </c>
      <c r="F157" s="480" t="s">
        <v>270</v>
      </c>
      <c r="G157" s="480" t="s">
        <v>271</v>
      </c>
      <c r="H157" s="480" t="s">
        <v>272</v>
      </c>
      <c r="I157" s="480" t="s">
        <v>273</v>
      </c>
      <c r="J157" s="480" t="s">
        <v>274</v>
      </c>
      <c r="K157" s="480" t="s">
        <v>275</v>
      </c>
      <c r="L157" s="480" t="s">
        <v>276</v>
      </c>
      <c r="M157" s="480" t="s">
        <v>277</v>
      </c>
      <c r="N157" s="480" t="s">
        <v>278</v>
      </c>
      <c r="O157" s="480" t="s">
        <v>279</v>
      </c>
      <c r="P157" s="481" t="s">
        <v>873</v>
      </c>
    </row>
    <row r="158" spans="2:16" ht="18" customHeight="1" x14ac:dyDescent="0.3">
      <c r="B158" s="15" t="s">
        <v>1028</v>
      </c>
      <c r="C158" s="8"/>
      <c r="D158" s="15"/>
      <c r="E158" s="15"/>
      <c r="F158" s="15"/>
      <c r="G158" s="15"/>
      <c r="H158" s="15"/>
      <c r="I158" s="15"/>
      <c r="J158" s="15"/>
      <c r="K158" s="15"/>
      <c r="L158" s="15"/>
      <c r="M158" s="15"/>
      <c r="N158" s="15"/>
      <c r="O158" s="15"/>
      <c r="P158" s="15"/>
    </row>
    <row r="159" spans="2:16" ht="18" customHeight="1" x14ac:dyDescent="0.3">
      <c r="B159" s="15" t="s">
        <v>1030</v>
      </c>
      <c r="C159" s="8"/>
      <c r="D159" s="15"/>
      <c r="E159" s="15"/>
      <c r="F159" s="15"/>
      <c r="G159" s="15"/>
      <c r="H159" s="15"/>
      <c r="I159" s="15"/>
      <c r="J159" s="15"/>
      <c r="K159" s="15"/>
      <c r="L159" s="15"/>
      <c r="M159" s="15"/>
      <c r="N159" s="15"/>
      <c r="O159" s="15"/>
      <c r="P159" s="15"/>
    </row>
    <row r="160" spans="2:16" ht="18" customHeight="1" x14ac:dyDescent="0.3">
      <c r="B160" s="15" t="s">
        <v>666</v>
      </c>
      <c r="C160" s="494">
        <v>0.2</v>
      </c>
      <c r="D160" s="18" t="e">
        <f>Table_KeHoach_ThuePhi[[#This Row],[Thuế suất TNDN]]*(D20-SUM(D23:D29)-D31-SUM(D158:D159))</f>
        <v>#N/A</v>
      </c>
      <c r="E160" s="18" t="e">
        <f>Table_KeHoach_ThuePhi[[#This Row],[Thuế suất TNDN]]*(E20-SUM(E23:E29)-E31-SUM(E158:E159))</f>
        <v>#N/A</v>
      </c>
      <c r="F160" s="18" t="e">
        <f>Table_KeHoach_ThuePhi[[#This Row],[Thuế suất TNDN]]*(F20-SUM(F23:F29)-F31-SUM(F158:F159))</f>
        <v>#N/A</v>
      </c>
      <c r="G160" s="18" t="e">
        <f>Table_KeHoach_ThuePhi[[#This Row],[Thuế suất TNDN]]*(G20-SUM(G23:G29)-G31-SUM(G158:G159))</f>
        <v>#N/A</v>
      </c>
      <c r="H160" s="18" t="e">
        <f>Table_KeHoach_ThuePhi[[#This Row],[Thuế suất TNDN]]*(H20-SUM(H23:H29)-H31-SUM(H158:H159))</f>
        <v>#N/A</v>
      </c>
      <c r="I160" s="18" t="e">
        <f>Table_KeHoach_ThuePhi[[#This Row],[Thuế suất TNDN]]*(I20-SUM(I23:I29)-I31-SUM(I158:I159))</f>
        <v>#N/A</v>
      </c>
      <c r="J160" s="18" t="e">
        <f>Table_KeHoach_ThuePhi[[#This Row],[Thuế suất TNDN]]*(J20-SUM(J23:J29)-J31-SUM(J158:J159))</f>
        <v>#N/A</v>
      </c>
      <c r="K160" s="18" t="e">
        <f>Table_KeHoach_ThuePhi[[#This Row],[Thuế suất TNDN]]*(K20-SUM(K23:K29)-K31-SUM(K158:K159))</f>
        <v>#N/A</v>
      </c>
      <c r="L160" s="18" t="e">
        <f>Table_KeHoach_ThuePhi[[#This Row],[Thuế suất TNDN]]*(L20-SUM(L23:L29)-L31-SUM(L158:L159))</f>
        <v>#N/A</v>
      </c>
      <c r="M160" s="18" t="e">
        <f>Table_KeHoach_ThuePhi[[#This Row],[Thuế suất TNDN]]*(M20-SUM(M23:M29)-M31-SUM(M158:M159))</f>
        <v>#N/A</v>
      </c>
      <c r="N160" s="18" t="e">
        <f>Table_KeHoach_ThuePhi[[#This Row],[Thuế suất TNDN]]*(N20-SUM(N23:N29)-N31-SUM(N158:N159))</f>
        <v>#N/A</v>
      </c>
      <c r="O160" s="18" t="e">
        <f>Table_KeHoach_ThuePhi[[#This Row],[Thuế suất TNDN]]*(O20-SUM(O23:O29)-O31-SUM(O158:O159))</f>
        <v>#N/A</v>
      </c>
      <c r="P160" s="15"/>
    </row>
    <row r="161" spans="2:16" ht="18" customHeight="1" x14ac:dyDescent="0.3">
      <c r="B161" s="18" t="s">
        <v>1029</v>
      </c>
      <c r="C161" s="489"/>
      <c r="D161" s="18" t="e">
        <f>SUBTOTAL(109,Table_KeHoach_ThuePhi[Tháng 1])</f>
        <v>#N/A</v>
      </c>
      <c r="E161" s="18" t="e">
        <f>SUBTOTAL(109,Table_KeHoach_ThuePhi[Tháng 2])</f>
        <v>#N/A</v>
      </c>
      <c r="F161" s="18" t="e">
        <f>SUBTOTAL(109,Table_KeHoach_ThuePhi[Tháng 3])</f>
        <v>#N/A</v>
      </c>
      <c r="G161" s="18" t="e">
        <f>SUBTOTAL(109,Table_KeHoach_ThuePhi[Tháng 4])</f>
        <v>#N/A</v>
      </c>
      <c r="H161" s="18" t="e">
        <f>SUBTOTAL(109,Table_KeHoach_ThuePhi[Tháng 5])</f>
        <v>#N/A</v>
      </c>
      <c r="I161" s="18" t="e">
        <f>SUBTOTAL(109,Table_KeHoach_ThuePhi[Tháng 6])</f>
        <v>#N/A</v>
      </c>
      <c r="J161" s="18" t="e">
        <f>SUBTOTAL(109,Table_KeHoach_ThuePhi[Tháng 7])</f>
        <v>#N/A</v>
      </c>
      <c r="K161" s="18" t="e">
        <f>SUBTOTAL(109,Table_KeHoach_ThuePhi[Tháng 8])</f>
        <v>#N/A</v>
      </c>
      <c r="L161" s="18" t="e">
        <f>SUBTOTAL(109,Table_KeHoach_ThuePhi[Tháng 9])</f>
        <v>#N/A</v>
      </c>
      <c r="M161" s="18" t="e">
        <f>SUBTOTAL(109,Table_KeHoach_ThuePhi[Tháng 10])</f>
        <v>#N/A</v>
      </c>
      <c r="N161" s="18" t="e">
        <f>SUBTOTAL(109,Table_KeHoach_ThuePhi[Tháng 11])</f>
        <v>#N/A</v>
      </c>
      <c r="O161" s="18" t="e">
        <f>SUBTOTAL(109,Table_KeHoach_ThuePhi[Tháng 12])</f>
        <v>#N/A</v>
      </c>
      <c r="P161" s="15"/>
    </row>
    <row r="163" spans="2:16" ht="18" customHeight="1" x14ac:dyDescent="0.3">
      <c r="B163" s="7" t="s">
        <v>1055</v>
      </c>
      <c r="D163" s="28"/>
      <c r="E163" s="28"/>
      <c r="F163" s="28"/>
      <c r="G163" s="28"/>
      <c r="H163" s="28"/>
      <c r="I163" s="28"/>
      <c r="J163" s="28"/>
      <c r="K163" s="28"/>
      <c r="L163" s="28"/>
      <c r="M163" s="28"/>
      <c r="N163" s="28"/>
      <c r="O163" s="28"/>
      <c r="P163" s="16"/>
    </row>
    <row r="164" spans="2:16" ht="18" customHeight="1" x14ac:dyDescent="0.3">
      <c r="B164" s="15" t="s">
        <v>298</v>
      </c>
      <c r="C164" s="480" t="s">
        <v>1031</v>
      </c>
      <c r="D164" s="480" t="s">
        <v>268</v>
      </c>
      <c r="E164" s="480" t="s">
        <v>269</v>
      </c>
      <c r="F164" s="480" t="s">
        <v>270</v>
      </c>
      <c r="G164" s="480" t="s">
        <v>271</v>
      </c>
      <c r="H164" s="480" t="s">
        <v>272</v>
      </c>
      <c r="I164" s="480" t="s">
        <v>273</v>
      </c>
      <c r="J164" s="480" t="s">
        <v>274</v>
      </c>
      <c r="K164" s="480" t="s">
        <v>275</v>
      </c>
      <c r="L164" s="480" t="s">
        <v>276</v>
      </c>
      <c r="M164" s="480" t="s">
        <v>277</v>
      </c>
      <c r="N164" s="480" t="s">
        <v>278</v>
      </c>
      <c r="O164" s="480" t="s">
        <v>279</v>
      </c>
      <c r="P164" s="481" t="s">
        <v>873</v>
      </c>
    </row>
    <row r="165" spans="2:16" ht="18" customHeight="1" x14ac:dyDescent="0.3">
      <c r="B165" s="15" t="s">
        <v>133</v>
      </c>
      <c r="C165" s="8"/>
      <c r="D165" s="15"/>
      <c r="E165" s="15"/>
      <c r="F165" s="15"/>
      <c r="G165" s="15"/>
      <c r="H165" s="15"/>
      <c r="I165" s="15"/>
      <c r="J165" s="15"/>
      <c r="K165" s="15"/>
      <c r="L165" s="15"/>
      <c r="M165" s="15"/>
      <c r="N165" s="15"/>
      <c r="O165" s="15"/>
      <c r="P165" s="15"/>
    </row>
    <row r="166" spans="2:16" ht="18" customHeight="1" x14ac:dyDescent="0.3">
      <c r="B166" s="18" t="s">
        <v>1029</v>
      </c>
      <c r="C166" s="489"/>
      <c r="D166" s="18">
        <f>SUBTOTAL(109,Table_KeHoach_CPKhac[Tháng 1])</f>
        <v>0</v>
      </c>
      <c r="E166" s="18">
        <f>SUBTOTAL(109,Table_KeHoach_CPKhac[Tháng 2])</f>
        <v>0</v>
      </c>
      <c r="F166" s="18">
        <f>SUBTOTAL(109,Table_KeHoach_CPKhac[Tháng 3])</f>
        <v>0</v>
      </c>
      <c r="G166" s="18">
        <f>SUBTOTAL(109,Table_KeHoach_CPKhac[Tháng 4])</f>
        <v>0</v>
      </c>
      <c r="H166" s="18">
        <f>SUBTOTAL(109,Table_KeHoach_CPKhac[Tháng 5])</f>
        <v>0</v>
      </c>
      <c r="I166" s="18">
        <f>SUBTOTAL(109,Table_KeHoach_CPKhac[Tháng 6])</f>
        <v>0</v>
      </c>
      <c r="J166" s="18">
        <f>SUBTOTAL(109,Table_KeHoach_CPKhac[Tháng 7])</f>
        <v>0</v>
      </c>
      <c r="K166" s="18">
        <f>SUBTOTAL(109,Table_KeHoach_CPKhac[Tháng 8])</f>
        <v>0</v>
      </c>
      <c r="L166" s="18">
        <f>SUBTOTAL(109,Table_KeHoach_CPKhac[Tháng 9])</f>
        <v>0</v>
      </c>
      <c r="M166" s="18">
        <f>SUBTOTAL(109,Table_KeHoach_CPKhac[Tháng 10])</f>
        <v>0</v>
      </c>
      <c r="N166" s="18">
        <f>SUBTOTAL(109,Table_KeHoach_CPKhac[Tháng 11])</f>
        <v>0</v>
      </c>
      <c r="O166" s="18">
        <f>SUBTOTAL(109,Table_KeHoach_CPKhac[Tháng 12])</f>
        <v>0</v>
      </c>
      <c r="P166" s="18"/>
    </row>
    <row r="168" spans="2:16" ht="18" customHeight="1" x14ac:dyDescent="0.3">
      <c r="B168" s="7" t="s">
        <v>1056</v>
      </c>
      <c r="P168" s="28"/>
    </row>
    <row r="169" spans="2:16" ht="18" customHeight="1" x14ac:dyDescent="0.3">
      <c r="B169" s="7" t="s">
        <v>101</v>
      </c>
      <c r="C169" s="12" t="s">
        <v>267</v>
      </c>
      <c r="D169" s="16" t="s">
        <v>268</v>
      </c>
      <c r="E169" s="16" t="s">
        <v>269</v>
      </c>
      <c r="F169" s="16" t="s">
        <v>270</v>
      </c>
      <c r="G169" s="16" t="s">
        <v>271</v>
      </c>
      <c r="H169" s="16" t="s">
        <v>272</v>
      </c>
      <c r="I169" s="16" t="s">
        <v>273</v>
      </c>
      <c r="J169" s="16" t="s">
        <v>274</v>
      </c>
      <c r="K169" s="16" t="s">
        <v>275</v>
      </c>
      <c r="L169" s="16" t="s">
        <v>276</v>
      </c>
      <c r="M169" s="16" t="s">
        <v>277</v>
      </c>
      <c r="N169" s="16" t="s">
        <v>278</v>
      </c>
      <c r="O169" s="16" t="s">
        <v>279</v>
      </c>
      <c r="P169" s="4" t="s">
        <v>873</v>
      </c>
    </row>
    <row r="170" spans="2:16" ht="18" customHeight="1" collapsed="1" x14ac:dyDescent="0.3">
      <c r="B170" s="45" t="s">
        <v>156</v>
      </c>
      <c r="C170" s="497" t="e" cm="1">
        <f t="array" ref="C170"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f>
        <v>#DIV/0!</v>
      </c>
      <c r="D170" s="45"/>
      <c r="E170" s="45"/>
      <c r="F170" s="45"/>
      <c r="G170" s="45"/>
      <c r="H170" s="45"/>
      <c r="I170" s="45"/>
      <c r="J170" s="45"/>
      <c r="K170" s="45"/>
      <c r="L170" s="45"/>
      <c r="M170" s="45"/>
      <c r="N170" s="45"/>
      <c r="O170" s="45"/>
      <c r="P170" s="45"/>
    </row>
    <row r="172" spans="2:16" ht="18" customHeight="1" x14ac:dyDescent="0.3">
      <c r="B172" s="7" t="s">
        <v>1071</v>
      </c>
    </row>
    <row r="173" spans="2:16" ht="18" customHeight="1" x14ac:dyDescent="0.3">
      <c r="B173" s="491" t="s">
        <v>1070</v>
      </c>
      <c r="C173" s="480" t="s">
        <v>1031</v>
      </c>
      <c r="D173" s="480" t="s">
        <v>268</v>
      </c>
      <c r="E173" s="480" t="s">
        <v>269</v>
      </c>
      <c r="F173" s="480" t="s">
        <v>270</v>
      </c>
      <c r="G173" s="480" t="s">
        <v>271</v>
      </c>
      <c r="H173" s="480" t="s">
        <v>272</v>
      </c>
      <c r="I173" s="480" t="s">
        <v>273</v>
      </c>
      <c r="J173" s="480" t="s">
        <v>274</v>
      </c>
      <c r="K173" s="480" t="s">
        <v>275</v>
      </c>
      <c r="L173" s="480" t="s">
        <v>276</v>
      </c>
      <c r="M173" s="480" t="s">
        <v>277</v>
      </c>
      <c r="N173" s="480" t="s">
        <v>278</v>
      </c>
      <c r="O173" s="480" t="s">
        <v>279</v>
      </c>
      <c r="P173" s="481" t="s">
        <v>873</v>
      </c>
    </row>
    <row r="174" spans="2:16" ht="18" customHeight="1" x14ac:dyDescent="0.3">
      <c r="B174" s="15"/>
      <c r="C174" s="8"/>
      <c r="D174" s="15"/>
      <c r="E174" s="15"/>
      <c r="F174" s="15"/>
      <c r="G174" s="15"/>
      <c r="H174" s="15"/>
      <c r="I174" s="15"/>
      <c r="J174" s="15"/>
      <c r="K174" s="15"/>
      <c r="L174" s="15"/>
      <c r="M174" s="15"/>
      <c r="N174" s="15"/>
      <c r="O174" s="15"/>
      <c r="P174" s="15"/>
    </row>
    <row r="175" spans="2:16" ht="18" customHeight="1" x14ac:dyDescent="0.3">
      <c r="B175" s="29" t="s">
        <v>1080</v>
      </c>
      <c r="C175" s="492">
        <f>SUBTOTAL(109,Table_KeHoach_TSCD[Column1])</f>
        <v>0</v>
      </c>
      <c r="D175" s="492">
        <f>SUBTOTAL(109,Table_KeHoach_TSCD[Tháng 1])</f>
        <v>0</v>
      </c>
      <c r="E175" s="492">
        <f>SUBTOTAL(109,Table_KeHoach_TSCD[Tháng 2])</f>
        <v>0</v>
      </c>
      <c r="F175" s="492">
        <f>SUBTOTAL(109,Table_KeHoach_TSCD[Tháng 3])</f>
        <v>0</v>
      </c>
      <c r="G175" s="492">
        <f>SUBTOTAL(109,Table_KeHoach_TSCD[Tháng 4])</f>
        <v>0</v>
      </c>
      <c r="H175" s="492">
        <f>SUBTOTAL(109,Table_KeHoach_TSCD[Tháng 5])</f>
        <v>0</v>
      </c>
      <c r="I175" s="492">
        <f>SUBTOTAL(109,Table_KeHoach_TSCD[Tháng 6])</f>
        <v>0</v>
      </c>
      <c r="J175" s="492">
        <f>SUBTOTAL(109,Table_KeHoach_TSCD[Tháng 7])</f>
        <v>0</v>
      </c>
      <c r="K175" s="492">
        <f>SUBTOTAL(109,Table_KeHoach_TSCD[Tháng 8])</f>
        <v>0</v>
      </c>
      <c r="L175" s="492">
        <f>SUBTOTAL(109,Table_KeHoach_TSCD[Tháng 9])</f>
        <v>0</v>
      </c>
      <c r="M175" s="492">
        <f>SUBTOTAL(109,Table_KeHoach_TSCD[Tháng 10])</f>
        <v>0</v>
      </c>
      <c r="N175" s="492">
        <f>SUBTOTAL(109,Table_KeHoach_TSCD[Tháng 11])</f>
        <v>0</v>
      </c>
      <c r="O175" s="492">
        <f>SUBTOTAL(109,Table_KeHoach_TSCD[Tháng 12])</f>
        <v>0</v>
      </c>
      <c r="P175" s="29"/>
    </row>
    <row r="177" spans="2:16" ht="18" customHeight="1" x14ac:dyDescent="0.3">
      <c r="B177" s="7" t="s">
        <v>1072</v>
      </c>
    </row>
    <row r="178" spans="2:16" ht="18" customHeight="1" x14ac:dyDescent="0.3">
      <c r="B178" s="491" t="s">
        <v>1073</v>
      </c>
      <c r="C178" s="480" t="s">
        <v>1031</v>
      </c>
      <c r="D178" s="480" t="s">
        <v>268</v>
      </c>
      <c r="E178" s="480" t="s">
        <v>269</v>
      </c>
      <c r="F178" s="480" t="s">
        <v>270</v>
      </c>
      <c r="G178" s="480" t="s">
        <v>271</v>
      </c>
      <c r="H178" s="480" t="s">
        <v>272</v>
      </c>
      <c r="I178" s="480" t="s">
        <v>273</v>
      </c>
      <c r="J178" s="480" t="s">
        <v>274</v>
      </c>
      <c r="K178" s="480" t="s">
        <v>275</v>
      </c>
      <c r="L178" s="480" t="s">
        <v>276</v>
      </c>
      <c r="M178" s="480" t="s">
        <v>277</v>
      </c>
      <c r="N178" s="480" t="s">
        <v>278</v>
      </c>
      <c r="O178" s="480" t="s">
        <v>279</v>
      </c>
      <c r="P178" s="481" t="s">
        <v>873</v>
      </c>
    </row>
    <row r="179" spans="2:16" ht="18" customHeight="1" x14ac:dyDescent="0.3">
      <c r="B179" s="15"/>
      <c r="C179" s="8"/>
      <c r="D179" s="15"/>
      <c r="E179" s="15"/>
      <c r="F179" s="15"/>
      <c r="G179" s="15"/>
      <c r="H179" s="15"/>
      <c r="I179" s="15"/>
      <c r="J179" s="15"/>
      <c r="K179" s="15"/>
      <c r="L179" s="15"/>
      <c r="M179" s="15"/>
      <c r="N179" s="15"/>
      <c r="O179" s="15"/>
      <c r="P179" s="15"/>
    </row>
    <row r="180" spans="2:16" ht="18" customHeight="1" x14ac:dyDescent="0.3">
      <c r="B180" s="29" t="s">
        <v>1081</v>
      </c>
      <c r="C180" s="492">
        <f>SUBTOTAL(109,Table_KeHoach_DTTC[Column1])</f>
        <v>0</v>
      </c>
      <c r="D180" s="492">
        <f>SUBTOTAL(109,Table_KeHoach_DTTC[Tháng 1])</f>
        <v>0</v>
      </c>
      <c r="E180" s="492">
        <f>SUBTOTAL(109,Table_KeHoach_DTTC[Tháng 2])</f>
        <v>0</v>
      </c>
      <c r="F180" s="492">
        <f>SUBTOTAL(109,Table_KeHoach_DTTC[Tháng 3])</f>
        <v>0</v>
      </c>
      <c r="G180" s="492">
        <f>SUBTOTAL(109,Table_KeHoach_DTTC[Tháng 4])</f>
        <v>0</v>
      </c>
      <c r="H180" s="492">
        <f>SUBTOTAL(109,Table_KeHoach_DTTC[Tháng 5])</f>
        <v>0</v>
      </c>
      <c r="I180" s="492">
        <f>SUBTOTAL(109,Table_KeHoach_DTTC[Tháng 6])</f>
        <v>0</v>
      </c>
      <c r="J180" s="492">
        <f>SUBTOTAL(109,Table_KeHoach_DTTC[Tháng 7])</f>
        <v>0</v>
      </c>
      <c r="K180" s="492">
        <f>SUBTOTAL(109,Table_KeHoach_DTTC[Tháng 8])</f>
        <v>0</v>
      </c>
      <c r="L180" s="492">
        <f>SUBTOTAL(109,Table_KeHoach_DTTC[Tháng 9])</f>
        <v>0</v>
      </c>
      <c r="M180" s="492">
        <f>SUBTOTAL(109,Table_KeHoach_DTTC[Tháng 10])</f>
        <v>0</v>
      </c>
      <c r="N180" s="492">
        <f>SUBTOTAL(109,Table_KeHoach_DTTC[Tháng 11])</f>
        <v>0</v>
      </c>
      <c r="O180" s="492">
        <f>SUBTOTAL(109,Table_KeHoach_DTTC[Tháng 12])</f>
        <v>0</v>
      </c>
      <c r="P180" s="29"/>
    </row>
    <row r="182" spans="2:16" ht="18" customHeight="1" x14ac:dyDescent="0.3">
      <c r="B182" s="7" t="s">
        <v>1074</v>
      </c>
    </row>
    <row r="183" spans="2:16" ht="18" customHeight="1" x14ac:dyDescent="0.3">
      <c r="B183" s="491" t="s">
        <v>1079</v>
      </c>
      <c r="C183" s="480" t="s">
        <v>1031</v>
      </c>
      <c r="D183" s="480" t="s">
        <v>268</v>
      </c>
      <c r="E183" s="480" t="s">
        <v>269</v>
      </c>
      <c r="F183" s="480" t="s">
        <v>270</v>
      </c>
      <c r="G183" s="480" t="s">
        <v>271</v>
      </c>
      <c r="H183" s="480" t="s">
        <v>272</v>
      </c>
      <c r="I183" s="480" t="s">
        <v>273</v>
      </c>
      <c r="J183" s="480" t="s">
        <v>274</v>
      </c>
      <c r="K183" s="480" t="s">
        <v>275</v>
      </c>
      <c r="L183" s="480" t="s">
        <v>276</v>
      </c>
      <c r="M183" s="480" t="s">
        <v>277</v>
      </c>
      <c r="N183" s="480" t="s">
        <v>278</v>
      </c>
      <c r="O183" s="480" t="s">
        <v>279</v>
      </c>
      <c r="P183" s="481" t="s">
        <v>873</v>
      </c>
    </row>
    <row r="184" spans="2:16" ht="18" customHeight="1" x14ac:dyDescent="0.3">
      <c r="B184" s="15"/>
      <c r="C184" s="8"/>
      <c r="D184" s="18" cm="1">
        <f t="array" ref="D184">-IFERROR(
SUM(_xlfn._xlws.FILTER(Table_DauTu_LichThu[Tổng phải thu],
(Table_DauTu_LichThu[Năm]=DiemHoaVon_NamKeHoach)*
(Table_DauTu_LichThu[Tháng]=D1)*
(Table_DauTu_LichThu[Tài sản đầu tư]=Table_KeHoach_LaiDTTC[[#This Row],[Dòng tiền thu hồi từ đầu tư tài chính]])
)),0)</f>
        <v>0</v>
      </c>
      <c r="E184" s="18" cm="1">
        <f t="array" ref="E184">-IFERROR(
SUM(_xlfn._xlws.FILTER(Table_DauTu_LichThu[Thu nhập tính thuế],
(Table_DauTu_LichThu[Tháng]=DiemHoaVon_NamKeHoach)*
(Table_DauTu_LichThu[Tài sản đầu tư]=E1)*
(Table_DauTu_LichThu[Nhận gốc]=Table_KeHoach_LaiDTTC[[#This Row],[Column1]])
)),0)</f>
        <v>0</v>
      </c>
      <c r="F184" s="18" cm="1">
        <f t="array" ref="F184">-IFERROR(
SUM(_xlfn._xlws.FILTER(Table_DauTu_LichThu[Add],
(Table_DauTu_LichThu[Tài sản đầu tư]=DiemHoaVon_NamKeHoach)*
(Table_DauTu_LichThu[Nhận gốc]=F1)*
(Table_DauTu_LichThu[Nhận lãi]=Table_KeHoach_LaiDTTC[[#This Row],[Tháng 1]])
)),0)</f>
        <v>0</v>
      </c>
      <c r="G184" s="18" cm="1">
        <f t="array" ref="G184">-IFERROR(
SUM(_xlfn._xlws.FILTER(Table_DauTu_LichThu[Còn lại],
(Table_DauTu_LichThu[Nhận gốc]=DiemHoaVon_NamKeHoach)*
(Table_DauTu_LichThu[Nhận lãi]=G1)*
(Table_DauTu_LichThu[Tổng phải thu]=Table_KeHoach_LaiDTTC[[#This Row],[Tháng 2]])
)),0)</f>
        <v>0</v>
      </c>
      <c r="H184" s="18" cm="1">
        <f t="array" ref="H184">-IFERROR(
SUM(_xlfn._xlws.FILTER(Table_DauTu_LichThu[Kỳ],
(Table_DauTu_LichThu[Nhận lãi]=DiemHoaVon_NamKeHoach)*
(Table_DauTu_LichThu[Tổng phải thu]=H1)*
(Table_DauTu_LichThu[Thu nhập tính thuế]=Table_KeHoach_LaiDTTC[[#This Row],[Tháng 3]])
)),0)</f>
        <v>0</v>
      </c>
      <c r="I184" s="18" cm="1">
        <f t="array" ref="I184">-IFERROR(
SUM(_xlfn._xlws.FILTER(Table_DauTu_LichThu[Năm],
(Table_DauTu_LichThu[Tổng phải thu]=DiemHoaVon_NamKeHoach)*
(Table_DauTu_LichThu[Thu nhập tính thuế]=I1)*
(Table_DauTu_LichThu[Add]=Table_KeHoach_LaiDTTC[[#This Row],[Tháng 4]])
)),0)</f>
        <v>0</v>
      </c>
      <c r="J184" s="18" cm="1">
        <f t="array" ref="J184">-IFERROR(
SUM(_xlfn._xlws.FILTER(Table_DauTu_LichThu[Tháng],
(Table_DauTu_LichThu[Thu nhập tính thuế]=DiemHoaVon_NamKeHoach)*
(Table_DauTu_LichThu[Add]=J1)*
(Table_DauTu_LichThu[Còn lại]=Table_KeHoach_LaiDTTC[[#This Row],[Tháng 5]])
)),0)</f>
        <v>0</v>
      </c>
      <c r="K184" s="18" cm="1">
        <f t="array" ref="K184">-IFERROR(
SUM(_xlfn._xlws.FILTER(Table_DauTu_LichThu[Tài sản đầu tư],
(Table_DauTu_LichThu[Add]=DiemHoaVon_NamKeHoach)*
(Table_DauTu_LichThu[Còn lại]=K1)*
(Table_DauTu_LichThu[Kỳ]=Table_KeHoach_LaiDTTC[[#This Row],[Tháng 6]])
)),0)</f>
        <v>0</v>
      </c>
      <c r="L184" s="18" cm="1">
        <f t="array" ref="L184">-IFERROR(
SUM(_xlfn._xlws.FILTER(Table_DauTu_LichThu[Nhận gốc],
(Table_DauTu_LichThu[Còn lại]=DiemHoaVon_NamKeHoach)*
(Table_DauTu_LichThu[Kỳ]=L1)*
(Table_DauTu_LichThu[Năm]=Table_KeHoach_LaiDTTC[[#This Row],[Tháng 7]])
)),0)</f>
        <v>0</v>
      </c>
      <c r="M184" s="18" cm="1">
        <f t="array" ref="M184">-IFERROR(
SUM(_xlfn._xlws.FILTER(Table_DauTu_LichThu[Nhận lãi],
(Table_DauTu_LichThu[Kỳ]=DiemHoaVon_NamKeHoach)*
(Table_DauTu_LichThu[Năm]=M1)*
(Table_DauTu_LichThu[Tháng]=Table_KeHoach_LaiDTTC[[#This Row],[Tháng 8]])
)),0)</f>
        <v>0</v>
      </c>
      <c r="N184" s="18" cm="1">
        <f t="array" ref="N184">-IFERROR(
SUM(_xlfn._xlws.FILTER(Table_DauTu_LichThu[Tổng phải thu],
(Table_DauTu_LichThu[Năm]=DiemHoaVon_NamKeHoach)*
(Table_DauTu_LichThu[Tháng]=N1)*
(Table_DauTu_LichThu[Tài sản đầu tư]=Table_KeHoach_LaiDTTC[[#This Row],[Tháng 9]])
)),0)</f>
        <v>0</v>
      </c>
      <c r="O184" s="18" cm="1">
        <f t="array" ref="O184">-IFERROR(
SUM(_xlfn._xlws.FILTER(Table_DauTu_LichThu[Thu nhập tính thuế],
(Table_DauTu_LichThu[Tháng]=DiemHoaVon_NamKeHoach)*
(Table_DauTu_LichThu[Tài sản đầu tư]=O1)*
(Table_DauTu_LichThu[Nhận gốc]=Table_KeHoach_LaiDTTC[[#This Row],[Tháng 10]])
)),0)</f>
        <v>0</v>
      </c>
      <c r="P184" s="15"/>
    </row>
    <row r="185" spans="2:16" ht="18" customHeight="1" x14ac:dyDescent="0.3">
      <c r="B185" s="29" t="s">
        <v>1082</v>
      </c>
      <c r="C185" s="492">
        <f>SUBTOTAL(109,Table_KeHoach_LaiDTTC[Column1])</f>
        <v>0</v>
      </c>
      <c r="D185" s="492">
        <f>SUBTOTAL(109,Table_KeHoach_LaiDTTC[Tháng 1])</f>
        <v>0</v>
      </c>
      <c r="E185" s="492">
        <f>SUBTOTAL(109,Table_KeHoach_LaiDTTC[Tháng 2])</f>
        <v>0</v>
      </c>
      <c r="F185" s="492">
        <f>SUBTOTAL(109,Table_KeHoach_LaiDTTC[Tháng 3])</f>
        <v>0</v>
      </c>
      <c r="G185" s="492">
        <f>SUBTOTAL(109,Table_KeHoach_LaiDTTC[Tháng 4])</f>
        <v>0</v>
      </c>
      <c r="H185" s="492">
        <f>SUBTOTAL(109,Table_KeHoach_LaiDTTC[Tháng 5])</f>
        <v>0</v>
      </c>
      <c r="I185" s="492">
        <f>SUBTOTAL(109,Table_KeHoach_LaiDTTC[Tháng 6])</f>
        <v>0</v>
      </c>
      <c r="J185" s="492">
        <f>SUBTOTAL(109,Table_KeHoach_LaiDTTC[Tháng 7])</f>
        <v>0</v>
      </c>
      <c r="K185" s="492">
        <f>SUBTOTAL(109,Table_KeHoach_LaiDTTC[Tháng 8])</f>
        <v>0</v>
      </c>
      <c r="L185" s="492">
        <f>SUBTOTAL(109,Table_KeHoach_LaiDTTC[Tháng 9])</f>
        <v>0</v>
      </c>
      <c r="M185" s="492">
        <f>SUBTOTAL(109,Table_KeHoach_LaiDTTC[Tháng 10])</f>
        <v>0</v>
      </c>
      <c r="N185" s="492">
        <f>SUBTOTAL(109,Table_KeHoach_LaiDTTC[Tháng 11])</f>
        <v>0</v>
      </c>
      <c r="O185" s="492">
        <f>SUBTOTAL(109,Table_KeHoach_LaiDTTC[Tháng 12])</f>
        <v>0</v>
      </c>
      <c r="P185" s="29"/>
    </row>
    <row r="187" spans="2:16" ht="18" customHeight="1" x14ac:dyDescent="0.3">
      <c r="B187" s="7" t="s">
        <v>1076</v>
      </c>
    </row>
    <row r="188" spans="2:16" ht="18" customHeight="1" x14ac:dyDescent="0.3">
      <c r="B188" s="491" t="s">
        <v>1075</v>
      </c>
      <c r="C188" s="480" t="s">
        <v>1031</v>
      </c>
      <c r="D188" s="480" t="s">
        <v>268</v>
      </c>
      <c r="E188" s="480" t="s">
        <v>269</v>
      </c>
      <c r="F188" s="480" t="s">
        <v>270</v>
      </c>
      <c r="G188" s="480" t="s">
        <v>271</v>
      </c>
      <c r="H188" s="480" t="s">
        <v>272</v>
      </c>
      <c r="I188" s="480" t="s">
        <v>273</v>
      </c>
      <c r="J188" s="480" t="s">
        <v>274</v>
      </c>
      <c r="K188" s="480" t="s">
        <v>275</v>
      </c>
      <c r="L188" s="480" t="s">
        <v>276</v>
      </c>
      <c r="M188" s="480" t="s">
        <v>277</v>
      </c>
      <c r="N188" s="480" t="s">
        <v>278</v>
      </c>
      <c r="O188" s="480" t="s">
        <v>279</v>
      </c>
      <c r="P188" s="481" t="s">
        <v>873</v>
      </c>
    </row>
    <row r="189" spans="2:16" ht="18" customHeight="1" x14ac:dyDescent="0.3">
      <c r="B189" s="15"/>
      <c r="C189" s="8"/>
      <c r="D189" s="18"/>
      <c r="E189" s="18"/>
      <c r="F189" s="18"/>
      <c r="G189" s="18"/>
      <c r="H189" s="18"/>
      <c r="I189" s="18"/>
      <c r="J189" s="18"/>
      <c r="K189" s="18"/>
      <c r="L189" s="18"/>
      <c r="M189" s="18"/>
      <c r="N189" s="18"/>
      <c r="O189" s="18"/>
      <c r="P189" s="15"/>
    </row>
    <row r="190" spans="2:16" ht="18" customHeight="1" x14ac:dyDescent="0.3">
      <c r="B190" s="29" t="s">
        <v>1083</v>
      </c>
      <c r="C190" s="492">
        <f>SUBTOTAL(109,Table_KeHoach_VonVay[Column1])</f>
        <v>0</v>
      </c>
      <c r="D190" s="492">
        <f>SUBTOTAL(109,Table_KeHoach_VonVay[Tháng 1])</f>
        <v>0</v>
      </c>
      <c r="E190" s="492">
        <f>SUBTOTAL(109,Table_KeHoach_VonVay[Tháng 2])</f>
        <v>0</v>
      </c>
      <c r="F190" s="492">
        <f>SUBTOTAL(109,Table_KeHoach_VonVay[Tháng 3])</f>
        <v>0</v>
      </c>
      <c r="G190" s="492">
        <f>SUBTOTAL(109,Table_KeHoach_VonVay[Tháng 4])</f>
        <v>0</v>
      </c>
      <c r="H190" s="492">
        <f>SUBTOTAL(109,Table_KeHoach_VonVay[Tháng 5])</f>
        <v>0</v>
      </c>
      <c r="I190" s="492">
        <f>SUBTOTAL(109,Table_KeHoach_VonVay[Tháng 6])</f>
        <v>0</v>
      </c>
      <c r="J190" s="492">
        <f>SUBTOTAL(109,Table_KeHoach_VonVay[Tháng 7])</f>
        <v>0</v>
      </c>
      <c r="K190" s="492">
        <f>SUBTOTAL(109,Table_KeHoach_VonVay[Tháng 8])</f>
        <v>0</v>
      </c>
      <c r="L190" s="492">
        <f>SUBTOTAL(109,Table_KeHoach_VonVay[Tháng 9])</f>
        <v>0</v>
      </c>
      <c r="M190" s="492">
        <f>SUBTOTAL(109,Table_KeHoach_VonVay[Tháng 10])</f>
        <v>0</v>
      </c>
      <c r="N190" s="492">
        <f>SUBTOTAL(109,Table_KeHoach_VonVay[Tháng 11])</f>
        <v>0</v>
      </c>
      <c r="O190" s="492">
        <f>SUBTOTAL(109,Table_KeHoach_VonVay[Tháng 12])</f>
        <v>0</v>
      </c>
      <c r="P190" s="29"/>
    </row>
    <row r="192" spans="2:16" ht="18" customHeight="1" x14ac:dyDescent="0.3">
      <c r="B192" s="7" t="s">
        <v>1078</v>
      </c>
    </row>
    <row r="193" spans="2:16" ht="18" customHeight="1" x14ac:dyDescent="0.3">
      <c r="B193" s="491" t="s">
        <v>1077</v>
      </c>
      <c r="C193" s="493" t="s">
        <v>1031</v>
      </c>
      <c r="D193" s="480" t="s">
        <v>268</v>
      </c>
      <c r="E193" s="480" t="s">
        <v>269</v>
      </c>
      <c r="F193" s="480" t="s">
        <v>270</v>
      </c>
      <c r="G193" s="480" t="s">
        <v>271</v>
      </c>
      <c r="H193" s="480" t="s">
        <v>272</v>
      </c>
      <c r="I193" s="480" t="s">
        <v>273</v>
      </c>
      <c r="J193" s="480" t="s">
        <v>274</v>
      </c>
      <c r="K193" s="480" t="s">
        <v>275</v>
      </c>
      <c r="L193" s="480" t="s">
        <v>276</v>
      </c>
      <c r="M193" s="480" t="s">
        <v>277</v>
      </c>
      <c r="N193" s="480" t="s">
        <v>278</v>
      </c>
      <c r="O193" s="480" t="s">
        <v>279</v>
      </c>
      <c r="P193" s="481" t="s">
        <v>873</v>
      </c>
    </row>
    <row r="194" spans="2:16" ht="18" customHeight="1" x14ac:dyDescent="0.3">
      <c r="B194" s="15"/>
      <c r="C194" s="489"/>
      <c r="D194" s="18"/>
      <c r="E194" s="18"/>
      <c r="F194" s="18"/>
      <c r="G194" s="18"/>
      <c r="H194" s="18"/>
      <c r="I194" s="18"/>
      <c r="J194" s="18"/>
      <c r="K194" s="18"/>
      <c r="L194" s="18"/>
      <c r="M194" s="18"/>
      <c r="N194" s="18"/>
      <c r="O194" s="18"/>
      <c r="P194" s="15"/>
    </row>
    <row r="195" spans="2:16" ht="18" customHeight="1" x14ac:dyDescent="0.3">
      <c r="B195" s="29" t="s">
        <v>1084</v>
      </c>
      <c r="C195" s="492">
        <f>SUBTOTAL(109,Table_KeHoach_VonGop[Column1])</f>
        <v>0</v>
      </c>
      <c r="D195" s="492">
        <f>SUBTOTAL(109,Table_KeHoach_VonGop[Tháng 1])</f>
        <v>0</v>
      </c>
      <c r="E195" s="492">
        <f>SUBTOTAL(109,Table_KeHoach_VonGop[Tháng 2])</f>
        <v>0</v>
      </c>
      <c r="F195" s="492">
        <f>SUBTOTAL(109,Table_KeHoach_VonGop[Tháng 3])</f>
        <v>0</v>
      </c>
      <c r="G195" s="492">
        <f>SUBTOTAL(109,Table_KeHoach_VonGop[Tháng 4])</f>
        <v>0</v>
      </c>
      <c r="H195" s="492">
        <f>SUBTOTAL(109,Table_KeHoach_VonGop[Tháng 5])</f>
        <v>0</v>
      </c>
      <c r="I195" s="492">
        <f>SUBTOTAL(109,Table_KeHoach_VonGop[Tháng 6])</f>
        <v>0</v>
      </c>
      <c r="J195" s="492">
        <f>SUBTOTAL(109,Table_KeHoach_VonGop[Tháng 7])</f>
        <v>0</v>
      </c>
      <c r="K195" s="492">
        <f>SUBTOTAL(109,Table_KeHoach_VonGop[Tháng 8])</f>
        <v>0</v>
      </c>
      <c r="L195" s="492">
        <f>SUBTOTAL(109,Table_KeHoach_VonGop[Tháng 9])</f>
        <v>0</v>
      </c>
      <c r="M195" s="492">
        <f>SUBTOTAL(109,Table_KeHoach_VonGop[Tháng 10])</f>
        <v>0</v>
      </c>
      <c r="N195" s="492">
        <f>SUBTOTAL(109,Table_KeHoach_VonGop[Tháng 11])</f>
        <v>0</v>
      </c>
      <c r="O195" s="492">
        <f>SUBTOTAL(109,Table_KeHoach_VonGop[Tháng 12])</f>
        <v>0</v>
      </c>
      <c r="P195" s="29"/>
    </row>
    <row r="197" spans="2:16" ht="18" customHeight="1" x14ac:dyDescent="0.3">
      <c r="B197" s="7" t="s">
        <v>1057</v>
      </c>
    </row>
    <row r="198" spans="2:16" ht="18" customHeight="1" x14ac:dyDescent="0.3">
      <c r="B198" s="456" t="s">
        <v>1007</v>
      </c>
      <c r="C198" s="495" t="s">
        <v>1008</v>
      </c>
      <c r="D198" s="493" t="s">
        <v>268</v>
      </c>
      <c r="E198" s="493" t="s">
        <v>269</v>
      </c>
      <c r="F198" s="493" t="s">
        <v>270</v>
      </c>
      <c r="G198" s="493" t="s">
        <v>271</v>
      </c>
      <c r="H198" s="493" t="s">
        <v>272</v>
      </c>
      <c r="I198" s="493" t="s">
        <v>273</v>
      </c>
      <c r="J198" s="493" t="s">
        <v>274</v>
      </c>
      <c r="K198" s="493" t="s">
        <v>275</v>
      </c>
      <c r="L198" s="493" t="s">
        <v>276</v>
      </c>
      <c r="M198" s="493" t="s">
        <v>277</v>
      </c>
      <c r="N198" s="493" t="s">
        <v>278</v>
      </c>
      <c r="O198" s="493" t="s">
        <v>279</v>
      </c>
      <c r="P198" s="481" t="s">
        <v>873</v>
      </c>
    </row>
    <row r="199" spans="2:16" ht="18" customHeight="1" x14ac:dyDescent="0.3">
      <c r="C199" s="490" t="e">
        <f>VLOOKUP(Table_KeHoach_CoTuc[[#This Row],[Kế hoạch cổ tức]],Table_CoDong[],COUNTA(Table_CoDong[[#Headers],[Mã Cổ đông]:[Tỷ lệ chia lợi nhuận]]),0)</f>
        <v>#N/A</v>
      </c>
      <c r="D199" s="18" t="e">
        <f>Table_KeHoach_CoTuc[[#This Row],[Tỷ lệ lợi ích]]*D$45</f>
        <v>#N/A</v>
      </c>
      <c r="E199" s="18" t="e">
        <f>Table_KeHoach_CoTuc[[#This Row],[Tỷ lệ lợi ích]]*E$45</f>
        <v>#N/A</v>
      </c>
      <c r="F199" s="18" t="e">
        <f>Table_KeHoach_CoTuc[[#This Row],[Tỷ lệ lợi ích]]*F$45</f>
        <v>#N/A</v>
      </c>
      <c r="G199" s="18" t="e">
        <f>Table_KeHoach_CoTuc[[#This Row],[Tỷ lệ lợi ích]]*G$45</f>
        <v>#N/A</v>
      </c>
      <c r="H199" s="18" t="e">
        <f>Table_KeHoach_CoTuc[[#This Row],[Tỷ lệ lợi ích]]*H$45</f>
        <v>#N/A</v>
      </c>
      <c r="I199" s="18" t="e">
        <f>Table_KeHoach_CoTuc[[#This Row],[Tỷ lệ lợi ích]]*I$45</f>
        <v>#N/A</v>
      </c>
      <c r="J199" s="18" t="e">
        <f>Table_KeHoach_CoTuc[[#This Row],[Tỷ lệ lợi ích]]*J$45</f>
        <v>#N/A</v>
      </c>
      <c r="K199" s="18" t="e">
        <f>Table_KeHoach_CoTuc[[#This Row],[Tỷ lệ lợi ích]]*K$45</f>
        <v>#N/A</v>
      </c>
      <c r="L199" s="18" t="e">
        <f>Table_KeHoach_CoTuc[[#This Row],[Tỷ lệ lợi ích]]*L$45</f>
        <v>#N/A</v>
      </c>
      <c r="M199" s="18" t="e">
        <f>Table_KeHoach_CoTuc[[#This Row],[Tỷ lệ lợi ích]]*M$45</f>
        <v>#N/A</v>
      </c>
      <c r="N199" s="18" t="e">
        <f>Table_KeHoach_CoTuc[[#This Row],[Tỷ lệ lợi ích]]*N$45</f>
        <v>#N/A</v>
      </c>
      <c r="O199" s="18" t="e">
        <f>Table_KeHoach_CoTuc[[#This Row],[Tỷ lệ lợi ích]]*O$45</f>
        <v>#N/A</v>
      </c>
      <c r="P199" s="18"/>
    </row>
    <row r="200" spans="2:16" ht="18" customHeight="1" x14ac:dyDescent="0.3">
      <c r="B200" s="29" t="s">
        <v>1085</v>
      </c>
      <c r="C200" s="496" t="e">
        <f>SUBTOTAL(109,Table_KeHoach_CoTuc[Tỷ lệ lợi ích])</f>
        <v>#N/A</v>
      </c>
      <c r="D200" s="492" t="e">
        <f>SUBTOTAL(109,Table_KeHoach_CoTuc[Tháng 1])</f>
        <v>#N/A</v>
      </c>
      <c r="E200" s="492" t="e">
        <f>SUBTOTAL(109,Table_KeHoach_CoTuc[Tháng 2])</f>
        <v>#N/A</v>
      </c>
      <c r="F200" s="492" t="e">
        <f>SUBTOTAL(109,Table_KeHoach_CoTuc[Tháng 3])</f>
        <v>#N/A</v>
      </c>
      <c r="G200" s="492" t="e">
        <f>SUBTOTAL(109,Table_KeHoach_CoTuc[Tháng 4])</f>
        <v>#N/A</v>
      </c>
      <c r="H200" s="492" t="e">
        <f>SUBTOTAL(109,Table_KeHoach_CoTuc[Tháng 5])</f>
        <v>#N/A</v>
      </c>
      <c r="I200" s="492" t="e">
        <f>SUBTOTAL(109,Table_KeHoach_CoTuc[Tháng 6])</f>
        <v>#N/A</v>
      </c>
      <c r="J200" s="492" t="e">
        <f>SUBTOTAL(109,Table_KeHoach_CoTuc[Tháng 7])</f>
        <v>#N/A</v>
      </c>
      <c r="K200" s="492" t="e">
        <f>SUBTOTAL(109,Table_KeHoach_CoTuc[Tháng 8])</f>
        <v>#N/A</v>
      </c>
      <c r="L200" s="492" t="e">
        <f>SUBTOTAL(109,Table_KeHoach_CoTuc[Tháng 9])</f>
        <v>#N/A</v>
      </c>
      <c r="M200" s="492" t="e">
        <f>SUBTOTAL(109,Table_KeHoach_CoTuc[Tháng 10])</f>
        <v>#N/A</v>
      </c>
      <c r="N200" s="492" t="e">
        <f>SUBTOTAL(109,Table_KeHoach_CoTuc[Tháng 11])</f>
        <v>#N/A</v>
      </c>
      <c r="O200" s="492" t="e">
        <f>SUBTOTAL(109,Table_KeHoach_CoTuc[Tháng 12])</f>
        <v>#N/A</v>
      </c>
      <c r="P200" s="29"/>
    </row>
  </sheetData>
  <sheetProtection algorithmName="SHA-512" hashValue="oHyfqPzcrHotM7pmWercuXusIoh8TMY84Vxz9wAR518nD65lWCtFrNRLEVW/ZGlHhQdG+cmcfbJPLAsEWSv7IA==" saltValue="esDOwwcSe9IYvLhP+WDmtw==" spinCount="100000" sheet="1" scenarios="1" formatCells="0" formatColumns="0" formatRows="0" insertColumns="0" insertRows="0" deleteColumns="0" deleteRows="0" sort="0" autoFilter="0" pivotTables="0"/>
  <protectedRanges>
    <protectedRange sqref="B13 B22 B10 B48:P48 Q1:S1 B51:P51 B154:P155 T207:T1048576 X207:X1048576 T54:T55 X54:X55 P49:P50 P53:P55 R48:S48 P58:P59 R49:T51 X58:X59 T58:T59 T62:T64 X62:X64 V56:W56 R56:S56 V60:W60 R60:S60 X67:X69 T67:T69 T72:T73 X72:X73 V65:W65 V70:W70 X76:X77 T76:T77 Q86 Q90 T80:T81 X80:X81 V74:W74 V78:W78 X84:X85 T84:T85 Q94 T88:T89 X88:X89 V82:W82 Q102 V86:W86 X92:X93 T92:T93 T96:T97 X96:X97 V90:W90 Q106 Q110 V94:W94 X100:X101 T100:T101 T104:T105 X104:X105 V98:W98 Q114 Q118 V102:W102 X108:X109 T108:T109 T112:T114 X112:X114 V106:W106 Q122 Q126 V110:W110 X117:X118 T117:T118 T121:T122 X121:X122 V115:W115 Q131 Q134 V119:W119 X125:X126 T125:T126 T129:T132 X129:X132 V123:W123 Q138 V127:W127 T135:T137 P145:P147 T140:T143 X140:X143 V133:W133 V138:W138 V49:X51 Q81 U219:U1048576 Y219:Y1048576 Q71 B157 P62 P72:P73 P76:P77 P81:P82 P86:P87 P91:P93 P106:P107 P110:P111 P114:P115 P119:P120 P124:P125 P128:P129 P133:P134 P138:P141 P151 P198 B158:P162 B164 P164 Q164:Q167 V144:W144 Y6:XFD52 P169 B169 P157 Q2:Q52 T1:XFD5 A6:A52 U63:U66 X135:X137 R53:T53 V53:X53 Y54:XFD57 Q54:Q57 A54:A57 Y59:XFD61 Q59:Q61 A59:A61 Y63:XFD66 Q63:Q66 A63:A66 B52 U68:U71 Y68:XFD71 P67 A68:A71 Q73:Q75 U73:U75 Y73:XFD75 A73:A75 U77:U79 Y77:XFD79 A77:A79 U81:U83 Y81:XFD83 A81:A83 U85:U87 Y85:XFD87 A85:A87 U89:U91 Y89:XFD91 A89:A91 U93:U95 Y93:XFD95 A93:A95 U97:U99 Y97:XFD99 A97:A99 U101:U103 Y101:XFD103 A101:A103 U105:U107 Y105:XFD107 A105:A107 U109:U111 Y109:XFD111 A109:A111 U113:U116 Y113:XFD116 A113:A116 U118:U120 Y118:XFD120 A118:A120 U122:U124 Y122:XFD124 A122:A124 U126:U128 Y126:XFD128 A126:A128 U130:U134 Y130:XFD134 A130:A134 U136:U139 Y136:XFD139 A136:A139 U141:U145 Y141:XFD145 A141:A145 V146:W151 Y147:XFD152 A147:A152 V153:W156 Y154:XFD157 A154:A157 V158:W160 Y159:XFD161 B165:P167 U163:U170 Y163:XFD170 Q147 Q141 A159:A161 P97:P98 P101:P102 B170:P171 P173 B174:P176 P178 B179:P181 B185:P186 B184:C184 P183:P184 B190:P191 B189:C189 P188:P189 R165:S1048576 Z171:XFD1048576 V162:W1048576 B195:P196 P193:P194 B199:H1048576 J199:P1048576 I199:I200 I202:I1048576 B194:C194 A163:A1048576 Q68 P6:P47 Q171:Q1048576 T6:T36 U159:U161 U154:U157 U147:U152 X6:X36" name="Range1_63"/>
    <protectedRange sqref="D20:O20 B8:B9 C7 C11 V6:W6 R6:S6 C23:C29 C38 C31 C14:C20 B6:C6 B32 B34:B47 D17:O17" name="Range1_63_63_1"/>
    <protectedRange sqref="B20 C21:O21 C12:O12" name="Range1_5_1_3_1"/>
    <protectedRange sqref="B140:B141 B152:B153 B147" name="Range1_2_2"/>
    <protectedRange sqref="B18" name="Range1_5_1"/>
    <protectedRange sqref="B7" name="Range1_5_3"/>
    <protectedRange sqref="B33" name="Range1_63_63_1_1"/>
    <protectedRange sqref="C30" name="Range1_63_63_1_3"/>
    <protectedRange sqref="R13:S13 R22:S22 R10:S10" name="Range1_63_1"/>
    <protectedRange sqref="R8:S9 R32:S33 R37:S37 R41:S41" name="Range1_63_63_1_6"/>
    <protectedRange sqref="R20:S20" name="Range1_5_1_3_1_2"/>
    <protectedRange sqref="R18:S18" name="Range1_5_1_1"/>
    <protectedRange sqref="R7:S7" name="Range1_5_4"/>
    <protectedRange sqref="S11" name="Range1_5_2_1"/>
    <protectedRange sqref="V13:W13 V22:W22 V10:W10" name="Range1_63_2"/>
    <protectedRange sqref="V8:W9 V46:W47 V32:W33 V37:W37 V41:W41" name="Range1_63_63_1_7"/>
    <protectedRange sqref="V20:W20" name="Range1_5_1_3_1_2_1"/>
    <protectedRange sqref="V18:W18" name="Range1_5_1_2"/>
    <protectedRange sqref="V7:W7" name="Range1_5_5"/>
    <protectedRange sqref="W11" name="Range1_5_2_2"/>
    <protectedRange sqref="R46:R47" name="Range1_63_3"/>
    <protectedRange sqref="S46:S47" name="Range1_63_4"/>
    <protectedRange sqref="S2:S5" name="Range1_63_5"/>
    <protectedRange sqref="R4:R5" name="Range1_63_6"/>
    <protectedRange sqref="S52:T52 P52 A53 B57 V52:X52 U53 Y53:XFD53" name="Range1_63_7"/>
    <protectedRange sqref="R57 V57:X57 A58 R61 V61:X61 B61 A62 Q62 Q58 U62 Y62:XFD62 U58 Y58:XFD58" name="Range1_63_8"/>
    <protectedRange sqref="Y67:XFD67 V66:W66 B66 A67 U67" name="Range1_63_9"/>
    <protectedRange sqref="Y72:XFD72 V71:W71 S71 B71 A72 U72" name="Range1_63_10"/>
    <protectedRange sqref="S75:T75 B75 A76 V75:X75 U76 Y76:XFD76" name="Range1_63_11"/>
    <protectedRange sqref="S79:T79 A80:B80 V79:X79 U80 Y80:XFD80" name="Range1_63_12"/>
    <protectedRange sqref="S83:T83 B85 A84 V83:X83 U84 Y84:XFD84" name="Range1_63_13"/>
    <protectedRange sqref="S87:T87 B90 A88 V87:X87 U88 Y88:XFD88" name="Range1_63_14"/>
    <protectedRange sqref="S91:T91 B96 A92 V91:X91 U92 Y92:XFD92" name="Range1_63_16"/>
    <protectedRange sqref="S95:T95 B100 A96 V95:X95 U96 Y96:XFD96" name="Range1_63_17"/>
    <protectedRange sqref="S99:T99 B105 A100 V99:X99 U100 Y100:XFD100" name="Range1_63_18"/>
    <protectedRange sqref="S103:T103 B109 A104 V103:X103 U104 Y104:XFD104" name="Range1_63_19"/>
    <protectedRange sqref="A108 S107:T107 V107:X107 U108 Y108:XFD108" name="Range1_63_20"/>
    <protectedRange sqref="R111 A112 T111 V111:X111 Q112 U112 Y112:XFD112" name="Range1_63_21"/>
    <protectedRange sqref="S116 A117 Y117:XFD117 V116:W116 U117" name="Range1_63_22"/>
    <protectedRange sqref="A121 S120:T120 V120:X120 U121 Y121:XFD121" name="Range1_63_23"/>
    <protectedRange sqref="A125 S124:T124 V124:X124 U125 Y125:XFD125" name="Range1_63_24"/>
    <protectedRange sqref="A129 S128:T128 V128:X128 U129 Y129:XFD129" name="Range1_63_25"/>
    <protectedRange sqref="A135 S134:T134 V134:X134 U135 Y135:XFD135" name="Range1_63_26"/>
    <protectedRange sqref="A140 S139:T139 V139:X139 U140 Y140:XFD140" name="Range1_63_27"/>
    <protectedRange sqref="Y146:XFD146 A146 W145 C156:O156" name="Range1_63_28"/>
    <protectedRange sqref="X152 A153 T152 V152 U153 Y153:XFD153" name="Range1_63_29"/>
    <protectedRange sqref="C163:O163" name="Range1_63_3_1"/>
    <protectedRange sqref="X157 A158 T157 V157 U158 Y158:XFD158" name="Range1_63_30"/>
    <protectedRange sqref="P168" name="Range1_63_3_2"/>
    <protectedRange sqref="B168:O168" name="Range1_63_4_1"/>
    <protectedRange sqref="A162 T161 X161 V161 U162 Y162:XFD162" name="Range1_63_31"/>
    <protectedRange sqref="B197:P197 B172:P172 B177:P177 B182:P182 B192:P192 B187:P187" name="Range1_63_4_2"/>
    <protectedRange sqref="R3" name="Range1_63_5_1"/>
    <protectedRange sqref="R2" name="Range1_63_5_1_1"/>
    <protectedRange sqref="B11" name="Range1"/>
    <protectedRange sqref="R11" name="Range1_1"/>
    <protectedRange sqref="V11" name="Range1_2"/>
  </protectedRanges>
  <dataConsolidate link="1"/>
  <phoneticPr fontId="14" type="noConversion"/>
  <conditionalFormatting sqref="B125">
    <cfRule type="duplicateValues" dxfId="1945" priority="247"/>
  </conditionalFormatting>
  <conditionalFormatting sqref="B129">
    <cfRule type="duplicateValues" dxfId="1944" priority="248"/>
  </conditionalFormatting>
  <conditionalFormatting sqref="B134">
    <cfRule type="duplicateValues" dxfId="1943" priority="249"/>
  </conditionalFormatting>
  <dataValidations count="8">
    <dataValidation type="list" allowBlank="1" showInputMessage="1" showErrorMessage="1" sqref="B102 B54 B98 B63 B50 B59 B77 B73 B75" xr:uid="{013536CD-67B8-4385-ADA6-80C28315C80B}">
      <formula1>Ma_SKU</formula1>
    </dataValidation>
    <dataValidation type="list" allowBlank="1" showInputMessage="1" showErrorMessage="1" sqref="B111 B107 B115" xr:uid="{20FCE550-D25C-4631-B117-3A8EE8A547D3}">
      <formula1>MaTaiKhoan</formula1>
    </dataValidation>
    <dataValidation type="list" allowBlank="1" showInputMessage="1" showErrorMessage="1" sqref="B134 B125 B129" xr:uid="{94439D58-9D87-433C-96D6-0EC0AC620345}">
      <formula1>MaNhanVien</formula1>
    </dataValidation>
    <dataValidation type="list" allowBlank="1" showInputMessage="1" showErrorMessage="1" sqref="B82 B85" xr:uid="{AFAB2C1A-AFB4-45BD-8469-21BF7600BB9A}">
      <formula1>MaNguyenLieu</formula1>
    </dataValidation>
    <dataValidation type="list" allowBlank="1" showInputMessage="1" showErrorMessage="1" sqref="B199 B194" xr:uid="{C905500D-B607-462A-965C-6F8158474686}">
      <formula1>MaCoDong</formula1>
    </dataValidation>
    <dataValidation type="list" allowBlank="1" showInputMessage="1" showErrorMessage="1" sqref="B174" xr:uid="{3E1FEBB2-C9DE-4EC0-A9F4-C7847722CBAB}">
      <formula1>MaTaiSan</formula1>
    </dataValidation>
    <dataValidation type="list" allowBlank="1" showInputMessage="1" showErrorMessage="1" sqref="B179 B184" xr:uid="{21265826-A0EE-442E-A282-736567944CAB}">
      <formula1>MaDauTu</formula1>
    </dataValidation>
    <dataValidation type="list" allowBlank="1" showInputMessage="1" showErrorMessage="1" sqref="B189" xr:uid="{A2139EA5-4C18-4F0A-8012-1DFB6B992577}">
      <formula1>MaKhoanVay</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12</xdr:col>
                    <xdr:colOff>495300</xdr:colOff>
                    <xdr:row>0</xdr:row>
                    <xdr:rowOff>200025</xdr:rowOff>
                  </from>
                  <to>
                    <xdr:col>13</xdr:col>
                    <xdr:colOff>285750</xdr:colOff>
                    <xdr:row>2</xdr:row>
                    <xdr:rowOff>200025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13</xdr:col>
                    <xdr:colOff>161925</xdr:colOff>
                    <xdr:row>0</xdr:row>
                    <xdr:rowOff>200025</xdr:rowOff>
                  </from>
                  <to>
                    <xdr:col>13</xdr:col>
                    <xdr:colOff>752475</xdr:colOff>
                    <xdr:row>2</xdr:row>
                    <xdr:rowOff>200025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13</xdr:col>
                    <xdr:colOff>628650</xdr:colOff>
                    <xdr:row>0</xdr:row>
                    <xdr:rowOff>200025</xdr:rowOff>
                  </from>
                  <to>
                    <xdr:col>14</xdr:col>
                    <xdr:colOff>390525</xdr:colOff>
                    <xdr:row>2</xdr:row>
                    <xdr:rowOff>200025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14</xdr:col>
                    <xdr:colOff>276225</xdr:colOff>
                    <xdr:row>0</xdr:row>
                    <xdr:rowOff>200025</xdr:rowOff>
                  </from>
                  <to>
                    <xdr:col>14</xdr:col>
                    <xdr:colOff>628650</xdr:colOff>
                    <xdr:row>2</xdr:row>
                    <xdr:rowOff>200025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12</xdr:col>
                    <xdr:colOff>381000</xdr:colOff>
                    <xdr:row>0</xdr:row>
                    <xdr:rowOff>133350</xdr:rowOff>
                  </from>
                  <to>
                    <xdr:col>14</xdr:col>
                    <xdr:colOff>742950</xdr:colOff>
                    <xdr:row>3</xdr:row>
                    <xdr:rowOff>38100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10</xdr:col>
                    <xdr:colOff>304800</xdr:colOff>
                    <xdr:row>0</xdr:row>
                    <xdr:rowOff>133350</xdr:rowOff>
                  </from>
                  <to>
                    <xdr:col>12</xdr:col>
                    <xdr:colOff>333375</xdr:colOff>
                    <xdr:row>3</xdr:row>
                    <xdr:rowOff>38100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10</xdr:col>
                    <xdr:colOff>390525</xdr:colOff>
                    <xdr:row>1</xdr:row>
                    <xdr:rowOff>57150</xdr:rowOff>
                  </from>
                  <to>
                    <xdr:col>11</xdr:col>
                    <xdr:colOff>28575</xdr:colOff>
                    <xdr:row>2</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11</xdr:col>
                    <xdr:colOff>76200</xdr:colOff>
                    <xdr:row>1</xdr:row>
                    <xdr:rowOff>57150</xdr:rowOff>
                  </from>
                  <to>
                    <xdr:col>11</xdr:col>
                    <xdr:colOff>542925</xdr:colOff>
                    <xdr:row>2</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11</xdr:col>
                    <xdr:colOff>590550</xdr:colOff>
                    <xdr:row>1</xdr:row>
                    <xdr:rowOff>57150</xdr:rowOff>
                  </from>
                  <to>
                    <xdr:col>12</xdr:col>
                    <xdr:colOff>257175</xdr:colOff>
                    <xdr:row>2</xdr:row>
                    <xdr:rowOff>114300</xdr:rowOff>
                  </to>
                </anchor>
              </controlPr>
            </control>
          </mc:Choice>
        </mc:AlternateContent>
        <mc:AlternateContent xmlns:mc="http://schemas.openxmlformats.org/markup-compatibility/2006">
          <mc:Choice Requires="x14">
            <control shapeId="50190" r:id="rId13" name="Button 14">
              <controlPr defaultSize="0" print="0" autoFill="0" autoPict="0" macro="[0]!AddColumn">
                <anchor moveWithCells="1" sizeWithCells="1">
                  <from>
                    <xdr:col>20</xdr:col>
                    <xdr:colOff>66675</xdr:colOff>
                    <xdr:row>0</xdr:row>
                    <xdr:rowOff>19050</xdr:rowOff>
                  </from>
                  <to>
                    <xdr:col>20</xdr:col>
                    <xdr:colOff>428625</xdr:colOff>
                    <xdr:row>1</xdr:row>
                    <xdr:rowOff>47625</xdr:rowOff>
                  </to>
                </anchor>
              </controlPr>
            </control>
          </mc:Choice>
        </mc:AlternateContent>
        <mc:AlternateContent xmlns:mc="http://schemas.openxmlformats.org/markup-compatibility/2006">
          <mc:Choice Requires="x14">
            <control shapeId="50191" r:id="rId14" name="Button 15">
              <controlPr defaultSize="0" print="0" autoFill="0" autoPict="0" macro="[0]!DeleteColumn">
                <anchor moveWithCells="1" sizeWithCells="1">
                  <from>
                    <xdr:col>20</xdr:col>
                    <xdr:colOff>476250</xdr:colOff>
                    <xdr:row>0</xdr:row>
                    <xdr:rowOff>19050</xdr:rowOff>
                  </from>
                  <to>
                    <xdr:col>20</xdr:col>
                    <xdr:colOff>838200</xdr:colOff>
                    <xdr:row>1</xdr:row>
                    <xdr:rowOff>47625</xdr:rowOff>
                  </to>
                </anchor>
              </controlPr>
            </control>
          </mc:Choice>
        </mc:AlternateContent>
        <mc:AlternateContent xmlns:mc="http://schemas.openxmlformats.org/markup-compatibility/2006">
          <mc:Choice Requires="x14">
            <control shapeId="50192" r:id="rId15" name="Button 16">
              <controlPr defaultSize="0" print="0" autoFill="0" autoPict="0" macro="[0]!AddColumn">
                <anchor moveWithCells="1" sizeWithCells="1">
                  <from>
                    <xdr:col>24</xdr:col>
                    <xdr:colOff>19050</xdr:colOff>
                    <xdr:row>0</xdr:row>
                    <xdr:rowOff>47625</xdr:rowOff>
                  </from>
                  <to>
                    <xdr:col>24</xdr:col>
                    <xdr:colOff>381000</xdr:colOff>
                    <xdr:row>1</xdr:row>
                    <xdr:rowOff>76200</xdr:rowOff>
                  </to>
                </anchor>
              </controlPr>
            </control>
          </mc:Choice>
        </mc:AlternateContent>
        <mc:AlternateContent xmlns:mc="http://schemas.openxmlformats.org/markup-compatibility/2006">
          <mc:Choice Requires="x14">
            <control shapeId="50193" r:id="rId16" name="Button 17">
              <controlPr defaultSize="0" print="0" autoFill="0" autoPict="0" macro="[0]!DeleteColumn">
                <anchor moveWithCells="1" sizeWithCells="1">
                  <from>
                    <xdr:col>24</xdr:col>
                    <xdr:colOff>428625</xdr:colOff>
                    <xdr:row>0</xdr:row>
                    <xdr:rowOff>47625</xdr:rowOff>
                  </from>
                  <to>
                    <xdr:col>24</xdr:col>
                    <xdr:colOff>790575</xdr:colOff>
                    <xdr:row>1</xdr:row>
                    <xdr:rowOff>76200</xdr:rowOff>
                  </to>
                </anchor>
              </controlPr>
            </control>
          </mc:Choice>
        </mc:AlternateContent>
        <mc:AlternateContent xmlns:mc="http://schemas.openxmlformats.org/markup-compatibility/2006">
          <mc:Choice Requires="x14">
            <control shapeId="50194" r:id="rId17" name="Button 18">
              <controlPr defaultSize="0" print="0" autoFill="0" autoPict="0" macro="[0]!AddRow">
                <anchor moveWithCells="1">
                  <from>
                    <xdr:col>0</xdr:col>
                    <xdr:colOff>66675</xdr:colOff>
                    <xdr:row>48</xdr:row>
                    <xdr:rowOff>19050</xdr:rowOff>
                  </from>
                  <to>
                    <xdr:col>0</xdr:col>
                    <xdr:colOff>609600</xdr:colOff>
                    <xdr:row>48</xdr:row>
                    <xdr:rowOff>200025</xdr:rowOff>
                  </to>
                </anchor>
              </controlPr>
            </control>
          </mc:Choice>
        </mc:AlternateContent>
        <mc:AlternateContent xmlns:mc="http://schemas.openxmlformats.org/markup-compatibility/2006">
          <mc:Choice Requires="x14">
            <control shapeId="50195" r:id="rId18" name="Button 19">
              <controlPr defaultSize="0" print="0" autoFill="0" autoPict="0" macro="[0]!DeleteRow">
                <anchor moveWithCells="1">
                  <from>
                    <xdr:col>0</xdr:col>
                    <xdr:colOff>66675</xdr:colOff>
                    <xdr:row>48</xdr:row>
                    <xdr:rowOff>209550</xdr:rowOff>
                  </from>
                  <to>
                    <xdr:col>0</xdr:col>
                    <xdr:colOff>609600</xdr:colOff>
                    <xdr:row>49</xdr:row>
                    <xdr:rowOff>161925</xdr:rowOff>
                  </to>
                </anchor>
              </controlPr>
            </control>
          </mc:Choice>
        </mc:AlternateContent>
        <mc:AlternateContent xmlns:mc="http://schemas.openxmlformats.org/markup-compatibility/2006">
          <mc:Choice Requires="x14">
            <control shapeId="50196" r:id="rId19" name="Button 20">
              <controlPr defaultSize="0" print="0" autoFill="0" autoPict="0" macro="[0]!AddRow">
                <anchor moveWithCells="1">
                  <from>
                    <xdr:col>0</xdr:col>
                    <xdr:colOff>66675</xdr:colOff>
                    <xdr:row>52</xdr:row>
                    <xdr:rowOff>28575</xdr:rowOff>
                  </from>
                  <to>
                    <xdr:col>0</xdr:col>
                    <xdr:colOff>609600</xdr:colOff>
                    <xdr:row>52</xdr:row>
                    <xdr:rowOff>209550</xdr:rowOff>
                  </to>
                </anchor>
              </controlPr>
            </control>
          </mc:Choice>
        </mc:AlternateContent>
        <mc:AlternateContent xmlns:mc="http://schemas.openxmlformats.org/markup-compatibility/2006">
          <mc:Choice Requires="x14">
            <control shapeId="50197" r:id="rId20" name="Button 21">
              <controlPr defaultSize="0" print="0" autoFill="0" autoPict="0" macro="[0]!DeleteRow">
                <anchor moveWithCells="1">
                  <from>
                    <xdr:col>0</xdr:col>
                    <xdr:colOff>66675</xdr:colOff>
                    <xdr:row>52</xdr:row>
                    <xdr:rowOff>219075</xdr:rowOff>
                  </from>
                  <to>
                    <xdr:col>0</xdr:col>
                    <xdr:colOff>609600</xdr:colOff>
                    <xdr:row>53</xdr:row>
                    <xdr:rowOff>171450</xdr:rowOff>
                  </to>
                </anchor>
              </controlPr>
            </control>
          </mc:Choice>
        </mc:AlternateContent>
        <mc:AlternateContent xmlns:mc="http://schemas.openxmlformats.org/markup-compatibility/2006">
          <mc:Choice Requires="x14">
            <control shapeId="50198" r:id="rId21" name="Button 22">
              <controlPr defaultSize="0" print="0" autoFill="0" autoPict="0" macro="[0]!AddRow">
                <anchor moveWithCells="1">
                  <from>
                    <xdr:col>0</xdr:col>
                    <xdr:colOff>66675</xdr:colOff>
                    <xdr:row>57</xdr:row>
                    <xdr:rowOff>66675</xdr:rowOff>
                  </from>
                  <to>
                    <xdr:col>0</xdr:col>
                    <xdr:colOff>609600</xdr:colOff>
                    <xdr:row>58</xdr:row>
                    <xdr:rowOff>19050</xdr:rowOff>
                  </to>
                </anchor>
              </controlPr>
            </control>
          </mc:Choice>
        </mc:AlternateContent>
        <mc:AlternateContent xmlns:mc="http://schemas.openxmlformats.org/markup-compatibility/2006">
          <mc:Choice Requires="x14">
            <control shapeId="50199" r:id="rId22" name="Button 23">
              <controlPr defaultSize="0" print="0" autoFill="0" autoPict="0" macro="[0]!DeleteRow">
                <anchor moveWithCells="1">
                  <from>
                    <xdr:col>0</xdr:col>
                    <xdr:colOff>66675</xdr:colOff>
                    <xdr:row>58</xdr:row>
                    <xdr:rowOff>28575</xdr:rowOff>
                  </from>
                  <to>
                    <xdr:col>0</xdr:col>
                    <xdr:colOff>609600</xdr:colOff>
                    <xdr:row>58</xdr:row>
                    <xdr:rowOff>209550</xdr:rowOff>
                  </to>
                </anchor>
              </controlPr>
            </control>
          </mc:Choice>
        </mc:AlternateContent>
        <mc:AlternateContent xmlns:mc="http://schemas.openxmlformats.org/markup-compatibility/2006">
          <mc:Choice Requires="x14">
            <control shapeId="50200" r:id="rId23" name="Button 24">
              <controlPr defaultSize="0" print="0" autoFill="0" autoPict="0" macro="[0]!AddRow">
                <anchor moveWithCells="1">
                  <from>
                    <xdr:col>0</xdr:col>
                    <xdr:colOff>66675</xdr:colOff>
                    <xdr:row>61</xdr:row>
                    <xdr:rowOff>28575</xdr:rowOff>
                  </from>
                  <to>
                    <xdr:col>0</xdr:col>
                    <xdr:colOff>609600</xdr:colOff>
                    <xdr:row>61</xdr:row>
                    <xdr:rowOff>209550</xdr:rowOff>
                  </to>
                </anchor>
              </controlPr>
            </control>
          </mc:Choice>
        </mc:AlternateContent>
        <mc:AlternateContent xmlns:mc="http://schemas.openxmlformats.org/markup-compatibility/2006">
          <mc:Choice Requires="x14">
            <control shapeId="50201" r:id="rId24" name="Button 25">
              <controlPr defaultSize="0" print="0" autoFill="0" autoPict="0" macro="[0]!DeleteRow">
                <anchor moveWithCells="1">
                  <from>
                    <xdr:col>0</xdr:col>
                    <xdr:colOff>66675</xdr:colOff>
                    <xdr:row>61</xdr:row>
                    <xdr:rowOff>219075</xdr:rowOff>
                  </from>
                  <to>
                    <xdr:col>0</xdr:col>
                    <xdr:colOff>609600</xdr:colOff>
                    <xdr:row>62</xdr:row>
                    <xdr:rowOff>171450</xdr:rowOff>
                  </to>
                </anchor>
              </controlPr>
            </control>
          </mc:Choice>
        </mc:AlternateContent>
        <mc:AlternateContent xmlns:mc="http://schemas.openxmlformats.org/markup-compatibility/2006">
          <mc:Choice Requires="x14">
            <control shapeId="50204" r:id="rId25" name="Button 28">
              <controlPr defaultSize="0" print="0" autoFill="0" autoPict="0" macro="[0]!AddRow">
                <anchor moveWithCells="1">
                  <from>
                    <xdr:col>0</xdr:col>
                    <xdr:colOff>66675</xdr:colOff>
                    <xdr:row>71</xdr:row>
                    <xdr:rowOff>9525</xdr:rowOff>
                  </from>
                  <to>
                    <xdr:col>0</xdr:col>
                    <xdr:colOff>609600</xdr:colOff>
                    <xdr:row>71</xdr:row>
                    <xdr:rowOff>190500</xdr:rowOff>
                  </to>
                </anchor>
              </controlPr>
            </control>
          </mc:Choice>
        </mc:AlternateContent>
        <mc:AlternateContent xmlns:mc="http://schemas.openxmlformats.org/markup-compatibility/2006">
          <mc:Choice Requires="x14">
            <control shapeId="50205" r:id="rId26" name="Button 29">
              <controlPr defaultSize="0" print="0" autoFill="0" autoPict="0" macro="[0]!DeleteRow">
                <anchor moveWithCells="1">
                  <from>
                    <xdr:col>0</xdr:col>
                    <xdr:colOff>66675</xdr:colOff>
                    <xdr:row>71</xdr:row>
                    <xdr:rowOff>200025</xdr:rowOff>
                  </from>
                  <to>
                    <xdr:col>0</xdr:col>
                    <xdr:colOff>609600</xdr:colOff>
                    <xdr:row>72</xdr:row>
                    <xdr:rowOff>152400</xdr:rowOff>
                  </to>
                </anchor>
              </controlPr>
            </control>
          </mc:Choice>
        </mc:AlternateContent>
        <mc:AlternateContent xmlns:mc="http://schemas.openxmlformats.org/markup-compatibility/2006">
          <mc:Choice Requires="x14">
            <control shapeId="50206" r:id="rId27" name="Button 30">
              <controlPr defaultSize="0" print="0" autoFill="0" autoPict="0" macro="[0]!AddRow">
                <anchor moveWithCells="1">
                  <from>
                    <xdr:col>0</xdr:col>
                    <xdr:colOff>66675</xdr:colOff>
                    <xdr:row>75</xdr:row>
                    <xdr:rowOff>28575</xdr:rowOff>
                  </from>
                  <to>
                    <xdr:col>0</xdr:col>
                    <xdr:colOff>609600</xdr:colOff>
                    <xdr:row>75</xdr:row>
                    <xdr:rowOff>209550</xdr:rowOff>
                  </to>
                </anchor>
              </controlPr>
            </control>
          </mc:Choice>
        </mc:AlternateContent>
        <mc:AlternateContent xmlns:mc="http://schemas.openxmlformats.org/markup-compatibility/2006">
          <mc:Choice Requires="x14">
            <control shapeId="50207" r:id="rId28" name="Button 31">
              <controlPr defaultSize="0" print="0" autoFill="0" autoPict="0" macro="[0]!DeleteRow">
                <anchor moveWithCells="1">
                  <from>
                    <xdr:col>0</xdr:col>
                    <xdr:colOff>66675</xdr:colOff>
                    <xdr:row>75</xdr:row>
                    <xdr:rowOff>219075</xdr:rowOff>
                  </from>
                  <to>
                    <xdr:col>0</xdr:col>
                    <xdr:colOff>609600</xdr:colOff>
                    <xdr:row>76</xdr:row>
                    <xdr:rowOff>171450</xdr:rowOff>
                  </to>
                </anchor>
              </controlPr>
            </control>
          </mc:Choice>
        </mc:AlternateContent>
        <mc:AlternateContent xmlns:mc="http://schemas.openxmlformats.org/markup-compatibility/2006">
          <mc:Choice Requires="x14">
            <control shapeId="50208" r:id="rId29" name="Button 32">
              <controlPr defaultSize="0" print="0" autoFill="0" autoPict="0" macro="[0]!AddRow">
                <anchor moveWithCells="1">
                  <from>
                    <xdr:col>0</xdr:col>
                    <xdr:colOff>66675</xdr:colOff>
                    <xdr:row>80</xdr:row>
                    <xdr:rowOff>57150</xdr:rowOff>
                  </from>
                  <to>
                    <xdr:col>0</xdr:col>
                    <xdr:colOff>609600</xdr:colOff>
                    <xdr:row>81</xdr:row>
                    <xdr:rowOff>9525</xdr:rowOff>
                  </to>
                </anchor>
              </controlPr>
            </control>
          </mc:Choice>
        </mc:AlternateContent>
        <mc:AlternateContent xmlns:mc="http://schemas.openxmlformats.org/markup-compatibility/2006">
          <mc:Choice Requires="x14">
            <control shapeId="50209" r:id="rId30" name="Button 33">
              <controlPr defaultSize="0" print="0" autoFill="0" autoPict="0" macro="[0]!DeleteRow">
                <anchor moveWithCells="1">
                  <from>
                    <xdr:col>0</xdr:col>
                    <xdr:colOff>66675</xdr:colOff>
                    <xdr:row>81</xdr:row>
                    <xdr:rowOff>19050</xdr:rowOff>
                  </from>
                  <to>
                    <xdr:col>0</xdr:col>
                    <xdr:colOff>609600</xdr:colOff>
                    <xdr:row>81</xdr:row>
                    <xdr:rowOff>200025</xdr:rowOff>
                  </to>
                </anchor>
              </controlPr>
            </control>
          </mc:Choice>
        </mc:AlternateContent>
        <mc:AlternateContent xmlns:mc="http://schemas.openxmlformats.org/markup-compatibility/2006">
          <mc:Choice Requires="x14">
            <control shapeId="50210" r:id="rId31" name="Button 34">
              <controlPr defaultSize="0" print="0" autoFill="0" autoPict="0" macro="[0]!AddRow">
                <anchor moveWithCells="1">
                  <from>
                    <xdr:col>0</xdr:col>
                    <xdr:colOff>66675</xdr:colOff>
                    <xdr:row>85</xdr:row>
                    <xdr:rowOff>57150</xdr:rowOff>
                  </from>
                  <to>
                    <xdr:col>0</xdr:col>
                    <xdr:colOff>609600</xdr:colOff>
                    <xdr:row>86</xdr:row>
                    <xdr:rowOff>9525</xdr:rowOff>
                  </to>
                </anchor>
              </controlPr>
            </control>
          </mc:Choice>
        </mc:AlternateContent>
        <mc:AlternateContent xmlns:mc="http://schemas.openxmlformats.org/markup-compatibility/2006">
          <mc:Choice Requires="x14">
            <control shapeId="50211" r:id="rId32" name="Button 35">
              <controlPr defaultSize="0" print="0" autoFill="0" autoPict="0" macro="[0]!DeleteRow">
                <anchor moveWithCells="1">
                  <from>
                    <xdr:col>0</xdr:col>
                    <xdr:colOff>66675</xdr:colOff>
                    <xdr:row>86</xdr:row>
                    <xdr:rowOff>19050</xdr:rowOff>
                  </from>
                  <to>
                    <xdr:col>0</xdr:col>
                    <xdr:colOff>609600</xdr:colOff>
                    <xdr:row>86</xdr:row>
                    <xdr:rowOff>200025</xdr:rowOff>
                  </to>
                </anchor>
              </controlPr>
            </control>
          </mc:Choice>
        </mc:AlternateContent>
        <mc:AlternateContent xmlns:mc="http://schemas.openxmlformats.org/markup-compatibility/2006">
          <mc:Choice Requires="x14">
            <control shapeId="50212" r:id="rId33" name="Button 36">
              <controlPr defaultSize="0" print="0" autoFill="0" autoPict="0" macro="[0]!AddRow">
                <anchor moveWithCells="1">
                  <from>
                    <xdr:col>0</xdr:col>
                    <xdr:colOff>66675</xdr:colOff>
                    <xdr:row>90</xdr:row>
                    <xdr:rowOff>57150</xdr:rowOff>
                  </from>
                  <to>
                    <xdr:col>0</xdr:col>
                    <xdr:colOff>609600</xdr:colOff>
                    <xdr:row>91</xdr:row>
                    <xdr:rowOff>9525</xdr:rowOff>
                  </to>
                </anchor>
              </controlPr>
            </control>
          </mc:Choice>
        </mc:AlternateContent>
        <mc:AlternateContent xmlns:mc="http://schemas.openxmlformats.org/markup-compatibility/2006">
          <mc:Choice Requires="x14">
            <control shapeId="50213" r:id="rId34" name="Button 37">
              <controlPr defaultSize="0" print="0" autoFill="0" autoPict="0" macro="[0]!DeleteRow">
                <anchor moveWithCells="1">
                  <from>
                    <xdr:col>0</xdr:col>
                    <xdr:colOff>66675</xdr:colOff>
                    <xdr:row>91</xdr:row>
                    <xdr:rowOff>19050</xdr:rowOff>
                  </from>
                  <to>
                    <xdr:col>0</xdr:col>
                    <xdr:colOff>609600</xdr:colOff>
                    <xdr:row>91</xdr:row>
                    <xdr:rowOff>200025</xdr:rowOff>
                  </to>
                </anchor>
              </controlPr>
            </control>
          </mc:Choice>
        </mc:AlternateContent>
        <mc:AlternateContent xmlns:mc="http://schemas.openxmlformats.org/markup-compatibility/2006">
          <mc:Choice Requires="x14">
            <control shapeId="50214" r:id="rId35" name="Button 38">
              <controlPr defaultSize="0" print="0" autoFill="0" autoPict="0" macro="[0]!AddRow">
                <anchor moveWithCells="1">
                  <from>
                    <xdr:col>0</xdr:col>
                    <xdr:colOff>66675</xdr:colOff>
                    <xdr:row>96</xdr:row>
                    <xdr:rowOff>47625</xdr:rowOff>
                  </from>
                  <to>
                    <xdr:col>0</xdr:col>
                    <xdr:colOff>609600</xdr:colOff>
                    <xdr:row>96</xdr:row>
                    <xdr:rowOff>228600</xdr:rowOff>
                  </to>
                </anchor>
              </controlPr>
            </control>
          </mc:Choice>
        </mc:AlternateContent>
        <mc:AlternateContent xmlns:mc="http://schemas.openxmlformats.org/markup-compatibility/2006">
          <mc:Choice Requires="x14">
            <control shapeId="50215" r:id="rId36" name="Button 39">
              <controlPr defaultSize="0" print="0" autoFill="0" autoPict="0" macro="[0]!DeleteRow">
                <anchor moveWithCells="1">
                  <from>
                    <xdr:col>0</xdr:col>
                    <xdr:colOff>66675</xdr:colOff>
                    <xdr:row>97</xdr:row>
                    <xdr:rowOff>9525</xdr:rowOff>
                  </from>
                  <to>
                    <xdr:col>0</xdr:col>
                    <xdr:colOff>609600</xdr:colOff>
                    <xdr:row>97</xdr:row>
                    <xdr:rowOff>190500</xdr:rowOff>
                  </to>
                </anchor>
              </controlPr>
            </control>
          </mc:Choice>
        </mc:AlternateContent>
        <mc:AlternateContent xmlns:mc="http://schemas.openxmlformats.org/markup-compatibility/2006">
          <mc:Choice Requires="x14">
            <control shapeId="50216" r:id="rId37" name="Button 40">
              <controlPr defaultSize="0" print="0" autoFill="0" autoPict="0" macro="[0]!AddRow">
                <anchor moveWithCells="1">
                  <from>
                    <xdr:col>0</xdr:col>
                    <xdr:colOff>66675</xdr:colOff>
                    <xdr:row>100</xdr:row>
                    <xdr:rowOff>19050</xdr:rowOff>
                  </from>
                  <to>
                    <xdr:col>0</xdr:col>
                    <xdr:colOff>609600</xdr:colOff>
                    <xdr:row>100</xdr:row>
                    <xdr:rowOff>200025</xdr:rowOff>
                  </to>
                </anchor>
              </controlPr>
            </control>
          </mc:Choice>
        </mc:AlternateContent>
        <mc:AlternateContent xmlns:mc="http://schemas.openxmlformats.org/markup-compatibility/2006">
          <mc:Choice Requires="x14">
            <control shapeId="50217" r:id="rId38" name="Button 41">
              <controlPr defaultSize="0" print="0" autoFill="0" autoPict="0" macro="[0]!DeleteRow">
                <anchor moveWithCells="1">
                  <from>
                    <xdr:col>0</xdr:col>
                    <xdr:colOff>66675</xdr:colOff>
                    <xdr:row>100</xdr:row>
                    <xdr:rowOff>209550</xdr:rowOff>
                  </from>
                  <to>
                    <xdr:col>0</xdr:col>
                    <xdr:colOff>609600</xdr:colOff>
                    <xdr:row>101</xdr:row>
                    <xdr:rowOff>161925</xdr:rowOff>
                  </to>
                </anchor>
              </controlPr>
            </control>
          </mc:Choice>
        </mc:AlternateContent>
        <mc:AlternateContent xmlns:mc="http://schemas.openxmlformats.org/markup-compatibility/2006">
          <mc:Choice Requires="x14">
            <control shapeId="50218" r:id="rId39" name="Button 42">
              <controlPr defaultSize="0" print="0" autoFill="0" autoPict="0" macro="[0]!AddRow">
                <anchor moveWithCells="1">
                  <from>
                    <xdr:col>0</xdr:col>
                    <xdr:colOff>66675</xdr:colOff>
                    <xdr:row>105</xdr:row>
                    <xdr:rowOff>19050</xdr:rowOff>
                  </from>
                  <to>
                    <xdr:col>0</xdr:col>
                    <xdr:colOff>609600</xdr:colOff>
                    <xdr:row>105</xdr:row>
                    <xdr:rowOff>200025</xdr:rowOff>
                  </to>
                </anchor>
              </controlPr>
            </control>
          </mc:Choice>
        </mc:AlternateContent>
        <mc:AlternateContent xmlns:mc="http://schemas.openxmlformats.org/markup-compatibility/2006">
          <mc:Choice Requires="x14">
            <control shapeId="50219" r:id="rId40" name="Button 43">
              <controlPr defaultSize="0" print="0" autoFill="0" autoPict="0" macro="[0]!DeleteRow">
                <anchor moveWithCells="1">
                  <from>
                    <xdr:col>0</xdr:col>
                    <xdr:colOff>66675</xdr:colOff>
                    <xdr:row>105</xdr:row>
                    <xdr:rowOff>209550</xdr:rowOff>
                  </from>
                  <to>
                    <xdr:col>0</xdr:col>
                    <xdr:colOff>609600</xdr:colOff>
                    <xdr:row>106</xdr:row>
                    <xdr:rowOff>161925</xdr:rowOff>
                  </to>
                </anchor>
              </controlPr>
            </control>
          </mc:Choice>
        </mc:AlternateContent>
        <mc:AlternateContent xmlns:mc="http://schemas.openxmlformats.org/markup-compatibility/2006">
          <mc:Choice Requires="x14">
            <control shapeId="50220" r:id="rId41" name="Button 44">
              <controlPr defaultSize="0" print="0" autoFill="0" autoPict="0" macro="[0]!AddRow">
                <anchor moveWithCells="1">
                  <from>
                    <xdr:col>0</xdr:col>
                    <xdr:colOff>66675</xdr:colOff>
                    <xdr:row>109</xdr:row>
                    <xdr:rowOff>95250</xdr:rowOff>
                  </from>
                  <to>
                    <xdr:col>0</xdr:col>
                    <xdr:colOff>609600</xdr:colOff>
                    <xdr:row>110</xdr:row>
                    <xdr:rowOff>47625</xdr:rowOff>
                  </to>
                </anchor>
              </controlPr>
            </control>
          </mc:Choice>
        </mc:AlternateContent>
        <mc:AlternateContent xmlns:mc="http://schemas.openxmlformats.org/markup-compatibility/2006">
          <mc:Choice Requires="x14">
            <control shapeId="50221" r:id="rId42" name="Button 45">
              <controlPr defaultSize="0" print="0" autoFill="0" autoPict="0" macro="[0]!DeleteRow">
                <anchor moveWithCells="1">
                  <from>
                    <xdr:col>0</xdr:col>
                    <xdr:colOff>66675</xdr:colOff>
                    <xdr:row>110</xdr:row>
                    <xdr:rowOff>57150</xdr:rowOff>
                  </from>
                  <to>
                    <xdr:col>0</xdr:col>
                    <xdr:colOff>609600</xdr:colOff>
                    <xdr:row>111</xdr:row>
                    <xdr:rowOff>9525</xdr:rowOff>
                  </to>
                </anchor>
              </controlPr>
            </control>
          </mc:Choice>
        </mc:AlternateContent>
        <mc:AlternateContent xmlns:mc="http://schemas.openxmlformats.org/markup-compatibility/2006">
          <mc:Choice Requires="x14">
            <control shapeId="50222" r:id="rId43" name="Button 46">
              <controlPr defaultSize="0" print="0" autoFill="0" autoPict="0" macro="[0]!AddRow">
                <anchor moveWithCells="1">
                  <from>
                    <xdr:col>0</xdr:col>
                    <xdr:colOff>66675</xdr:colOff>
                    <xdr:row>113</xdr:row>
                    <xdr:rowOff>76200</xdr:rowOff>
                  </from>
                  <to>
                    <xdr:col>0</xdr:col>
                    <xdr:colOff>609600</xdr:colOff>
                    <xdr:row>114</xdr:row>
                    <xdr:rowOff>28575</xdr:rowOff>
                  </to>
                </anchor>
              </controlPr>
            </control>
          </mc:Choice>
        </mc:AlternateContent>
        <mc:AlternateContent xmlns:mc="http://schemas.openxmlformats.org/markup-compatibility/2006">
          <mc:Choice Requires="x14">
            <control shapeId="50223" r:id="rId44" name="Button 47">
              <controlPr defaultSize="0" print="0" autoFill="0" autoPict="0" macro="[0]!DeleteRow">
                <anchor moveWithCells="1">
                  <from>
                    <xdr:col>0</xdr:col>
                    <xdr:colOff>66675</xdr:colOff>
                    <xdr:row>114</xdr:row>
                    <xdr:rowOff>38100</xdr:rowOff>
                  </from>
                  <to>
                    <xdr:col>0</xdr:col>
                    <xdr:colOff>609600</xdr:colOff>
                    <xdr:row>114</xdr:row>
                    <xdr:rowOff>219075</xdr:rowOff>
                  </to>
                </anchor>
              </controlPr>
            </control>
          </mc:Choice>
        </mc:AlternateContent>
        <mc:AlternateContent xmlns:mc="http://schemas.openxmlformats.org/markup-compatibility/2006">
          <mc:Choice Requires="x14">
            <control shapeId="50224" r:id="rId45" name="Button 48">
              <controlPr defaultSize="0" print="0" autoFill="0" autoPict="0" macro="[0]!AddRow">
                <anchor moveWithCells="1">
                  <from>
                    <xdr:col>0</xdr:col>
                    <xdr:colOff>66675</xdr:colOff>
                    <xdr:row>123</xdr:row>
                    <xdr:rowOff>38100</xdr:rowOff>
                  </from>
                  <to>
                    <xdr:col>0</xdr:col>
                    <xdr:colOff>609600</xdr:colOff>
                    <xdr:row>123</xdr:row>
                    <xdr:rowOff>219075</xdr:rowOff>
                  </to>
                </anchor>
              </controlPr>
            </control>
          </mc:Choice>
        </mc:AlternateContent>
        <mc:AlternateContent xmlns:mc="http://schemas.openxmlformats.org/markup-compatibility/2006">
          <mc:Choice Requires="x14">
            <control shapeId="50225" r:id="rId46" name="Button 49">
              <controlPr defaultSize="0" print="0" autoFill="0" autoPict="0" macro="[0]!DeleteRow">
                <anchor moveWithCells="1">
                  <from>
                    <xdr:col>0</xdr:col>
                    <xdr:colOff>66675</xdr:colOff>
                    <xdr:row>124</xdr:row>
                    <xdr:rowOff>0</xdr:rowOff>
                  </from>
                  <to>
                    <xdr:col>0</xdr:col>
                    <xdr:colOff>609600</xdr:colOff>
                    <xdr:row>124</xdr:row>
                    <xdr:rowOff>180975</xdr:rowOff>
                  </to>
                </anchor>
              </controlPr>
            </control>
          </mc:Choice>
        </mc:AlternateContent>
        <mc:AlternateContent xmlns:mc="http://schemas.openxmlformats.org/markup-compatibility/2006">
          <mc:Choice Requires="x14">
            <control shapeId="50226" r:id="rId47" name="Button 50">
              <controlPr defaultSize="0" print="0" autoFill="0" autoPict="0" macro="[0]!AddRow">
                <anchor moveWithCells="1">
                  <from>
                    <xdr:col>0</xdr:col>
                    <xdr:colOff>66675</xdr:colOff>
                    <xdr:row>127</xdr:row>
                    <xdr:rowOff>57150</xdr:rowOff>
                  </from>
                  <to>
                    <xdr:col>0</xdr:col>
                    <xdr:colOff>609600</xdr:colOff>
                    <xdr:row>128</xdr:row>
                    <xdr:rowOff>9525</xdr:rowOff>
                  </to>
                </anchor>
              </controlPr>
            </control>
          </mc:Choice>
        </mc:AlternateContent>
        <mc:AlternateContent xmlns:mc="http://schemas.openxmlformats.org/markup-compatibility/2006">
          <mc:Choice Requires="x14">
            <control shapeId="50227" r:id="rId48" name="Button 51">
              <controlPr defaultSize="0" print="0" autoFill="0" autoPict="0" macro="[0]!DeleteRow">
                <anchor moveWithCells="1">
                  <from>
                    <xdr:col>0</xdr:col>
                    <xdr:colOff>66675</xdr:colOff>
                    <xdr:row>128</xdr:row>
                    <xdr:rowOff>19050</xdr:rowOff>
                  </from>
                  <to>
                    <xdr:col>0</xdr:col>
                    <xdr:colOff>609600</xdr:colOff>
                    <xdr:row>128</xdr:row>
                    <xdr:rowOff>200025</xdr:rowOff>
                  </to>
                </anchor>
              </controlPr>
            </control>
          </mc:Choice>
        </mc:AlternateContent>
        <mc:AlternateContent xmlns:mc="http://schemas.openxmlformats.org/markup-compatibility/2006">
          <mc:Choice Requires="x14">
            <control shapeId="50228" r:id="rId49" name="Button 52">
              <controlPr defaultSize="0" print="0" autoFill="0" autoPict="0" macro="[0]!AddRow">
                <anchor moveWithCells="1">
                  <from>
                    <xdr:col>0</xdr:col>
                    <xdr:colOff>66675</xdr:colOff>
                    <xdr:row>132</xdr:row>
                    <xdr:rowOff>47625</xdr:rowOff>
                  </from>
                  <to>
                    <xdr:col>0</xdr:col>
                    <xdr:colOff>609600</xdr:colOff>
                    <xdr:row>132</xdr:row>
                    <xdr:rowOff>228600</xdr:rowOff>
                  </to>
                </anchor>
              </controlPr>
            </control>
          </mc:Choice>
        </mc:AlternateContent>
        <mc:AlternateContent xmlns:mc="http://schemas.openxmlformats.org/markup-compatibility/2006">
          <mc:Choice Requires="x14">
            <control shapeId="50229" r:id="rId50" name="Button 53">
              <controlPr defaultSize="0" print="0" autoFill="0" autoPict="0" macro="[0]!DeleteRow">
                <anchor moveWithCells="1">
                  <from>
                    <xdr:col>0</xdr:col>
                    <xdr:colOff>66675</xdr:colOff>
                    <xdr:row>133</xdr:row>
                    <xdr:rowOff>9525</xdr:rowOff>
                  </from>
                  <to>
                    <xdr:col>0</xdr:col>
                    <xdr:colOff>609600</xdr:colOff>
                    <xdr:row>133</xdr:row>
                    <xdr:rowOff>190500</xdr:rowOff>
                  </to>
                </anchor>
              </controlPr>
            </control>
          </mc:Choice>
        </mc:AlternateContent>
        <mc:AlternateContent xmlns:mc="http://schemas.openxmlformats.org/markup-compatibility/2006">
          <mc:Choice Requires="x14">
            <control shapeId="50230" r:id="rId51" name="Button 54">
              <controlPr defaultSize="0" print="0" autoFill="0" autoPict="0" macro="[0]!AddRow">
                <anchor moveWithCells="1">
                  <from>
                    <xdr:col>0</xdr:col>
                    <xdr:colOff>66675</xdr:colOff>
                    <xdr:row>156</xdr:row>
                    <xdr:rowOff>38100</xdr:rowOff>
                  </from>
                  <to>
                    <xdr:col>0</xdr:col>
                    <xdr:colOff>609600</xdr:colOff>
                    <xdr:row>156</xdr:row>
                    <xdr:rowOff>219075</xdr:rowOff>
                  </to>
                </anchor>
              </controlPr>
            </control>
          </mc:Choice>
        </mc:AlternateContent>
        <mc:AlternateContent xmlns:mc="http://schemas.openxmlformats.org/markup-compatibility/2006">
          <mc:Choice Requires="x14">
            <control shapeId="50231" r:id="rId52" name="Button 55">
              <controlPr defaultSize="0" print="0" autoFill="0" autoPict="0" macro="[0]!DeleteRow">
                <anchor moveWithCells="1">
                  <from>
                    <xdr:col>0</xdr:col>
                    <xdr:colOff>66675</xdr:colOff>
                    <xdr:row>157</xdr:row>
                    <xdr:rowOff>0</xdr:rowOff>
                  </from>
                  <to>
                    <xdr:col>0</xdr:col>
                    <xdr:colOff>609600</xdr:colOff>
                    <xdr:row>157</xdr:row>
                    <xdr:rowOff>180975</xdr:rowOff>
                  </to>
                </anchor>
              </controlPr>
            </control>
          </mc:Choice>
        </mc:AlternateContent>
        <mc:AlternateContent xmlns:mc="http://schemas.openxmlformats.org/markup-compatibility/2006">
          <mc:Choice Requires="x14">
            <control shapeId="50232" r:id="rId53" name="Button 56">
              <controlPr defaultSize="0" print="0" autoFill="0" autoPict="0" macro="[0]!AddRow">
                <anchor moveWithCells="1">
                  <from>
                    <xdr:col>0</xdr:col>
                    <xdr:colOff>66675</xdr:colOff>
                    <xdr:row>163</xdr:row>
                    <xdr:rowOff>76200</xdr:rowOff>
                  </from>
                  <to>
                    <xdr:col>0</xdr:col>
                    <xdr:colOff>609600</xdr:colOff>
                    <xdr:row>164</xdr:row>
                    <xdr:rowOff>28575</xdr:rowOff>
                  </to>
                </anchor>
              </controlPr>
            </control>
          </mc:Choice>
        </mc:AlternateContent>
        <mc:AlternateContent xmlns:mc="http://schemas.openxmlformats.org/markup-compatibility/2006">
          <mc:Choice Requires="x14">
            <control shapeId="50233" r:id="rId54" name="Button 57">
              <controlPr defaultSize="0" print="0" autoFill="0" autoPict="0" macro="[0]!DeleteRow">
                <anchor moveWithCells="1">
                  <from>
                    <xdr:col>0</xdr:col>
                    <xdr:colOff>66675</xdr:colOff>
                    <xdr:row>164</xdr:row>
                    <xdr:rowOff>38100</xdr:rowOff>
                  </from>
                  <to>
                    <xdr:col>0</xdr:col>
                    <xdr:colOff>609600</xdr:colOff>
                    <xdr:row>164</xdr:row>
                    <xdr:rowOff>219075</xdr:rowOff>
                  </to>
                </anchor>
              </controlPr>
            </control>
          </mc:Choice>
        </mc:AlternateContent>
        <mc:AlternateContent xmlns:mc="http://schemas.openxmlformats.org/markup-compatibility/2006">
          <mc:Choice Requires="x14">
            <control shapeId="15" r:id="rId55" name="Button 64">
              <controlPr defaultSize="0" print="0" autoFill="0" autoPict="0" macro="[0]!AddRow">
                <anchor moveWithCells="1" sizeWithCells="1">
                  <from>
                    <xdr:col>0</xdr:col>
                    <xdr:colOff>66675</xdr:colOff>
                    <xdr:row>197</xdr:row>
                    <xdr:rowOff>38100</xdr:rowOff>
                  </from>
                  <to>
                    <xdr:col>0</xdr:col>
                    <xdr:colOff>609600</xdr:colOff>
                    <xdr:row>197</xdr:row>
                    <xdr:rowOff>219075</xdr:rowOff>
                  </to>
                </anchor>
              </controlPr>
            </control>
          </mc:Choice>
        </mc:AlternateContent>
        <mc:AlternateContent xmlns:mc="http://schemas.openxmlformats.org/markup-compatibility/2006">
          <mc:Choice Requires="x14">
            <control shapeId="32" r:id="rId56" name="Button 65">
              <controlPr defaultSize="0" print="0" autoFill="0" autoPict="0" macro="[0]!DeleteRow">
                <anchor moveWithCells="1" sizeWithCells="1">
                  <from>
                    <xdr:col>0</xdr:col>
                    <xdr:colOff>66675</xdr:colOff>
                    <xdr:row>198</xdr:row>
                    <xdr:rowOff>0</xdr:rowOff>
                  </from>
                  <to>
                    <xdr:col>0</xdr:col>
                    <xdr:colOff>609600</xdr:colOff>
                    <xdr:row>198</xdr:row>
                    <xdr:rowOff>180975</xdr:rowOff>
                  </to>
                </anchor>
              </controlPr>
            </control>
          </mc:Choice>
        </mc:AlternateContent>
        <mc:AlternateContent xmlns:mc="http://schemas.openxmlformats.org/markup-compatibility/2006">
          <mc:Choice Requires="x14">
            <control shapeId="33" r:id="rId57" name="Button 68">
              <controlPr defaultSize="0" print="0" autoFill="0" autoPict="0" macro="[0]!AddRow">
                <anchor moveWithCells="1" sizeWithCells="1">
                  <from>
                    <xdr:col>0</xdr:col>
                    <xdr:colOff>66675</xdr:colOff>
                    <xdr:row>172</xdr:row>
                    <xdr:rowOff>38100</xdr:rowOff>
                  </from>
                  <to>
                    <xdr:col>0</xdr:col>
                    <xdr:colOff>609600</xdr:colOff>
                    <xdr:row>172</xdr:row>
                    <xdr:rowOff>219075</xdr:rowOff>
                  </to>
                </anchor>
              </controlPr>
            </control>
          </mc:Choice>
        </mc:AlternateContent>
        <mc:AlternateContent xmlns:mc="http://schemas.openxmlformats.org/markup-compatibility/2006">
          <mc:Choice Requires="x14">
            <control shapeId="34" r:id="rId58" name="Button 69">
              <controlPr defaultSize="0" print="0" autoFill="0" autoPict="0" macro="[0]!DeleteRow">
                <anchor moveWithCells="1" sizeWithCells="1">
                  <from>
                    <xdr:col>0</xdr:col>
                    <xdr:colOff>66675</xdr:colOff>
                    <xdr:row>173</xdr:row>
                    <xdr:rowOff>0</xdr:rowOff>
                  </from>
                  <to>
                    <xdr:col>0</xdr:col>
                    <xdr:colOff>609600</xdr:colOff>
                    <xdr:row>173</xdr:row>
                    <xdr:rowOff>180975</xdr:rowOff>
                  </to>
                </anchor>
              </controlPr>
            </control>
          </mc:Choice>
        </mc:AlternateContent>
        <mc:AlternateContent xmlns:mc="http://schemas.openxmlformats.org/markup-compatibility/2006">
          <mc:Choice Requires="x14">
            <control shapeId="35" r:id="rId59" name="Button 73">
              <controlPr defaultSize="0" print="0" autoFill="0" autoPict="0" macro="[0]!AddRow">
                <anchor moveWithCells="1" sizeWithCells="1">
                  <from>
                    <xdr:col>0</xdr:col>
                    <xdr:colOff>66675</xdr:colOff>
                    <xdr:row>177</xdr:row>
                    <xdr:rowOff>38100</xdr:rowOff>
                  </from>
                  <to>
                    <xdr:col>0</xdr:col>
                    <xdr:colOff>609600</xdr:colOff>
                    <xdr:row>177</xdr:row>
                    <xdr:rowOff>219075</xdr:rowOff>
                  </to>
                </anchor>
              </controlPr>
            </control>
          </mc:Choice>
        </mc:AlternateContent>
        <mc:AlternateContent xmlns:mc="http://schemas.openxmlformats.org/markup-compatibility/2006">
          <mc:Choice Requires="x14">
            <control shapeId="36" r:id="rId60" name="Button 74">
              <controlPr defaultSize="0" print="0" autoFill="0" autoPict="0" macro="[0]!DeleteRow">
                <anchor moveWithCells="1" sizeWithCells="1">
                  <from>
                    <xdr:col>0</xdr:col>
                    <xdr:colOff>66675</xdr:colOff>
                    <xdr:row>178</xdr:row>
                    <xdr:rowOff>0</xdr:rowOff>
                  </from>
                  <to>
                    <xdr:col>0</xdr:col>
                    <xdr:colOff>609600</xdr:colOff>
                    <xdr:row>178</xdr:row>
                    <xdr:rowOff>180975</xdr:rowOff>
                  </to>
                </anchor>
              </controlPr>
            </control>
          </mc:Choice>
        </mc:AlternateContent>
        <mc:AlternateContent xmlns:mc="http://schemas.openxmlformats.org/markup-compatibility/2006">
          <mc:Choice Requires="x14">
            <control shapeId="37" r:id="rId61" name="Button 89">
              <controlPr defaultSize="0" print="0" autoFill="0" autoPict="0" macro="[0]!AddRow">
                <anchor moveWithCells="1" sizeWithCells="1">
                  <from>
                    <xdr:col>0</xdr:col>
                    <xdr:colOff>66675</xdr:colOff>
                    <xdr:row>182</xdr:row>
                    <xdr:rowOff>38100</xdr:rowOff>
                  </from>
                  <to>
                    <xdr:col>0</xdr:col>
                    <xdr:colOff>609600</xdr:colOff>
                    <xdr:row>182</xdr:row>
                    <xdr:rowOff>219075</xdr:rowOff>
                  </to>
                </anchor>
              </controlPr>
            </control>
          </mc:Choice>
        </mc:AlternateContent>
        <mc:AlternateContent xmlns:mc="http://schemas.openxmlformats.org/markup-compatibility/2006">
          <mc:Choice Requires="x14">
            <control shapeId="38" r:id="rId62" name="Button 90">
              <controlPr defaultSize="0" print="0" autoFill="0" autoPict="0" macro="[0]!DeleteRow">
                <anchor moveWithCells="1" sizeWithCells="1">
                  <from>
                    <xdr:col>0</xdr:col>
                    <xdr:colOff>66675</xdr:colOff>
                    <xdr:row>183</xdr:row>
                    <xdr:rowOff>0</xdr:rowOff>
                  </from>
                  <to>
                    <xdr:col>0</xdr:col>
                    <xdr:colOff>609600</xdr:colOff>
                    <xdr:row>183</xdr:row>
                    <xdr:rowOff>180975</xdr:rowOff>
                  </to>
                </anchor>
              </controlPr>
            </control>
          </mc:Choice>
        </mc:AlternateContent>
        <mc:AlternateContent xmlns:mc="http://schemas.openxmlformats.org/markup-compatibility/2006">
          <mc:Choice Requires="x14">
            <control shapeId="50271" r:id="rId63" name="Button 95">
              <controlPr defaultSize="0" print="0" autoFill="0" autoPict="0" macro="[0]!AddRow">
                <anchor moveWithCells="1" sizeWithCells="1">
                  <from>
                    <xdr:col>0</xdr:col>
                    <xdr:colOff>590550</xdr:colOff>
                    <xdr:row>187</xdr:row>
                    <xdr:rowOff>0</xdr:rowOff>
                  </from>
                  <to>
                    <xdr:col>0</xdr:col>
                    <xdr:colOff>609600</xdr:colOff>
                    <xdr:row>187</xdr:row>
                    <xdr:rowOff>0</xdr:rowOff>
                  </to>
                </anchor>
              </controlPr>
            </control>
          </mc:Choice>
        </mc:AlternateContent>
        <mc:AlternateContent xmlns:mc="http://schemas.openxmlformats.org/markup-compatibility/2006">
          <mc:Choice Requires="x14">
            <control shapeId="50272" r:id="rId64" name="Button 96">
              <controlPr defaultSize="0" print="0" autoFill="0" autoPict="0" macro="[0]!DeleteRow">
                <anchor moveWithCells="1" sizeWithCells="1">
                  <from>
                    <xdr:col>0</xdr:col>
                    <xdr:colOff>66675</xdr:colOff>
                    <xdr:row>187</xdr:row>
                    <xdr:rowOff>0</xdr:rowOff>
                  </from>
                  <to>
                    <xdr:col>0</xdr:col>
                    <xdr:colOff>85725</xdr:colOff>
                    <xdr:row>187</xdr:row>
                    <xdr:rowOff>0</xdr:rowOff>
                  </to>
                </anchor>
              </controlPr>
            </control>
          </mc:Choice>
        </mc:AlternateContent>
        <mc:AlternateContent xmlns:mc="http://schemas.openxmlformats.org/markup-compatibility/2006">
          <mc:Choice Requires="x14">
            <control shapeId="39" r:id="rId65" name="Button 101">
              <controlPr defaultSize="0" print="0" autoFill="0" autoPict="0" macro="[0]!AddRow">
                <anchor moveWithCells="1" sizeWithCells="1">
                  <from>
                    <xdr:col>0</xdr:col>
                    <xdr:colOff>66675</xdr:colOff>
                    <xdr:row>187</xdr:row>
                    <xdr:rowOff>38100</xdr:rowOff>
                  </from>
                  <to>
                    <xdr:col>0</xdr:col>
                    <xdr:colOff>609600</xdr:colOff>
                    <xdr:row>187</xdr:row>
                    <xdr:rowOff>219075</xdr:rowOff>
                  </to>
                </anchor>
              </controlPr>
            </control>
          </mc:Choice>
        </mc:AlternateContent>
        <mc:AlternateContent xmlns:mc="http://schemas.openxmlformats.org/markup-compatibility/2006">
          <mc:Choice Requires="x14">
            <control shapeId="40" r:id="rId66" name="Button 102">
              <controlPr defaultSize="0" print="0" autoFill="0" autoPict="0" macro="[0]!DeleteRow">
                <anchor moveWithCells="1" sizeWithCells="1">
                  <from>
                    <xdr:col>0</xdr:col>
                    <xdr:colOff>66675</xdr:colOff>
                    <xdr:row>188</xdr:row>
                    <xdr:rowOff>0</xdr:rowOff>
                  </from>
                  <to>
                    <xdr:col>0</xdr:col>
                    <xdr:colOff>609600</xdr:colOff>
                    <xdr:row>188</xdr:row>
                    <xdr:rowOff>180975</xdr:rowOff>
                  </to>
                </anchor>
              </controlPr>
            </control>
          </mc:Choice>
        </mc:AlternateContent>
        <mc:AlternateContent xmlns:mc="http://schemas.openxmlformats.org/markup-compatibility/2006">
          <mc:Choice Requires="x14">
            <control shapeId="41" r:id="rId67" name="Button 107">
              <controlPr defaultSize="0" print="0" autoFill="0" autoPict="0" macro="[0]!AddRow">
                <anchor moveWithCells="1" sizeWithCells="1">
                  <from>
                    <xdr:col>0</xdr:col>
                    <xdr:colOff>66675</xdr:colOff>
                    <xdr:row>192</xdr:row>
                    <xdr:rowOff>38100</xdr:rowOff>
                  </from>
                  <to>
                    <xdr:col>0</xdr:col>
                    <xdr:colOff>609600</xdr:colOff>
                    <xdr:row>192</xdr:row>
                    <xdr:rowOff>219075</xdr:rowOff>
                  </to>
                </anchor>
              </controlPr>
            </control>
          </mc:Choice>
        </mc:AlternateContent>
        <mc:AlternateContent xmlns:mc="http://schemas.openxmlformats.org/markup-compatibility/2006">
          <mc:Choice Requires="x14">
            <control shapeId="42" r:id="rId68" name="Button 108">
              <controlPr defaultSize="0" print="0" autoFill="0" autoPict="0" macro="[0]!DeleteRow">
                <anchor moveWithCells="1" sizeWithCells="1">
                  <from>
                    <xdr:col>0</xdr:col>
                    <xdr:colOff>66675</xdr:colOff>
                    <xdr:row>193</xdr:row>
                    <xdr:rowOff>0</xdr:rowOff>
                  </from>
                  <to>
                    <xdr:col>0</xdr:col>
                    <xdr:colOff>609600</xdr:colOff>
                    <xdr:row>193</xdr:row>
                    <xdr:rowOff>180975</xdr:rowOff>
                  </to>
                </anchor>
              </controlPr>
            </control>
          </mc:Choice>
        </mc:AlternateContent>
      </controls>
    </mc:Choice>
  </mc:AlternateContent>
  <tableParts count="34">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s>
  <extLst>
    <ext xmlns:x14="http://schemas.microsoft.com/office/spreadsheetml/2009/9/main" uri="{78C0D931-6437-407d-A8EE-F0AAD7539E65}">
      <x14:conditionalFormattings>
        <x14:conditionalFormatting xmlns:xm="http://schemas.microsoft.com/office/excel/2006/main">
          <x14:cfRule type="expression" priority="69" id="{8FDBA642-DE3F-4297-8F37-5F29D79C75AB}">
            <xm:f>Security!$A$1="NO VBA"</xm:f>
            <x14:dxf>
              <font>
                <color theme="0"/>
              </font>
              <border>
                <vertical/>
                <horizontal/>
              </border>
            </x14:dxf>
          </x14:cfRule>
          <xm:sqref>C6:O6 B49:O49 B53:O53 B58:O58 B50:P51 B54:P56 B62:O62 B67:O67 B72:O72 B76:O76 B81:O81 B86:O86 B91:O91 B97:O97 B101:O101 B106:O106 B110:O110 B114:O114 B119:O119 B124:O124 B128:O128 B133:O133 B138:O138 B145:O145 B151:O151 B157:C157 B198:O198 B162:P162 B165:P165 B167:P167 B170:P171 B169 Q2:Q3 F4:Q5 Q1:R1 U1:V1 Y1:XFD1 B59:P60 B63:P65 B68:P70 B107:P108 B111:P112 B125:P126 B152:P155 A4:D5 T46:T47 T2:XFD3 A6:A52 U6:U52 Y6:XFD52 Q6:Q52 R48:T51 A54:A57 A59:A61 A63:A66 A68:A71 A73:A75 A77:A79 A81:A83 A85:A87 A89:A91 A97:A99 A101:A103 A109:A111 A113:A116 A126:A128 A130:A134 A141:A145 A147:A152 A154:A157 B73:P74 B77:P77 B79:P79 B82:P82 B84:P84 B87:P87 B89:P89 A118:A120 B95:P95 A136:A139 B104:P104 A105:A107 B102:P102 B98:P99 A122:A124 B120:P122 B115:P115 B117:P117 B131:P131 B134:P134 B136:P136 B139:P141 B143:P143 B146:P147 B149:P149 B199:P199 B176:P176 B173:B174 C174:P174 B181:P181 B178:B179 C179:P179 B186:P186 B184:P184 B191:P191 B188:B189 C189:P189 B196:P196 B193:B194 B201:H201 J201:P201 B202:P1048576 B194:P194 A163:A1048576 B129:P129 T5:XFD5 U4:XFD4 A1:O3 A93:A95 B92:P93 A159:A161 B158:P160 B7:P10 Q54:Q57 R53:T56 Q59:Q61 R58:T60 Q63:Q66 R62:T65 Q68:Q71 R67:T70 Q73:Q75 R72:T74 Q77:Q79 R76:T78 Q81:Q83 R80:T82 Q85:Q87 R84:T86 Q89:Q91 R88:T90 Q97:Q99 R96:T98 Q101:Q103 R100:T102 Q109:Q111 R108:T110 Q113:Q116 R112:T115 Q126:Q128 R125:T127 Q130:Q134 R129:T133 Q141:Q145 R140:T144 Q147:Q152 R146:T151 Q154:Q157 R153:T156 Q118:Q120 R117:T119 Q136:Q139 R135:T138 Q105:Q107 R104:T106 Q122:Q124 R121:T123 Q163:Q1048576 R162:T1048576 R7:T10 Q93:Q95 R92:T94 Q159:Q161 R158:T160 V7:X10 U54:U57 Y54:XFD57 V53:X56 U59:U61 Y59:XFD61 V58:X60 U63:U66 Y63:XFD66 V62:X65 U68:U71 Y68:XFD71 V67:X70 U73:U75 Y73:XFD75 V72:X74 U77:U79 Y77:XFD79 V76:X78 U81:U83 Y81:XFD83 V80:X82 U85:U87 Y85:XFD87 V84:X86 U89:U91 Y89:XFD91 V88:X90 U97:U99 Y97:XFD99 V96:X98 U101:U103 Y101:XFD103 V100:X102 U109:U111 Y109:XFD111 V108:X110 U113:U116 Y113:XFD116 V112:X115 U126:U128 Y126:XFD128 V125:X127 U130:U134 Y130:XFD134 V129:X133 U141:U145 Y141:XFD145 V140:X144 U147:U152 Y147:XFD152 V146:X151 U154:U157 Y154:XFD157 V153:X156 U118:U120 Y118:XFD120 V117:X119 U136:U139 Y136:XFD139 V135:X138 U105:U107 Y105:XFD107 V104:X106 U122:U124 Y122:XFD124 V121:X123 U163:U1048576 Y163:XFD1048576 V162:X1048576 U93:U95 Y93:XFD95 V92:X94 U159:U161 Y159:XFD161 V158:X160 B12:P47 R12:T45 S11:T11 V12:X51 W11:X11 C11:P11</xm:sqref>
        </x14:conditionalFormatting>
        <x14:conditionalFormatting xmlns:xm="http://schemas.microsoft.com/office/excel/2006/main">
          <x14:cfRule type="expression" priority="68" id="{8B3CE750-FD21-4A3E-A662-9FC6CF6DF54E}">
            <xm:f>Security!$A$1="NO VBA"</xm:f>
            <x14:dxf>
              <font>
                <color theme="0"/>
              </font>
              <border>
                <vertical/>
                <horizontal/>
              </border>
            </x14:dxf>
          </x14:cfRule>
          <xm:sqref>P6</xm:sqref>
        </x14:conditionalFormatting>
        <x14:conditionalFormatting xmlns:xm="http://schemas.microsoft.com/office/excel/2006/main">
          <x14:cfRule type="expression" priority="67" id="{27A67DF0-42FA-4AED-B5F2-39F20D48E4B2}">
            <xm:f>Security!$A$1="NO VBA"</xm:f>
            <x14:dxf>
              <font>
                <color theme="0"/>
              </font>
              <border>
                <vertical/>
                <horizontal/>
              </border>
            </x14:dxf>
          </x14:cfRule>
          <xm:sqref>P49</xm:sqref>
        </x14:conditionalFormatting>
        <x14:conditionalFormatting xmlns:xm="http://schemas.microsoft.com/office/excel/2006/main">
          <x14:cfRule type="expression" priority="66" id="{3738111B-B3D6-4679-9737-B6E001D6A241}">
            <xm:f>Security!$A$1="NO VBA"</xm:f>
            <x14:dxf>
              <font>
                <color theme="0"/>
              </font>
              <border>
                <vertical/>
                <horizontal/>
              </border>
            </x14:dxf>
          </x14:cfRule>
          <xm:sqref>P53</xm:sqref>
        </x14:conditionalFormatting>
        <x14:conditionalFormatting xmlns:xm="http://schemas.microsoft.com/office/excel/2006/main">
          <x14:cfRule type="expression" priority="65" id="{2F5F0532-5D5F-4E60-A862-808F997170FD}">
            <xm:f>Security!$A$1="NO VBA"</xm:f>
            <x14:dxf>
              <font>
                <color theme="0"/>
              </font>
              <border>
                <vertical/>
                <horizontal/>
              </border>
            </x14:dxf>
          </x14:cfRule>
          <xm:sqref>P58</xm:sqref>
        </x14:conditionalFormatting>
        <x14:conditionalFormatting xmlns:xm="http://schemas.microsoft.com/office/excel/2006/main">
          <x14:cfRule type="expression" priority="64" id="{4DADBD3D-0766-4CE2-83A1-DE2AC3295260}">
            <xm:f>Security!$A$1="NO VBA"</xm:f>
            <x14:dxf>
              <font>
                <color theme="0"/>
              </font>
              <border>
                <vertical/>
                <horizontal/>
              </border>
            </x14:dxf>
          </x14:cfRule>
          <xm:sqref>T6</xm:sqref>
        </x14:conditionalFormatting>
        <x14:conditionalFormatting xmlns:xm="http://schemas.microsoft.com/office/excel/2006/main">
          <x14:cfRule type="expression" priority="63" id="{F8F177BC-0617-4B1D-865F-B06DFB944222}">
            <xm:f>Security!$A$1="NO VBA"</xm:f>
            <x14:dxf>
              <font>
                <color theme="0"/>
              </font>
              <border>
                <vertical/>
                <horizontal/>
              </border>
            </x14:dxf>
          </x14:cfRule>
          <xm:sqref>X6</xm:sqref>
        </x14:conditionalFormatting>
        <x14:conditionalFormatting xmlns:xm="http://schemas.microsoft.com/office/excel/2006/main">
          <x14:cfRule type="expression" priority="62" id="{593DBDB1-6C15-4492-B086-A4D535D57A29}">
            <xm:f>Security!$A$1="NO VBA"</xm:f>
            <x14:dxf>
              <font>
                <color theme="0"/>
              </font>
              <border>
                <vertical/>
                <horizontal/>
              </border>
            </x14:dxf>
          </x14:cfRule>
          <xm:sqref>R6:S6</xm:sqref>
        </x14:conditionalFormatting>
        <x14:conditionalFormatting xmlns:xm="http://schemas.microsoft.com/office/excel/2006/main">
          <x14:cfRule type="expression" priority="61" id="{A29D879D-8CAA-4F1B-8592-B0374AC2F983}">
            <xm:f>Security!$A$1="NO VBA"</xm:f>
            <x14:dxf>
              <font>
                <color theme="0"/>
              </font>
              <border>
                <vertical/>
                <horizontal/>
              </border>
            </x14:dxf>
          </x14:cfRule>
          <xm:sqref>V6</xm:sqref>
        </x14:conditionalFormatting>
        <x14:conditionalFormatting xmlns:xm="http://schemas.microsoft.com/office/excel/2006/main">
          <x14:cfRule type="expression" priority="60"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53" id="{57EA9CB5-4A03-4848-930B-9D985A56D6D6}">
            <xm:f>Security!$A$1="NO VBA"</xm:f>
            <x14:dxf>
              <font>
                <color theme="0"/>
              </font>
              <border>
                <vertical/>
                <horizontal/>
              </border>
            </x14:dxf>
          </x14:cfRule>
          <xm:sqref>P62</xm:sqref>
        </x14:conditionalFormatting>
        <x14:conditionalFormatting xmlns:xm="http://schemas.microsoft.com/office/excel/2006/main">
          <x14:cfRule type="expression" priority="52" id="{73C94914-A139-4648-91CD-80AAA8BF9D66}">
            <xm:f>Security!$A$1="NO VBA"</xm:f>
            <x14:dxf>
              <font>
                <color theme="0"/>
              </font>
              <border>
                <vertical/>
                <horizontal/>
              </border>
            </x14:dxf>
          </x14:cfRule>
          <xm:sqref>P67</xm:sqref>
        </x14:conditionalFormatting>
        <x14:conditionalFormatting xmlns:xm="http://schemas.microsoft.com/office/excel/2006/main">
          <x14:cfRule type="expression" priority="51" id="{DB82F2D6-F053-41F7-AAFC-16CC469EF4C2}">
            <xm:f>Security!$A$1="NO VBA"</xm:f>
            <x14:dxf>
              <font>
                <color theme="0"/>
              </font>
              <border>
                <vertical/>
                <horizontal/>
              </border>
            </x14:dxf>
          </x14:cfRule>
          <xm:sqref>P72</xm:sqref>
        </x14:conditionalFormatting>
        <x14:conditionalFormatting xmlns:xm="http://schemas.microsoft.com/office/excel/2006/main">
          <x14:cfRule type="expression" priority="50" id="{97E18889-0B1D-4CF4-9806-8A12D7442620}">
            <xm:f>Security!$A$1="NO VBA"</xm:f>
            <x14:dxf>
              <font>
                <color theme="0"/>
              </font>
              <border>
                <vertical/>
                <horizontal/>
              </border>
            </x14:dxf>
          </x14:cfRule>
          <xm:sqref>P76</xm:sqref>
        </x14:conditionalFormatting>
        <x14:conditionalFormatting xmlns:xm="http://schemas.microsoft.com/office/excel/2006/main">
          <x14:cfRule type="expression" priority="49" id="{A79EEE6B-3808-469C-9667-8F4F4BD2F973}">
            <xm:f>Security!$A$1="NO VBA"</xm:f>
            <x14:dxf>
              <font>
                <color theme="0"/>
              </font>
              <border>
                <vertical/>
                <horizontal/>
              </border>
            </x14:dxf>
          </x14:cfRule>
          <xm:sqref>P81</xm:sqref>
        </x14:conditionalFormatting>
        <x14:conditionalFormatting xmlns:xm="http://schemas.microsoft.com/office/excel/2006/main">
          <x14:cfRule type="expression" priority="48" id="{06C818ED-40A0-4EEE-B6B7-E4813360AABF}">
            <xm:f>Security!$A$1="NO VBA"</xm:f>
            <x14:dxf>
              <font>
                <color theme="0"/>
              </font>
              <border>
                <vertical/>
                <horizontal/>
              </border>
            </x14:dxf>
          </x14:cfRule>
          <xm:sqref>P86</xm:sqref>
        </x14:conditionalFormatting>
        <x14:conditionalFormatting xmlns:xm="http://schemas.microsoft.com/office/excel/2006/main">
          <x14:cfRule type="expression" priority="47" id="{D135D4BA-7832-4C9E-98A2-D4A94665A57E}">
            <xm:f>Security!$A$1="NO VBA"</xm:f>
            <x14:dxf>
              <font>
                <color theme="0"/>
              </font>
              <border>
                <vertical/>
                <horizontal/>
              </border>
            </x14:dxf>
          </x14:cfRule>
          <xm:sqref>P91</xm:sqref>
        </x14:conditionalFormatting>
        <x14:conditionalFormatting xmlns:xm="http://schemas.microsoft.com/office/excel/2006/main">
          <x14:cfRule type="expression" priority="46" id="{8D60DA36-23E8-481A-B237-80A434031EAA}">
            <xm:f>Security!$A$1="NO VBA"</xm:f>
            <x14:dxf>
              <font>
                <color theme="0"/>
              </font>
              <border>
                <vertical/>
                <horizontal/>
              </border>
            </x14:dxf>
          </x14:cfRule>
          <xm:sqref>P97</xm:sqref>
        </x14:conditionalFormatting>
        <x14:conditionalFormatting xmlns:xm="http://schemas.microsoft.com/office/excel/2006/main">
          <x14:cfRule type="expression" priority="45" id="{6C78D690-3438-42C1-86AD-037AC753EB27}">
            <xm:f>Security!$A$1="NO VBA"</xm:f>
            <x14:dxf>
              <font>
                <color theme="0"/>
              </font>
              <border>
                <vertical/>
                <horizontal/>
              </border>
            </x14:dxf>
          </x14:cfRule>
          <xm:sqref>P101</xm:sqref>
        </x14:conditionalFormatting>
        <x14:conditionalFormatting xmlns:xm="http://schemas.microsoft.com/office/excel/2006/main">
          <x14:cfRule type="expression" priority="44" id="{E68582C2-EB54-46C5-8F2B-60709A105FA2}">
            <xm:f>Security!$A$1="NO VBA"</xm:f>
            <x14:dxf>
              <font>
                <color theme="0"/>
              </font>
              <border>
                <vertical/>
                <horizontal/>
              </border>
            </x14:dxf>
          </x14:cfRule>
          <xm:sqref>P106</xm:sqref>
        </x14:conditionalFormatting>
        <x14:conditionalFormatting xmlns:xm="http://schemas.microsoft.com/office/excel/2006/main">
          <x14:cfRule type="expression" priority="43" id="{50B1FB18-4CBC-4A27-A4AE-BDCBBCCABE9D}">
            <xm:f>Security!$A$1="NO VBA"</xm:f>
            <x14:dxf>
              <font>
                <color theme="0"/>
              </font>
              <border>
                <vertical/>
                <horizontal/>
              </border>
            </x14:dxf>
          </x14:cfRule>
          <xm:sqref>P110</xm:sqref>
        </x14:conditionalFormatting>
        <x14:conditionalFormatting xmlns:xm="http://schemas.microsoft.com/office/excel/2006/main">
          <x14:cfRule type="expression" priority="42" id="{E1F1352F-0A5F-4ADC-B417-5312CA7D3049}">
            <xm:f>Security!$A$1="NO VBA"</xm:f>
            <x14:dxf>
              <font>
                <color theme="0"/>
              </font>
              <border>
                <vertical/>
                <horizontal/>
              </border>
            </x14:dxf>
          </x14:cfRule>
          <xm:sqref>P114</xm:sqref>
        </x14:conditionalFormatting>
        <x14:conditionalFormatting xmlns:xm="http://schemas.microsoft.com/office/excel/2006/main">
          <x14:cfRule type="expression" priority="41" id="{0C48B664-FF57-4E7D-88BA-BFC94AB9A0D6}">
            <xm:f>Security!$A$1="NO VBA"</xm:f>
            <x14:dxf>
              <font>
                <color theme="0"/>
              </font>
              <border>
                <vertical/>
                <horizontal/>
              </border>
            </x14:dxf>
          </x14:cfRule>
          <xm:sqref>P119</xm:sqref>
        </x14:conditionalFormatting>
        <x14:conditionalFormatting xmlns:xm="http://schemas.microsoft.com/office/excel/2006/main">
          <x14:cfRule type="expression" priority="40" id="{981165A7-C1B0-447B-B86C-58CFF89704E4}">
            <xm:f>Security!$A$1="NO VBA"</xm:f>
            <x14:dxf>
              <font>
                <color theme="0"/>
              </font>
              <border>
                <vertical/>
                <horizontal/>
              </border>
            </x14:dxf>
          </x14:cfRule>
          <xm:sqref>P124</xm:sqref>
        </x14:conditionalFormatting>
        <x14:conditionalFormatting xmlns:xm="http://schemas.microsoft.com/office/excel/2006/main">
          <x14:cfRule type="expression" priority="39" id="{A5F8DDDA-1BF9-4FE4-B91D-6552E39EE139}">
            <xm:f>Security!$A$1="NO VBA"</xm:f>
            <x14:dxf>
              <font>
                <color theme="0"/>
              </font>
              <border>
                <vertical/>
                <horizontal/>
              </border>
            </x14:dxf>
          </x14:cfRule>
          <xm:sqref>P128</xm:sqref>
        </x14:conditionalFormatting>
        <x14:conditionalFormatting xmlns:xm="http://schemas.microsoft.com/office/excel/2006/main">
          <x14:cfRule type="expression" priority="38" id="{A3486581-7C78-4B0F-869F-0F739C31464F}">
            <xm:f>Security!$A$1="NO VBA"</xm:f>
            <x14:dxf>
              <font>
                <color theme="0"/>
              </font>
              <border>
                <vertical/>
                <horizontal/>
              </border>
            </x14:dxf>
          </x14:cfRule>
          <xm:sqref>P133</xm:sqref>
        </x14:conditionalFormatting>
        <x14:conditionalFormatting xmlns:xm="http://schemas.microsoft.com/office/excel/2006/main">
          <x14:cfRule type="expression" priority="37" id="{DD2A23B2-1EE1-47E2-8B68-003771148DEA}">
            <xm:f>Security!$A$1="NO VBA"</xm:f>
            <x14:dxf>
              <font>
                <color theme="0"/>
              </font>
              <border>
                <vertical/>
                <horizontal/>
              </border>
            </x14:dxf>
          </x14:cfRule>
          <xm:sqref>P138</xm:sqref>
        </x14:conditionalFormatting>
        <x14:conditionalFormatting xmlns:xm="http://schemas.microsoft.com/office/excel/2006/main">
          <x14:cfRule type="expression" priority="36" id="{D76DC358-6F52-4A0E-8C9F-BA80314D82C0}">
            <xm:f>Security!$A$1="NO VBA"</xm:f>
            <x14:dxf>
              <font>
                <color theme="0"/>
              </font>
              <border>
                <vertical/>
                <horizontal/>
              </border>
            </x14:dxf>
          </x14:cfRule>
          <xm:sqref>P145</xm:sqref>
        </x14:conditionalFormatting>
        <x14:conditionalFormatting xmlns:xm="http://schemas.microsoft.com/office/excel/2006/main">
          <x14:cfRule type="expression" priority="35" id="{C3A42E95-3140-4C9B-94E4-AC4E3AA624FF}">
            <xm:f>Security!$A$1="NO VBA"</xm:f>
            <x14:dxf>
              <font>
                <color theme="0"/>
              </font>
              <border>
                <vertical/>
                <horizontal/>
              </border>
            </x14:dxf>
          </x14:cfRule>
          <xm:sqref>P151</xm:sqref>
        </x14:conditionalFormatting>
        <x14:conditionalFormatting xmlns:xm="http://schemas.microsoft.com/office/excel/2006/main">
          <x14:cfRule type="expression" priority="33" id="{8D7CB896-4D90-4EB2-808E-28F93E91A3E0}">
            <xm:f>Security!$A$1="NO VBA"</xm:f>
            <x14:dxf>
              <font>
                <color theme="0"/>
              </font>
              <border>
                <vertical/>
                <horizontal/>
              </border>
            </x14:dxf>
          </x14:cfRule>
          <xm:sqref>P198</xm:sqref>
        </x14:conditionalFormatting>
        <x14:conditionalFormatting xmlns:xm="http://schemas.microsoft.com/office/excel/2006/main">
          <x14:cfRule type="expression" priority="32" id="{0E875358-084C-427B-9FD6-477C9D10318E}">
            <xm:f>Security!$A$1="NO VBA"</xm:f>
            <x14:dxf>
              <font>
                <color theme="0"/>
              </font>
              <border>
                <vertical/>
                <horizontal/>
              </border>
            </x14:dxf>
          </x14:cfRule>
          <xm:sqref>D157:O157</xm:sqref>
        </x14:conditionalFormatting>
        <x14:conditionalFormatting xmlns:xm="http://schemas.microsoft.com/office/excel/2006/main">
          <x14:cfRule type="expression" priority="31" id="{D9BA7C7B-B73B-4592-8B51-EAEF65199CFD}">
            <xm:f>Security!$A$1="NO VBA"</xm:f>
            <x14:dxf>
              <font>
                <color theme="0"/>
              </font>
              <border>
                <vertical/>
                <horizontal/>
              </border>
            </x14:dxf>
          </x14:cfRule>
          <xm:sqref>P157</xm:sqref>
        </x14:conditionalFormatting>
        <x14:conditionalFormatting xmlns:xm="http://schemas.microsoft.com/office/excel/2006/main">
          <x14:cfRule type="expression" priority="30" id="{FDC44543-CF9C-43F0-A9B8-D47D23DA5A50}">
            <xm:f>Security!$A$1="NO VBA"</xm:f>
            <x14:dxf>
              <font>
                <color theme="0"/>
              </font>
              <border>
                <vertical/>
                <horizontal/>
              </border>
            </x14:dxf>
          </x14:cfRule>
          <xm:sqref>B164:C164</xm:sqref>
        </x14:conditionalFormatting>
        <x14:conditionalFormatting xmlns:xm="http://schemas.microsoft.com/office/excel/2006/main">
          <x14:cfRule type="expression" priority="29" id="{717AC35C-36FA-48FA-8858-91F77AF2A102}">
            <xm:f>Security!$A$1="NO VBA"</xm:f>
            <x14:dxf>
              <font>
                <color theme="0"/>
              </font>
              <border>
                <vertical/>
                <horizontal/>
              </border>
            </x14:dxf>
          </x14:cfRule>
          <xm:sqref>D164:O164</xm:sqref>
        </x14:conditionalFormatting>
        <x14:conditionalFormatting xmlns:xm="http://schemas.microsoft.com/office/excel/2006/main">
          <x14:cfRule type="expression" priority="28" id="{57E83F62-33A9-4706-91CD-EF4E7AE8419A}">
            <xm:f>Security!$A$1="NO VBA"</xm:f>
            <x14:dxf>
              <font>
                <color theme="0"/>
              </font>
              <border>
                <vertical/>
                <horizontal/>
              </border>
            </x14:dxf>
          </x14:cfRule>
          <xm:sqref>P164</xm:sqref>
        </x14:conditionalFormatting>
        <x14:conditionalFormatting xmlns:xm="http://schemas.microsoft.com/office/excel/2006/main">
          <x14:cfRule type="expression" priority="27" id="{1D71745C-7079-4D0B-BCCE-2F705E8B2B16}">
            <xm:f>Security!$A$1="NO VBA"</xm:f>
            <x14:dxf>
              <font>
                <color theme="0"/>
              </font>
              <border>
                <vertical/>
                <horizontal/>
              </border>
            </x14:dxf>
          </x14:cfRule>
          <xm:sqref>C169</xm:sqref>
        </x14:conditionalFormatting>
        <x14:conditionalFormatting xmlns:xm="http://schemas.microsoft.com/office/excel/2006/main">
          <x14:cfRule type="expression" priority="26" id="{573DFCAF-4F10-46AE-9809-6A819C393F31}">
            <xm:f>Security!$A$1="NO VBA"</xm:f>
            <x14:dxf>
              <font>
                <color theme="0"/>
              </font>
              <border>
                <vertical/>
                <horizontal/>
              </border>
            </x14:dxf>
          </x14:cfRule>
          <xm:sqref>D169:O169</xm:sqref>
        </x14:conditionalFormatting>
        <x14:conditionalFormatting xmlns:xm="http://schemas.microsoft.com/office/excel/2006/main">
          <x14:cfRule type="expression" priority="25" id="{08BC403E-5645-48B3-B223-6338ECF5B35A}">
            <xm:f>Security!$A$1="NO VBA"</xm:f>
            <x14:dxf>
              <font>
                <color theme="0"/>
              </font>
              <border>
                <vertical/>
                <horizontal/>
              </border>
            </x14:dxf>
          </x14:cfRule>
          <xm:sqref>P169</xm:sqref>
        </x14:conditionalFormatting>
        <x14:conditionalFormatting xmlns:xm="http://schemas.microsoft.com/office/excel/2006/main">
          <x14:cfRule type="expression" priority="24" id="{CDB7CB22-32C3-4DA7-9BB7-55321B7168DE}">
            <xm:f>Security!$A$1="NO VBA"</xm:f>
            <x14:dxf>
              <font>
                <color theme="0"/>
              </font>
              <border>
                <vertical/>
                <horizontal/>
              </border>
            </x14:dxf>
          </x14:cfRule>
          <xm:sqref>W6</xm:sqref>
        </x14:conditionalFormatting>
        <x14:conditionalFormatting xmlns:xm="http://schemas.microsoft.com/office/excel/2006/main">
          <x14:cfRule type="expression" priority="22" id="{50E087D5-036F-44A5-BBB3-8289586706AF}">
            <xm:f>Security!$A$1="NO VBA"</xm:f>
            <x14:dxf>
              <font>
                <color theme="0"/>
              </font>
              <border>
                <vertical/>
                <horizontal/>
              </border>
            </x14:dxf>
          </x14:cfRule>
          <xm:sqref>C173</xm:sqref>
        </x14:conditionalFormatting>
        <x14:conditionalFormatting xmlns:xm="http://schemas.microsoft.com/office/excel/2006/main">
          <x14:cfRule type="expression" priority="21" id="{2C4C2525-7C21-4170-A323-4E962FDBF38E}">
            <xm:f>Security!$A$1="NO VBA"</xm:f>
            <x14:dxf>
              <font>
                <color theme="0"/>
              </font>
              <border>
                <vertical/>
                <horizontal/>
              </border>
            </x14:dxf>
          </x14:cfRule>
          <xm:sqref>D173:O173</xm:sqref>
        </x14:conditionalFormatting>
        <x14:conditionalFormatting xmlns:xm="http://schemas.microsoft.com/office/excel/2006/main">
          <x14:cfRule type="expression" priority="20" id="{BA6E6235-10B3-4F86-8F42-B8A3E0B12AAA}">
            <xm:f>Security!$A$1="NO VBA"</xm:f>
            <x14:dxf>
              <font>
                <color theme="0"/>
              </font>
              <border>
                <vertical/>
                <horizontal/>
              </border>
            </x14:dxf>
          </x14:cfRule>
          <xm:sqref>P173</xm:sqref>
        </x14:conditionalFormatting>
        <x14:conditionalFormatting xmlns:xm="http://schemas.microsoft.com/office/excel/2006/main">
          <x14:cfRule type="expression" priority="19" id="{DF1DD268-E783-4C6F-9F51-39A066F73B49}">
            <xm:f>Security!$A$1="NO VBA"</xm:f>
            <x14:dxf>
              <font>
                <color theme="0"/>
              </font>
              <border>
                <vertical/>
                <horizontal/>
              </border>
            </x14:dxf>
          </x14:cfRule>
          <xm:sqref>C178</xm:sqref>
        </x14:conditionalFormatting>
        <x14:conditionalFormatting xmlns:xm="http://schemas.microsoft.com/office/excel/2006/main">
          <x14:cfRule type="expression" priority="18" id="{9FABA559-A8CA-4CFA-B7FD-FD07EF371D95}">
            <xm:f>Security!$A$1="NO VBA"</xm:f>
            <x14:dxf>
              <font>
                <color theme="0"/>
              </font>
              <border>
                <vertical/>
                <horizontal/>
              </border>
            </x14:dxf>
          </x14:cfRule>
          <xm:sqref>D178:O178</xm:sqref>
        </x14:conditionalFormatting>
        <x14:conditionalFormatting xmlns:xm="http://schemas.microsoft.com/office/excel/2006/main">
          <x14:cfRule type="expression" priority="17" id="{0BA0C8C3-CE56-4ACA-90C0-A2ACDDF6FA21}">
            <xm:f>Security!$A$1="NO VBA"</xm:f>
            <x14:dxf>
              <font>
                <color theme="0"/>
              </font>
              <border>
                <vertical/>
                <horizontal/>
              </border>
            </x14:dxf>
          </x14:cfRule>
          <xm:sqref>P178</xm:sqref>
        </x14:conditionalFormatting>
        <x14:conditionalFormatting xmlns:xm="http://schemas.microsoft.com/office/excel/2006/main">
          <x14:cfRule type="expression" priority="16" id="{AC2C341A-A4E0-4EA4-808E-31C51EB153B9}">
            <xm:f>Security!$A$1="NO VBA"</xm:f>
            <x14:dxf>
              <font>
                <color theme="0"/>
              </font>
              <border>
                <vertical/>
                <horizontal/>
              </border>
            </x14:dxf>
          </x14:cfRule>
          <xm:sqref>C183</xm:sqref>
        </x14:conditionalFormatting>
        <x14:conditionalFormatting xmlns:xm="http://schemas.microsoft.com/office/excel/2006/main">
          <x14:cfRule type="expression" priority="15" id="{48BA94AC-B811-473F-B96E-C3FBA3B16212}">
            <xm:f>Security!$A$1="NO VBA"</xm:f>
            <x14:dxf>
              <font>
                <color theme="0"/>
              </font>
              <border>
                <vertical/>
                <horizontal/>
              </border>
            </x14:dxf>
          </x14:cfRule>
          <xm:sqref>D183:O183</xm:sqref>
        </x14:conditionalFormatting>
        <x14:conditionalFormatting xmlns:xm="http://schemas.microsoft.com/office/excel/2006/main">
          <x14:cfRule type="expression" priority="14" id="{12794AC0-F5A1-4CA8-98B1-60ED6E350A56}">
            <xm:f>Security!$A$1="NO VBA"</xm:f>
            <x14:dxf>
              <font>
                <color theme="0"/>
              </font>
              <border>
                <vertical/>
                <horizontal/>
              </border>
            </x14:dxf>
          </x14:cfRule>
          <xm:sqref>P183</xm:sqref>
        </x14:conditionalFormatting>
        <x14:conditionalFormatting xmlns:xm="http://schemas.microsoft.com/office/excel/2006/main">
          <x14:cfRule type="expression" priority="10" id="{9A2C555B-40D9-451C-97E5-4798563A0A53}">
            <xm:f>Security!$A$1="NO VBA"</xm:f>
            <x14:dxf>
              <font>
                <color theme="0"/>
              </font>
              <border>
                <vertical/>
                <horizontal/>
              </border>
            </x14:dxf>
          </x14:cfRule>
          <xm:sqref>C188</xm:sqref>
        </x14:conditionalFormatting>
        <x14:conditionalFormatting xmlns:xm="http://schemas.microsoft.com/office/excel/2006/main">
          <x14:cfRule type="expression" priority="9" id="{7E368F59-BDA0-4502-8249-54FC031257BB}">
            <xm:f>Security!$A$1="NO VBA"</xm:f>
            <x14:dxf>
              <font>
                <color theme="0"/>
              </font>
              <border>
                <vertical/>
                <horizontal/>
              </border>
            </x14:dxf>
          </x14:cfRule>
          <xm:sqref>D188:O188</xm:sqref>
        </x14:conditionalFormatting>
        <x14:conditionalFormatting xmlns:xm="http://schemas.microsoft.com/office/excel/2006/main">
          <x14:cfRule type="expression" priority="8" id="{6EB0E0A4-00E8-4643-8B23-4DD6D3CC989B}">
            <xm:f>Security!$A$1="NO VBA"</xm:f>
            <x14:dxf>
              <font>
                <color theme="0"/>
              </font>
              <border>
                <vertical/>
                <horizontal/>
              </border>
            </x14:dxf>
          </x14:cfRule>
          <xm:sqref>P188</xm:sqref>
        </x14:conditionalFormatting>
        <x14:conditionalFormatting xmlns:xm="http://schemas.microsoft.com/office/excel/2006/main">
          <x14:cfRule type="expression" priority="6" id="{3D33BADA-6010-4525-BB4A-7ADAA75274F2}">
            <xm:f>Security!$A$1="NO VBA"</xm:f>
            <x14:dxf>
              <font>
                <color theme="0"/>
              </font>
              <border>
                <vertical/>
                <horizontal/>
              </border>
            </x14:dxf>
          </x14:cfRule>
          <xm:sqref>D193:O193</xm:sqref>
        </x14:conditionalFormatting>
        <x14:conditionalFormatting xmlns:xm="http://schemas.microsoft.com/office/excel/2006/main">
          <x14:cfRule type="expression" priority="5" id="{E77E04FE-29F4-4567-B7BE-58687ADDE315}">
            <xm:f>Security!$A$1="NO VBA"</xm:f>
            <x14:dxf>
              <font>
                <color theme="0"/>
              </font>
              <border>
                <vertical/>
                <horizontal/>
              </border>
            </x14:dxf>
          </x14:cfRule>
          <xm:sqref>P193</xm:sqref>
        </x14:conditionalFormatting>
        <x14:conditionalFormatting xmlns:xm="http://schemas.microsoft.com/office/excel/2006/main">
          <x14:cfRule type="expression" priority="4" id="{4A8FBDCB-EB97-497E-9149-C491172A9C9C}">
            <xm:f>Security!$A$1="NO VBA"</xm:f>
            <x14:dxf>
              <font>
                <color theme="0"/>
              </font>
              <border>
                <vertical/>
                <horizontal/>
              </border>
            </x14:dxf>
          </x14:cfRule>
          <xm:sqref>C193</xm:sqref>
        </x14:conditionalFormatting>
        <x14:conditionalFormatting xmlns:xm="http://schemas.microsoft.com/office/excel/2006/main">
          <x14:cfRule type="expression" priority="3" id="{37D837C5-BDA4-4A5C-981E-37DE8C0BD711}">
            <xm:f>Security!$A$1="NO VBA"</xm:f>
            <x14:dxf>
              <font>
                <color theme="0"/>
              </font>
              <border>
                <vertical/>
                <horizontal/>
              </border>
            </x14:dxf>
          </x14:cfRule>
          <xm:sqref>B11</xm:sqref>
        </x14:conditionalFormatting>
        <x14:conditionalFormatting xmlns:xm="http://schemas.microsoft.com/office/excel/2006/main">
          <x14:cfRule type="expression" priority="2" id="{6AD0275D-06D7-4A2F-944F-E451F705A068}">
            <xm:f>Security!$A$1="NO VBA"</xm:f>
            <x14:dxf>
              <font>
                <color theme="0"/>
              </font>
              <border>
                <vertical/>
                <horizontal/>
              </border>
            </x14:dxf>
          </x14:cfRule>
          <xm:sqref>R11</xm:sqref>
        </x14:conditionalFormatting>
        <x14:conditionalFormatting xmlns:xm="http://schemas.microsoft.com/office/excel/2006/main">
          <x14:cfRule type="expression" priority="1" id="{124FF43C-D819-4F3C-99E7-89DAB29F522E}">
            <xm:f>Security!$A$1="NO VBA"</xm:f>
            <x14:dxf>
              <font>
                <color theme="0"/>
              </font>
              <border>
                <vertical/>
                <horizontal/>
              </border>
            </x14:dxf>
          </x14:cfRule>
          <xm:sqref>V11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71351B2-004C-4306-ADA0-02C528AA95BA}">
          <x14:formula1>
            <xm:f>Sheet_ChiPhiKD!$I$14:$I$16</xm:f>
          </x14:formula1>
          <xm:sqref>B92:B93 B89:B90 B87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V56"/>
  <sheetViews>
    <sheetView showGridLines="0" workbookViewId="0">
      <selection activeCell="F9" sqref="F9"/>
    </sheetView>
  </sheetViews>
  <sheetFormatPr defaultRowHeight="18" customHeight="1" outlineLevelRow="2" x14ac:dyDescent="0.3"/>
  <cols>
    <col min="1" max="1" width="9.625" style="7" customWidth="1"/>
    <col min="2" max="2" width="31.125" style="7" customWidth="1"/>
    <col min="3" max="3" width="11.75" style="7" bestFit="1" customWidth="1"/>
    <col min="4" max="4" width="10.625" style="7" bestFit="1" customWidth="1"/>
    <col min="5" max="6" width="10.5" style="7" bestFit="1" customWidth="1"/>
    <col min="7" max="7" width="11" style="7" bestFit="1" customWidth="1"/>
    <col min="8" max="8" width="10.375" style="7" bestFit="1" customWidth="1"/>
    <col min="9" max="10" width="10.5" style="7" bestFit="1" customWidth="1"/>
    <col min="11" max="11" width="10.75" style="7" bestFit="1" customWidth="1"/>
    <col min="12" max="12" width="10.375" style="7" bestFit="1" customWidth="1"/>
    <col min="13" max="13" width="10.875" style="7" bestFit="1" customWidth="1"/>
    <col min="14" max="14" width="11" style="7" bestFit="1" customWidth="1"/>
    <col min="15" max="15" width="10.875" style="7" bestFit="1" customWidth="1"/>
    <col min="16" max="17" width="9" style="7"/>
    <col min="18" max="18" width="26.125" style="7" bestFit="1" customWidth="1"/>
    <col min="19" max="20" width="9" style="7"/>
    <col min="21" max="21" width="26.125" style="7" bestFit="1" customWidth="1"/>
    <col min="22" max="22" width="10.125" style="7" bestFit="1" customWidth="1"/>
    <col min="23" max="16384" width="9" style="7"/>
  </cols>
  <sheetData>
    <row r="1" spans="2:22" ht="18" customHeight="1" x14ac:dyDescent="0.3">
      <c r="B1" s="240"/>
      <c r="C1" s="7" t="s">
        <v>2</v>
      </c>
      <c r="D1" s="240">
        <v>1</v>
      </c>
      <c r="E1" s="240">
        <v>2</v>
      </c>
      <c r="F1" s="240">
        <v>3</v>
      </c>
      <c r="G1" s="240">
        <v>4</v>
      </c>
      <c r="H1" s="240">
        <v>5</v>
      </c>
      <c r="I1" s="240">
        <v>6</v>
      </c>
      <c r="J1" s="240">
        <v>7</v>
      </c>
      <c r="K1" s="240">
        <v>8</v>
      </c>
      <c r="L1" s="240">
        <v>9</v>
      </c>
      <c r="M1" s="240">
        <v>10</v>
      </c>
      <c r="N1" s="240">
        <v>11</v>
      </c>
      <c r="O1" s="240">
        <v>12</v>
      </c>
      <c r="P1" s="240">
        <v>13</v>
      </c>
      <c r="Q1" s="240"/>
      <c r="R1" s="240"/>
      <c r="S1" s="321"/>
      <c r="T1" s="240"/>
      <c r="U1" s="240"/>
      <c r="V1" s="554"/>
    </row>
    <row r="2" spans="2:22" ht="18" customHeight="1" x14ac:dyDescent="0.3">
      <c r="B2" s="240"/>
      <c r="C2" s="321"/>
      <c r="D2" s="84">
        <f>DATE($C$2,D1,1)</f>
        <v>1</v>
      </c>
      <c r="E2" s="84">
        <f t="shared" ref="E2:P2" si="0">DATE($C$2,E1,1)</f>
        <v>32</v>
      </c>
      <c r="F2" s="84">
        <f t="shared" si="0"/>
        <v>61</v>
      </c>
      <c r="G2" s="84">
        <f t="shared" si="0"/>
        <v>92</v>
      </c>
      <c r="H2" s="84">
        <f t="shared" si="0"/>
        <v>122</v>
      </c>
      <c r="I2" s="84">
        <f t="shared" si="0"/>
        <v>153</v>
      </c>
      <c r="J2" s="84">
        <f t="shared" si="0"/>
        <v>183</v>
      </c>
      <c r="K2" s="84">
        <f t="shared" si="0"/>
        <v>214</v>
      </c>
      <c r="L2" s="84">
        <f t="shared" si="0"/>
        <v>245</v>
      </c>
      <c r="M2" s="84">
        <f t="shared" si="0"/>
        <v>275</v>
      </c>
      <c r="N2" s="84">
        <f t="shared" si="0"/>
        <v>306</v>
      </c>
      <c r="O2" s="84">
        <f t="shared" si="0"/>
        <v>336</v>
      </c>
      <c r="P2" s="84">
        <f t="shared" si="0"/>
        <v>367</v>
      </c>
      <c r="Q2" s="240"/>
      <c r="R2" s="240"/>
    </row>
    <row r="3" spans="2:22" ht="18" customHeight="1" x14ac:dyDescent="0.3">
      <c r="B3" s="4" t="s">
        <v>874</v>
      </c>
      <c r="C3" s="4" t="s">
        <v>351</v>
      </c>
      <c r="D3" s="16" t="s">
        <v>268</v>
      </c>
      <c r="E3" s="16" t="s">
        <v>269</v>
      </c>
      <c r="F3" s="16" t="s">
        <v>270</v>
      </c>
      <c r="G3" s="16" t="s">
        <v>271</v>
      </c>
      <c r="H3" s="16" t="s">
        <v>272</v>
      </c>
      <c r="I3" s="16" t="s">
        <v>273</v>
      </c>
      <c r="J3" s="16" t="s">
        <v>274</v>
      </c>
      <c r="K3" s="16" t="s">
        <v>275</v>
      </c>
      <c r="L3" s="16" t="s">
        <v>276</v>
      </c>
      <c r="M3" s="16" t="s">
        <v>277</v>
      </c>
      <c r="N3" s="16" t="s">
        <v>278</v>
      </c>
      <c r="O3" s="16" t="s">
        <v>279</v>
      </c>
      <c r="P3" s="4" t="s">
        <v>280</v>
      </c>
      <c r="Q3" s="240"/>
      <c r="R3" s="4" t="s">
        <v>874</v>
      </c>
      <c r="S3" s="4" t="s">
        <v>873</v>
      </c>
      <c r="T3" s="240"/>
      <c r="U3" s="4" t="s">
        <v>874</v>
      </c>
      <c r="V3" s="4" t="s">
        <v>873</v>
      </c>
    </row>
    <row r="4" spans="2:22" ht="18" customHeight="1" x14ac:dyDescent="0.3">
      <c r="B4" s="74" t="s">
        <v>352</v>
      </c>
      <c r="C4" s="322"/>
      <c r="D4" s="323"/>
      <c r="E4" s="323"/>
      <c r="F4" s="323"/>
      <c r="G4" s="323"/>
      <c r="H4" s="323"/>
      <c r="I4" s="323"/>
      <c r="J4" s="323"/>
      <c r="K4" s="323"/>
      <c r="L4" s="323"/>
      <c r="M4" s="323"/>
      <c r="N4" s="323"/>
      <c r="O4" s="323"/>
      <c r="P4" s="324"/>
      <c r="Q4" s="240"/>
      <c r="R4" s="74" t="s">
        <v>352</v>
      </c>
      <c r="S4" s="323"/>
      <c r="T4" s="240"/>
      <c r="U4" s="74" t="s">
        <v>352</v>
      </c>
      <c r="V4" s="323"/>
    </row>
    <row r="5" spans="2:22" ht="18" customHeight="1" outlineLevel="1" x14ac:dyDescent="0.3">
      <c r="B5" s="74" t="s">
        <v>73</v>
      </c>
      <c r="C5" s="325" cm="1">
        <f t="array" ref="C5">+IFERROR(SUM(
_xlfn._xlws.FILTER(Table_Main[Số lượng],
NOT(ISBLANK(Table_Main[Đơn bán]))*
(Table_Main[Loại] = "Xuất")*
(Table_Main[Ngày lên đơn] &gt;= D$2)*
(Table_Main[Ngày lên đơn] &lt;P$2)
)),0)
-IFERROR(SUM(
_xlfn._xlws.FILTER(Table_Main[Số lượng],
NOT(ISBLANK(Table_Main[Đơn bán]))*
(Table_Main[Loại] = "Nhập")*
(Table_Main[Ngày lên đơn] &gt;= D$2)*
(Table_Main[Ngày lên đơn] &lt; P$2)
)),0)</f>
        <v>0</v>
      </c>
      <c r="D5" s="325" cm="1">
        <f t="array" ref="D5">+IFERROR(SUM(
_xlfn._xlws.FILTER(Table_Main[Số lượng],
NOT(ISBLANK(Table_Main[Đơn bán]))*
(Table_Main[Loại] = "Xuất")*
(Table_Main[Ngày lên đơn] &gt;= D$2)*
(Table_Main[Ngày lên đơn] &lt;E$2)
)),0)
-IFERROR(SUM(
_xlfn._xlws.FILTER(Table_Main[Số lượng],
NOT(ISBLANK(Table_Main[Đơn bán]))*
(Table_Main[Loại] = "Nhập")*
(Table_Main[Ngày lên đơn] &gt;= D$2)*
(Table_Main[Ngày lên đơn] &lt; E$2)
)),0)</f>
        <v>0</v>
      </c>
      <c r="E5" s="325" cm="1">
        <f t="array" ref="E5">+IFERROR(SUM(
_xlfn._xlws.FILTER(Table_Main[Số lượng],
NOT(ISBLANK(Table_Main[Đơn bán]))*
(Table_Main[Loại] = "Xuất")*
(Table_Main[Ngày lên đơn] &gt;= E$2)*
(Table_Main[Ngày lên đơn] &lt;F$2)
)),0)
-IFERROR(SUM(
_xlfn._xlws.FILTER(Table_Main[Số lượng],
NOT(ISBLANK(Table_Main[Đơn bán]))*
(Table_Main[Loại] = "Nhập")*
(Table_Main[Ngày lên đơn] &gt;= E$2)*
(Table_Main[Ngày lên đơn] &lt; F$2)
)),0)</f>
        <v>0</v>
      </c>
      <c r="F5" s="325" cm="1">
        <f t="array" ref="F5">+IFERROR(SUM(
_xlfn._xlws.FILTER(Table_Main[Số lượng],
NOT(ISBLANK(Table_Main[Đơn bán]))*
(Table_Main[Loại] = "Xuất")*
(Table_Main[Ngày lên đơn] &gt;= F$2)*
(Table_Main[Ngày lên đơn] &lt;G$2)
)),0)
-IFERROR(SUM(
_xlfn._xlws.FILTER(Table_Main[Số lượng],
NOT(ISBLANK(Table_Main[Đơn bán]))*
(Table_Main[Loại] = "Nhập")*
(Table_Main[Ngày lên đơn] &gt;= F$2)*
(Table_Main[Ngày lên đơn] &lt; G$2)
)),0)</f>
        <v>0</v>
      </c>
      <c r="G5" s="325" cm="1">
        <f t="array" ref="G5">+IFERROR(SUM(
_xlfn._xlws.FILTER(Table_Main[Số lượng],
NOT(ISBLANK(Table_Main[Đơn bán]))*
(Table_Main[Loại] = "Xuất")*
(Table_Main[Ngày lên đơn] &gt;= G$2)*
(Table_Main[Ngày lên đơn] &lt;H$2)
)),0)
-IFERROR(SUM(
_xlfn._xlws.FILTER(Table_Main[Số lượng],
NOT(ISBLANK(Table_Main[Đơn bán]))*
(Table_Main[Loại] = "Nhập")*
(Table_Main[Ngày lên đơn] &gt;= G$2)*
(Table_Main[Ngày lên đơn] &lt; H$2)
)),0)</f>
        <v>0</v>
      </c>
      <c r="H5" s="325" cm="1">
        <f t="array" ref="H5">+IFERROR(SUM(
_xlfn._xlws.FILTER(Table_Main[Số lượng],
NOT(ISBLANK(Table_Main[Đơn bán]))*
(Table_Main[Loại] = "Xuất")*
(Table_Main[Ngày lên đơn] &gt;= H$2)*
(Table_Main[Ngày lên đơn] &lt;I$2)
)),0)
-IFERROR(SUM(
_xlfn._xlws.FILTER(Table_Main[Số lượng],
NOT(ISBLANK(Table_Main[Đơn bán]))*
(Table_Main[Loại] = "Nhập")*
(Table_Main[Ngày lên đơn] &gt;= H$2)*
(Table_Main[Ngày lên đơn] &lt; I$2)
)),0)</f>
        <v>0</v>
      </c>
      <c r="I5" s="325" cm="1">
        <f t="array" ref="I5">+IFERROR(SUM(
_xlfn._xlws.FILTER(Table_Main[Số lượng],
NOT(ISBLANK(Table_Main[Đơn bán]))*
(Table_Main[Loại] = "Xuất")*
(Table_Main[Ngày lên đơn] &gt;= I$2)*
(Table_Main[Ngày lên đơn] &lt;J$2)
)),0)
-IFERROR(SUM(
_xlfn._xlws.FILTER(Table_Main[Số lượng],
NOT(ISBLANK(Table_Main[Đơn bán]))*
(Table_Main[Loại] = "Nhập")*
(Table_Main[Ngày lên đơn] &gt;= I$2)*
(Table_Main[Ngày lên đơn] &lt; J$2)
)),0)</f>
        <v>0</v>
      </c>
      <c r="J5" s="325" cm="1">
        <f t="array" ref="J5">+IFERROR(SUM(
_xlfn._xlws.FILTER(Table_Main[Số lượng],
NOT(ISBLANK(Table_Main[Đơn bán]))*
(Table_Main[Loại] = "Xuất")*
(Table_Main[Ngày lên đơn] &gt;= J$2)*
(Table_Main[Ngày lên đơn] &lt;K$2)
)),0)
-IFERROR(SUM(
_xlfn._xlws.FILTER(Table_Main[Số lượng],
NOT(ISBLANK(Table_Main[Đơn bán]))*
(Table_Main[Loại] = "Nhập")*
(Table_Main[Ngày lên đơn] &gt;= J$2)*
(Table_Main[Ngày lên đơn] &lt; K$2)
)),0)</f>
        <v>0</v>
      </c>
      <c r="K5" s="325" cm="1">
        <f t="array" ref="K5">+IFERROR(SUM(
_xlfn._xlws.FILTER(Table_Main[Số lượng],
NOT(ISBLANK(Table_Main[Đơn bán]))*
(Table_Main[Loại] = "Xuất")*
(Table_Main[Ngày lên đơn] &gt;= K$2)*
(Table_Main[Ngày lên đơn] &lt;L$2)
)),0)
-IFERROR(SUM(
_xlfn._xlws.FILTER(Table_Main[Số lượng],
NOT(ISBLANK(Table_Main[Đơn bán]))*
(Table_Main[Loại] = "Nhập")*
(Table_Main[Ngày lên đơn] &gt;= K$2)*
(Table_Main[Ngày lên đơn] &lt; L$2)
)),0)</f>
        <v>0</v>
      </c>
      <c r="L5" s="325" cm="1">
        <f t="array" ref="L5">+IFERROR(SUM(
_xlfn._xlws.FILTER(Table_Main[Số lượng],
NOT(ISBLANK(Table_Main[Đơn bán]))*
(Table_Main[Loại] = "Xuất")*
(Table_Main[Ngày lên đơn] &gt;= L$2)*
(Table_Main[Ngày lên đơn] &lt;M$2)
)),0)
-IFERROR(SUM(
_xlfn._xlws.FILTER(Table_Main[Số lượng],
NOT(ISBLANK(Table_Main[Đơn bán]))*
(Table_Main[Loại] = "Nhập")*
(Table_Main[Ngày lên đơn] &gt;= L$2)*
(Table_Main[Ngày lên đơn] &lt; M$2)
)),0)</f>
        <v>0</v>
      </c>
      <c r="M5" s="325" cm="1">
        <f t="array" ref="M5">+IFERROR(SUM(
_xlfn._xlws.FILTER(Table_Main[Số lượng],
NOT(ISBLANK(Table_Main[Đơn bán]))*
(Table_Main[Loại] = "Xuất")*
(Table_Main[Ngày lên đơn] &gt;= M$2)*
(Table_Main[Ngày lên đơn] &lt;N$2)
)),0)
-IFERROR(SUM(
_xlfn._xlws.FILTER(Table_Main[Số lượng],
NOT(ISBLANK(Table_Main[Đơn bán]))*
(Table_Main[Loại] = "Nhập")*
(Table_Main[Ngày lên đơn] &gt;= M$2)*
(Table_Main[Ngày lên đơn] &lt; N$2)
)),0)</f>
        <v>0</v>
      </c>
      <c r="N5" s="325" cm="1">
        <f t="array" ref="N5">+IFERROR(SUM(
_xlfn._xlws.FILTER(Table_Main[Số lượng],
NOT(ISBLANK(Table_Main[Đơn bán]))*
(Table_Main[Loại] = "Xuất")*
(Table_Main[Ngày lên đơn] &gt;= N$2)*
(Table_Main[Ngày lên đơn] &lt;O$2)
)),0)
-IFERROR(SUM(
_xlfn._xlws.FILTER(Table_Main[Số lượng],
NOT(ISBLANK(Table_Main[Đơn bán]))*
(Table_Main[Loại] = "Nhập")*
(Table_Main[Ngày lên đơn] &gt;= N$2)*
(Table_Main[Ngày lên đơn] &lt; O$2)
)),0)</f>
        <v>0</v>
      </c>
      <c r="O5" s="325" cm="1">
        <f t="array" ref="O5">+IFERROR(SUM(
_xlfn._xlws.FILTER(Table_Main[Số lượng],
NOT(ISBLANK(Table_Main[Đơn bán]))*
(Table_Main[Loại] = "Xuất")*
(Table_Main[Ngày lên đơn] &gt;= O$2)*
(Table_Main[Ngày lên đơn] &lt;P$2)
)),0)
-IFERROR(SUM(
_xlfn._xlws.FILTER(Table_Main[Số lượng],
NOT(ISBLANK(Table_Main[Đơn bán]))*
(Table_Main[Loại] = "Nhập")*
(Table_Main[Ngày lên đơn] &gt;= O$2)*
(Table_Main[Ngày lên đơn] &lt; P$2)
)),0)</f>
        <v>0</v>
      </c>
      <c r="P5" s="323"/>
      <c r="Q5" s="240"/>
      <c r="R5" s="74" t="s">
        <v>73</v>
      </c>
      <c r="S5" s="325" cm="1">
        <f t="array" ref="S5">+IFERROR(SUM(
_xlfn._xlws.FILTER(Table_Main[Số lượng],
NOT(ISBLANK(Table_Main[Đơn bán]))*
(Table_Main[Loại] = "Xuất")*
(Table_Main[Ngày lên đơn] &gt;= DATE(S$1,1,1))*
(Table_Main[Ngày lên đơn] &lt;DATE(S$1+1,1,1))
)),0)
-IFERROR(SUM(
_xlfn._xlws.FILTER(Table_Main[Số lượng],
NOT(ISBLANK(Table_Main[Đơn bán]))*
(Table_Main[Loại] = "Nhập")*
(Table_Main[Ngày lên đơn] &gt;= DATE(S$1,1,1))*
(Table_Main[Ngày lên đơn] &lt;DATE(S$1+1,1,1))
)),0)</f>
        <v>0</v>
      </c>
      <c r="T5" s="240"/>
      <c r="U5" s="74" t="s">
        <v>73</v>
      </c>
      <c r="V5" s="325" cm="1">
        <f t="array" ref="V5">+IFERROR(SUM(
_xlfn._xlws.FILTER(Table_Main[Số lượng],
NOT(ISBLANK(Table_Main[Đơn bán]))*
(Table_Main[Loại] = "Xuất")*
(Table_Main[Ngày lên đơn] &gt;= V$1)*
(Table_Main[Ngày lên đơn] &lt;DATE(YEAR(V$1),MONTH(V$1)+1,1))
)),0)
-IFERROR(SUM(
_xlfn._xlws.FILTER(Table_Main[Số lượng],
NOT(ISBLANK(Table_Main[Đơn bán]))*
(Table_Main[Loại] = "Nhập")*
(Table_Main[Ngày lên đơn] &gt;= V$1)*
(Table_Main[Ngày lên đơn] &lt;DATE(YEAR(V$1),MONTH(V$1)+1,1))
)),0)</f>
        <v>0</v>
      </c>
    </row>
    <row r="6" spans="2:22" ht="18" customHeight="1" outlineLevel="1" x14ac:dyDescent="0.3">
      <c r="B6" s="87" t="s">
        <v>281</v>
      </c>
      <c r="C6" s="104" t="e">
        <f>(-C20/(C18/C5))/12</f>
        <v>#DIV/0!</v>
      </c>
      <c r="D6" s="104" t="e">
        <f t="shared" ref="D6:O6" si="1">(-D20/(D18/D5))</f>
        <v>#DIV/0!</v>
      </c>
      <c r="E6" s="104" t="e">
        <f t="shared" si="1"/>
        <v>#DIV/0!</v>
      </c>
      <c r="F6" s="104" t="e">
        <f t="shared" si="1"/>
        <v>#DIV/0!</v>
      </c>
      <c r="G6" s="104" t="e">
        <f t="shared" si="1"/>
        <v>#DIV/0!</v>
      </c>
      <c r="H6" s="104" t="e">
        <f t="shared" si="1"/>
        <v>#DIV/0!</v>
      </c>
      <c r="I6" s="104" t="e">
        <f t="shared" si="1"/>
        <v>#DIV/0!</v>
      </c>
      <c r="J6" s="104" t="e">
        <f t="shared" si="1"/>
        <v>#DIV/0!</v>
      </c>
      <c r="K6" s="104" t="e">
        <f t="shared" si="1"/>
        <v>#DIV/0!</v>
      </c>
      <c r="L6" s="104" t="e">
        <f t="shared" si="1"/>
        <v>#DIV/0!</v>
      </c>
      <c r="M6" s="104" t="e">
        <f t="shared" si="1"/>
        <v>#DIV/0!</v>
      </c>
      <c r="N6" s="104" t="e">
        <f t="shared" si="1"/>
        <v>#DIV/0!</v>
      </c>
      <c r="O6" s="104" t="e">
        <f t="shared" si="1"/>
        <v>#DIV/0!</v>
      </c>
      <c r="P6" s="326"/>
      <c r="Q6" s="240"/>
      <c r="R6" s="87" t="s">
        <v>281</v>
      </c>
      <c r="S6" s="104" t="e">
        <f>(-S20/(S18/S5))/12</f>
        <v>#DIV/0!</v>
      </c>
      <c r="T6" s="240"/>
      <c r="U6" s="87" t="s">
        <v>281</v>
      </c>
      <c r="V6" s="104" t="e">
        <f>(-V20/(V18/V5))</f>
        <v>#DIV/0!</v>
      </c>
    </row>
    <row r="7" spans="2:22" ht="18" customHeight="1" outlineLevel="1" x14ac:dyDescent="0.3">
      <c r="B7" s="87" t="s">
        <v>282</v>
      </c>
      <c r="C7" s="104" t="e">
        <f>(-C20/(C18/C5))/365</f>
        <v>#DIV/0!</v>
      </c>
      <c r="D7" s="104" t="e">
        <f t="shared" ref="D7:O7" si="2">D6/_xlfn.DAYS(E2,D2)</f>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326"/>
      <c r="Q7" s="240"/>
      <c r="R7" s="87" t="s">
        <v>282</v>
      </c>
      <c r="S7" s="104" t="e">
        <f>S6/(365.25/12)</f>
        <v>#DIV/0!</v>
      </c>
      <c r="T7" s="240"/>
      <c r="U7" s="87" t="s">
        <v>282</v>
      </c>
      <c r="V7" s="104" t="e">
        <f>V6/_xlfn.DAYS(DATE(YEAR(V$1),MONTH(V$1)+1,1),V$1)</f>
        <v>#DIV/0!</v>
      </c>
    </row>
    <row r="8" spans="2:22" ht="18" customHeight="1" outlineLevel="1" x14ac:dyDescent="0.3">
      <c r="B8" s="54" t="s">
        <v>75</v>
      </c>
      <c r="C8" s="101" t="e">
        <f>(C5/365)/C7-1</f>
        <v>#DIV/0!</v>
      </c>
      <c r="D8" s="101" t="e">
        <f t="shared" ref="D8:O8" si="3">(D5/_xlfn.DAYS(E2,D2))/D7-1</f>
        <v>#DIV/0!</v>
      </c>
      <c r="E8" s="101" t="e">
        <f t="shared" si="3"/>
        <v>#DIV/0!</v>
      </c>
      <c r="F8" s="101" t="e">
        <f t="shared" si="3"/>
        <v>#DIV/0!</v>
      </c>
      <c r="G8" s="101" t="e">
        <f t="shared" si="3"/>
        <v>#DIV/0!</v>
      </c>
      <c r="H8" s="101" t="e">
        <f t="shared" si="3"/>
        <v>#DIV/0!</v>
      </c>
      <c r="I8" s="101" t="e">
        <f t="shared" si="3"/>
        <v>#DIV/0!</v>
      </c>
      <c r="J8" s="101" t="e">
        <f t="shared" si="3"/>
        <v>#DIV/0!</v>
      </c>
      <c r="K8" s="101" t="e">
        <f t="shared" si="3"/>
        <v>#DIV/0!</v>
      </c>
      <c r="L8" s="101" t="e">
        <f t="shared" si="3"/>
        <v>#DIV/0!</v>
      </c>
      <c r="M8" s="101" t="e">
        <f t="shared" si="3"/>
        <v>#DIV/0!</v>
      </c>
      <c r="N8" s="101" t="e">
        <f t="shared" si="3"/>
        <v>#DIV/0!</v>
      </c>
      <c r="O8" s="101" t="e">
        <f t="shared" si="3"/>
        <v>#DIV/0!</v>
      </c>
      <c r="P8" s="326"/>
      <c r="Q8" s="240"/>
      <c r="R8" s="54" t="s">
        <v>75</v>
      </c>
      <c r="S8" s="210" t="e">
        <f>(S5/_xlfn.DAYS(DATE(S1+1,1,1), DATE(S1,1,1)))/S7-1</f>
        <v>#DIV/0!</v>
      </c>
      <c r="T8" s="240"/>
      <c r="U8" s="54" t="s">
        <v>75</v>
      </c>
      <c r="V8" s="110" t="e">
        <f>(V5/_xlfn.DAYS(DATE(YEAR(V$1),MONTH(V$1)+1,1),V$1))/V7-1</f>
        <v>#DIV/0!</v>
      </c>
    </row>
    <row r="9" spans="2:22" ht="18" customHeight="1" outlineLevel="1" x14ac:dyDescent="0.3">
      <c r="B9" s="74" t="s">
        <v>363</v>
      </c>
      <c r="C9" s="327" cm="1">
        <f t="array" ref="C9" xml:space="preserve">
+IFERROR(SUM(
_xlfn._xlws.FILTER(Table_DonBan[Doanh thu ròng],
(ISBLANK(Table_DonBan[Phân bổ từ]))*
(ISBLANK(Table_DonBan[Phân bổ đến]))*
(Table_Main[Ngày lên đơn] &gt;= DATE(C$2, 1, 1))*
(Table_Main[Ngày lên đơn] &lt; DATE(C$2+1, 1, 1))
)),0)
+IFERROR(SUMPRODUCT(
_xlfn._xlws.FILTER(Table_DonBan[Doanh thu ròng],
(NOT(ISBLANK(Table_DonBan[Phân bổ từ])))*
(NOT(ISBLANK(Table_DonBan[Phân bổ đến])))*
(Table_DonBan[Phân bổ từ]&lt;DATE(C$2+1, 1, 1))*
(Table_DonBan[Phân bổ đến]&gt;DATE(C$2, 1, 1))
),
_xlfn._xlws.FILTER(
ROUND((DATE(C$2+1, 1, 1) - 1 - Table_DonBan[Phân bổ từ]) / (362.25 / 12 ), 0),
(NOT(ISBLANK(Table_DonBan[Phân bổ từ])))*
(NOT(ISBLANK(Table_DonBan[Phân bổ đến])))*
(Table_DonBan[Phân bổ từ]&lt;DATE(C$2+1, 1, 1))*
(Table_DonBan[Phân bổ đến]&gt;DATE(C$2, 1, 1))
),
_xlfn._xlws.FILTER(
1/ROUND((Table_DonBan[Phân bổ đến] - Table_DonBan[Phân bổ từ]) / (362.25 / 12 ),0),
(NOT(ISBLANK(Table_DonBan[Phân bổ từ])))*
(NOT(ISBLANK(Table_DonBan[Phân bổ đến])))*
(Table_DonBan[Phân bổ từ]&lt;DATE(C$2+1, 1, 1))*
(Table_DonBan[Phân bổ đến]&gt;DATE(C$2, 1, 1))
)),0)</f>
        <v>0</v>
      </c>
      <c r="D9" s="327" cm="1">
        <f t="array" ref="D9" xml:space="preserve">
+IFERROR(SUM(
_xlfn._xlws.FILTER(Table_DonBan[Doanh thu ròng],
(ISBLANK(Table_DonBan[Phân bổ từ]))*
(ISBLANK(Table_DonBan[Phân bổ đến]))*
(Table_Main[Ngày lên đơn] &gt;= D$2)*
(Table_Main[Ngày lên đơn] &lt; DATE(YEAR(D$2),MONTH(D$2)+1, 1))
)),0)
+IFERROR(SUMPRODUCT(
_xlfn._xlws.FILTER(Table_DonBan[Doanh thu ròng],
(NOT(ISBLANK(Table_DonBan[Phân bổ từ])))*
(NOT(ISBLANK(Table_DonBan[Phân bổ đến])))*
(Table_DonBan[Phân bổ từ]&lt;DATE(YEAR(D$2),MONTH(D$2)+1, 1))*
(Table_DonBan[Phân bổ đến]&gt;D$2)
),
_xlfn._xlws.FILTER(
ROUND((DATE(YEAR(D$2),MONTH(D$2)+1, 1) - 1 - Table_DonBan[Phân bổ từ]) / (362.25 / 12 ), 0),
(NOT(ISBLANK(Table_DonBan[Phân bổ từ])))*
(NOT(ISBLANK(Table_DonBan[Phân bổ đến])))*
(Table_DonBan[Phân bổ từ]&lt;DATE(YEAR(D$2),MONTH(D$2)+1, 1))*
(Table_DonBan[Phân bổ đến]&gt;D$2)
),
_xlfn._xlws.FILTER(
1/ROUND((Table_DonBan[Phân bổ đến] - Table_DonBan[Phân bổ từ]) / (362.25 / 12 ),0),
(NOT(ISBLANK(Table_DonBan[Phân bổ từ])))*
(NOT(ISBLANK(Table_DonBan[Phân bổ đến])))*
(Table_DonBan[Phân bổ từ]&lt;DATE(YEAR(D$2),MONTH(D$2)+1, 1))*
(Table_DonBan[Phân bổ đến]&gt;D$2)
)),0)</f>
        <v>0</v>
      </c>
      <c r="E9" s="327" cm="1">
        <f t="array" ref="E9" xml:space="preserve">
+IFERROR(SUM(
_xlfn._xlws.FILTER(Table_DonBan[Doanh thu ròng],
(ISBLANK(Table_DonBan[Phân bổ từ]))*
(ISBLANK(Table_DonBan[Phân bổ đến]))*
(Table_Main[Ngày lên đơn] &gt;= E$2)*
(Table_Main[Ngày lên đơn] &lt; DATE(YEAR(E$2),MONTH(E$2)+1, 1))
)),0)
+IFERROR(SUMPRODUCT(
_xlfn._xlws.FILTER(Table_DonBan[Doanh thu ròng],
(NOT(ISBLANK(Table_DonBan[Phân bổ từ])))*
(NOT(ISBLANK(Table_DonBan[Phân bổ đến])))*
(Table_DonBan[Phân bổ từ]&lt;DATE(YEAR(E$2),MONTH(E$2)+1, 1))*
(Table_DonBan[Phân bổ đến]&gt;E$2)
),
_xlfn._xlws.FILTER(
ROUND((DATE(YEAR(E$2),MONTH(E$2)+1, 1) - 1 - Table_DonBan[Phân bổ từ]) / (362.25 / 12 ), 0),
(NOT(ISBLANK(Table_DonBan[Phân bổ từ])))*
(NOT(ISBLANK(Table_DonBan[Phân bổ đến])))*
(Table_DonBan[Phân bổ từ]&lt;DATE(YEAR(E$2),MONTH(E$2)+1, 1))*
(Table_DonBan[Phân bổ đến]&gt;E$2)
),
_xlfn._xlws.FILTER(
1/ROUND((Table_DonBan[Phân bổ đến] - Table_DonBan[Phân bổ từ]) / (362.25 / 12 ),0),
(NOT(ISBLANK(Table_DonBan[Phân bổ từ])))*
(NOT(ISBLANK(Table_DonBan[Phân bổ đến])))*
(Table_DonBan[Phân bổ từ]&lt;DATE(YEAR(E$2),MONTH(E$2)+1, 1))*
(Table_DonBan[Phân bổ đến]&gt;E$2)
)),0)</f>
        <v>0</v>
      </c>
      <c r="F9" s="327" cm="1">
        <f t="array" ref="F9" xml:space="preserve">
+IFERROR(SUM(
_xlfn._xlws.FILTER(Table_DonBan[Doanh thu ròng],
(ISBLANK(Table_DonBan[Phân bổ từ]))*
(ISBLANK(Table_DonBan[Phân bổ đến]))*
(Table_Main[Ngày lên đơn] &gt;= F$2)*
(Table_Main[Ngày lên đơn] &lt; DATE(YEAR(F$2),MONTH(F$2)+1, 1))
)),0)
+IFERROR(SUMPRODUCT(
_xlfn._xlws.FILTER(Table_DonBan[Doanh thu ròng],
(NOT(ISBLANK(Table_DonBan[Phân bổ từ])))*
(NOT(ISBLANK(Table_DonBan[Phân bổ đến])))*
(Table_DonBan[Phân bổ từ]&lt;DATE(YEAR(F$2),MONTH(F$2)+1, 1))*
(Table_DonBan[Phân bổ đến]&gt;F$2)
),
_xlfn._xlws.FILTER(
ROUND((DATE(YEAR(F$2),MONTH(F$2)+1, 1) - 1 - Table_DonBan[Phân bổ từ]) / (362.25 / 12 ), 0),
(NOT(ISBLANK(Table_DonBan[Phân bổ từ])))*
(NOT(ISBLANK(Table_DonBan[Phân bổ đến])))*
(Table_DonBan[Phân bổ từ]&lt;DATE(YEAR(F$2),MONTH(F$2)+1, 1))*
(Table_DonBan[Phân bổ đến]&gt;F$2)
),
_xlfn._xlws.FILTER(
1/ROUND((Table_DonBan[Phân bổ đến] - Table_DonBan[Phân bổ từ]) / (362.25 / 12 ),0),
(NOT(ISBLANK(Table_DonBan[Phân bổ từ])))*
(NOT(ISBLANK(Table_DonBan[Phân bổ đến])))*
(Table_DonBan[Phân bổ từ]&lt;DATE(YEAR(F$2),MONTH(F$2)+1, 1))*
(Table_DonBan[Phân bổ đến]&gt;F$2)
)),0)</f>
        <v>0</v>
      </c>
      <c r="G9" s="327" cm="1">
        <f t="array" ref="G9" xml:space="preserve">
+IFERROR(SUM(
_xlfn._xlws.FILTER(Table_DonBan[Doanh thu ròng],
(ISBLANK(Table_DonBan[Phân bổ từ]))*
(ISBLANK(Table_DonBan[Phân bổ đến]))*
(Table_Main[Ngày lên đơn] &gt;= G$2)*
(Table_Main[Ngày lên đơn] &lt; DATE(YEAR(G$2),MONTH(G$2)+1, 1))
)),0)
+IFERROR(SUMPRODUCT(
_xlfn._xlws.FILTER(Table_DonBan[Doanh thu ròng],
(NOT(ISBLANK(Table_DonBan[Phân bổ từ])))*
(NOT(ISBLANK(Table_DonBan[Phân bổ đến])))*
(Table_DonBan[Phân bổ từ]&lt;DATE(YEAR(G$2),MONTH(G$2)+1, 1))*
(Table_DonBan[Phân bổ đến]&gt;G$2)
),
_xlfn._xlws.FILTER(
ROUND((DATE(YEAR(G$2),MONTH(G$2)+1, 1) - 1 - Table_DonBan[Phân bổ từ]) / (362.25 / 12 ), 0),
(NOT(ISBLANK(Table_DonBan[Phân bổ từ])))*
(NOT(ISBLANK(Table_DonBan[Phân bổ đến])))*
(Table_DonBan[Phân bổ từ]&lt;DATE(YEAR(G$2),MONTH(G$2)+1, 1))*
(Table_DonBan[Phân bổ đến]&gt;G$2)
),
_xlfn._xlws.FILTER(
1/ROUND((Table_DonBan[Phân bổ đến] - Table_DonBan[Phân bổ từ]) / (362.25 / 12 ),0),
(NOT(ISBLANK(Table_DonBan[Phân bổ từ])))*
(NOT(ISBLANK(Table_DonBan[Phân bổ đến])))*
(Table_DonBan[Phân bổ từ]&lt;DATE(YEAR(G$2),MONTH(G$2)+1, 1))*
(Table_DonBan[Phân bổ đến]&gt;G$2)
)),0)</f>
        <v>0</v>
      </c>
      <c r="H9" s="327" cm="1">
        <f t="array" ref="H9" xml:space="preserve">
+IFERROR(SUM(
_xlfn._xlws.FILTER(Table_DonBan[Doanh thu ròng],
(ISBLANK(Table_DonBan[Phân bổ từ]))*
(ISBLANK(Table_DonBan[Phân bổ đến]))*
(Table_Main[Ngày lên đơn] &gt;= H$2)*
(Table_Main[Ngày lên đơn] &lt; DATE(YEAR(H$2),MONTH(H$2)+1, 1))
)),0)
+IFERROR(SUMPRODUCT(
_xlfn._xlws.FILTER(Table_DonBan[Doanh thu ròng],
(NOT(ISBLANK(Table_DonBan[Phân bổ từ])))*
(NOT(ISBLANK(Table_DonBan[Phân bổ đến])))*
(Table_DonBan[Phân bổ từ]&lt;DATE(YEAR(H$2),MONTH(H$2)+1, 1))*
(Table_DonBan[Phân bổ đến]&gt;H$2)
),
_xlfn._xlws.FILTER(
ROUND((DATE(YEAR(H$2),MONTH(H$2)+1, 1) - 1 - Table_DonBan[Phân bổ từ]) / (362.25 / 12 ), 0),
(NOT(ISBLANK(Table_DonBan[Phân bổ từ])))*
(NOT(ISBLANK(Table_DonBan[Phân bổ đến])))*
(Table_DonBan[Phân bổ từ]&lt;DATE(YEAR(H$2),MONTH(H$2)+1, 1))*
(Table_DonBan[Phân bổ đến]&gt;H$2)
),
_xlfn._xlws.FILTER(
1/ROUND((Table_DonBan[Phân bổ đến] - Table_DonBan[Phân bổ từ]) / (362.25 / 12 ),0),
(NOT(ISBLANK(Table_DonBan[Phân bổ từ])))*
(NOT(ISBLANK(Table_DonBan[Phân bổ đến])))*
(Table_DonBan[Phân bổ từ]&lt;DATE(YEAR(H$2),MONTH(H$2)+1, 1))*
(Table_DonBan[Phân bổ đến]&gt;H$2)
)),0)</f>
        <v>0</v>
      </c>
      <c r="I9" s="327" cm="1">
        <f t="array" ref="I9" xml:space="preserve">
+IFERROR(SUM(
_xlfn._xlws.FILTER(Table_DonBan[Doanh thu ròng],
(ISBLANK(Table_DonBan[Phân bổ từ]))*
(ISBLANK(Table_DonBan[Phân bổ đến]))*
(Table_Main[Ngày lên đơn] &gt;= I$2)*
(Table_Main[Ngày lên đơn] &lt; DATE(YEAR(I$2),MONTH(I$2)+1, 1))
)),0)
+IFERROR(SUMPRODUCT(
_xlfn._xlws.FILTER(Table_DonBan[Doanh thu ròng],
(NOT(ISBLANK(Table_DonBan[Phân bổ từ])))*
(NOT(ISBLANK(Table_DonBan[Phân bổ đến])))*
(Table_DonBan[Phân bổ từ]&lt;DATE(YEAR(I$2),MONTH(I$2)+1, 1))*
(Table_DonBan[Phân bổ đến]&gt;I$2)
),
_xlfn._xlws.FILTER(
ROUND((DATE(YEAR(I$2),MONTH(I$2)+1, 1) - 1 - Table_DonBan[Phân bổ từ]) / (362.25 / 12 ), 0),
(NOT(ISBLANK(Table_DonBan[Phân bổ từ])))*
(NOT(ISBLANK(Table_DonBan[Phân bổ đến])))*
(Table_DonBan[Phân bổ từ]&lt;DATE(YEAR(I$2),MONTH(I$2)+1, 1))*
(Table_DonBan[Phân bổ đến]&gt;I$2)
),
_xlfn._xlws.FILTER(
1/ROUND((Table_DonBan[Phân bổ đến] - Table_DonBan[Phân bổ từ]) / (362.25 / 12 ),0),
(NOT(ISBLANK(Table_DonBan[Phân bổ từ])))*
(NOT(ISBLANK(Table_DonBan[Phân bổ đến])))*
(Table_DonBan[Phân bổ từ]&lt;DATE(YEAR(I$2),MONTH(I$2)+1, 1))*
(Table_DonBan[Phân bổ đến]&gt;I$2)
)),0)</f>
        <v>0</v>
      </c>
      <c r="J9" s="327" cm="1">
        <f t="array" ref="J9" xml:space="preserve">
+IFERROR(SUM(
_xlfn._xlws.FILTER(Table_DonBan[Doanh thu ròng],
(ISBLANK(Table_DonBan[Phân bổ từ]))*
(ISBLANK(Table_DonBan[Phân bổ đến]))*
(Table_Main[Ngày lên đơn] &gt;= J$2)*
(Table_Main[Ngày lên đơn] &lt; DATE(YEAR(J$2),MONTH(J$2)+1, 1))
)),0)
+IFERROR(SUMPRODUCT(
_xlfn._xlws.FILTER(Table_DonBan[Doanh thu ròng],
(NOT(ISBLANK(Table_DonBan[Phân bổ từ])))*
(NOT(ISBLANK(Table_DonBan[Phân bổ đến])))*
(Table_DonBan[Phân bổ từ]&lt;DATE(YEAR(J$2),MONTH(J$2)+1, 1))*
(Table_DonBan[Phân bổ đến]&gt;J$2)
),
_xlfn._xlws.FILTER(
ROUND((DATE(YEAR(J$2),MONTH(J$2)+1, 1) - 1 - Table_DonBan[Phân bổ từ]) / (362.25 / 12 ), 0),
(NOT(ISBLANK(Table_DonBan[Phân bổ từ])))*
(NOT(ISBLANK(Table_DonBan[Phân bổ đến])))*
(Table_DonBan[Phân bổ từ]&lt;DATE(YEAR(J$2),MONTH(J$2)+1, 1))*
(Table_DonBan[Phân bổ đến]&gt;J$2)
),
_xlfn._xlws.FILTER(
1/ROUND((Table_DonBan[Phân bổ đến] - Table_DonBan[Phân bổ từ]) / (362.25 / 12 ),0),
(NOT(ISBLANK(Table_DonBan[Phân bổ từ])))*
(NOT(ISBLANK(Table_DonBan[Phân bổ đến])))*
(Table_DonBan[Phân bổ từ]&lt;DATE(YEAR(J$2),MONTH(J$2)+1, 1))*
(Table_DonBan[Phân bổ đến]&gt;J$2)
)),0)</f>
        <v>0</v>
      </c>
      <c r="K9" s="327" cm="1">
        <f t="array" ref="K9" xml:space="preserve">
+IFERROR(SUM(
_xlfn._xlws.FILTER(Table_DonBan[Doanh thu ròng],
(ISBLANK(Table_DonBan[Phân bổ từ]))*
(ISBLANK(Table_DonBan[Phân bổ đến]))*
(Table_Main[Ngày lên đơn] &gt;= K$2)*
(Table_Main[Ngày lên đơn] &lt; DATE(YEAR(K$2),MONTH(K$2)+1, 1))
)),0)
+IFERROR(SUMPRODUCT(
_xlfn._xlws.FILTER(Table_DonBan[Doanh thu ròng],
(NOT(ISBLANK(Table_DonBan[Phân bổ từ])))*
(NOT(ISBLANK(Table_DonBan[Phân bổ đến])))*
(Table_DonBan[Phân bổ từ]&lt;DATE(YEAR(K$2),MONTH(K$2)+1, 1))*
(Table_DonBan[Phân bổ đến]&gt;K$2)
),
_xlfn._xlws.FILTER(
ROUND((DATE(YEAR(K$2),MONTH(K$2)+1, 1) - 1 - Table_DonBan[Phân bổ từ]) / (362.25 / 12 ), 0),
(NOT(ISBLANK(Table_DonBan[Phân bổ từ])))*
(NOT(ISBLANK(Table_DonBan[Phân bổ đến])))*
(Table_DonBan[Phân bổ từ]&lt;DATE(YEAR(K$2),MONTH(K$2)+1, 1))*
(Table_DonBan[Phân bổ đến]&gt;K$2)
),
_xlfn._xlws.FILTER(
1/ROUND((Table_DonBan[Phân bổ đến] - Table_DonBan[Phân bổ từ]) / (362.25 / 12 ),0),
(NOT(ISBLANK(Table_DonBan[Phân bổ từ])))*
(NOT(ISBLANK(Table_DonBan[Phân bổ đến])))*
(Table_DonBan[Phân bổ từ]&lt;DATE(YEAR(K$2),MONTH(K$2)+1, 1))*
(Table_DonBan[Phân bổ đến]&gt;K$2)
)),0)</f>
        <v>0</v>
      </c>
      <c r="L9" s="327" cm="1">
        <f t="array" ref="L9" xml:space="preserve">
+IFERROR(SUM(
_xlfn._xlws.FILTER(Table_DonBan[Doanh thu ròng],
(ISBLANK(Table_DonBan[Phân bổ từ]))*
(ISBLANK(Table_DonBan[Phân bổ đến]))*
(Table_Main[Ngày lên đơn] &gt;= L$2)*
(Table_Main[Ngày lên đơn] &lt; DATE(YEAR(L$2),MONTH(L$2)+1, 1))
)),0)
+IFERROR(SUMPRODUCT(
_xlfn._xlws.FILTER(Table_DonBan[Doanh thu ròng],
(NOT(ISBLANK(Table_DonBan[Phân bổ từ])))*
(NOT(ISBLANK(Table_DonBan[Phân bổ đến])))*
(Table_DonBan[Phân bổ từ]&lt;DATE(YEAR(L$2),MONTH(L$2)+1, 1))*
(Table_DonBan[Phân bổ đến]&gt;L$2)
),
_xlfn._xlws.FILTER(
ROUND((DATE(YEAR(L$2),MONTH(L$2)+1, 1) - 1 - Table_DonBan[Phân bổ từ]) / (362.25 / 12 ), 0),
(NOT(ISBLANK(Table_DonBan[Phân bổ từ])))*
(NOT(ISBLANK(Table_DonBan[Phân bổ đến])))*
(Table_DonBan[Phân bổ từ]&lt;DATE(YEAR(L$2),MONTH(L$2)+1, 1))*
(Table_DonBan[Phân bổ đến]&gt;L$2)
),
_xlfn._xlws.FILTER(
1/ROUND((Table_DonBan[Phân bổ đến] - Table_DonBan[Phân bổ từ]) / (362.25 / 12 ),0),
(NOT(ISBLANK(Table_DonBan[Phân bổ từ])))*
(NOT(ISBLANK(Table_DonBan[Phân bổ đến])))*
(Table_DonBan[Phân bổ từ]&lt;DATE(YEAR(L$2),MONTH(L$2)+1, 1))*
(Table_DonBan[Phân bổ đến]&gt;L$2)
)),0)</f>
        <v>0</v>
      </c>
      <c r="M9" s="327" cm="1">
        <f t="array" ref="M9" xml:space="preserve">
+IFERROR(SUM(
_xlfn._xlws.FILTER(Table_DonBan[Doanh thu ròng],
(ISBLANK(Table_DonBan[Phân bổ từ]))*
(ISBLANK(Table_DonBan[Phân bổ đến]))*
(Table_Main[Ngày lên đơn] &gt;= M$2)*
(Table_Main[Ngày lên đơn] &lt; DATE(YEAR(M$2),MONTH(M$2)+1, 1))
)),0)
+IFERROR(SUMPRODUCT(
_xlfn._xlws.FILTER(Table_DonBan[Doanh thu ròng],
(NOT(ISBLANK(Table_DonBan[Phân bổ từ])))*
(NOT(ISBLANK(Table_DonBan[Phân bổ đến])))*
(Table_DonBan[Phân bổ từ]&lt;DATE(YEAR(M$2),MONTH(M$2)+1, 1))*
(Table_DonBan[Phân bổ đến]&gt;M$2)
),
_xlfn._xlws.FILTER(
ROUND((DATE(YEAR(M$2),MONTH(M$2)+1, 1) - 1 - Table_DonBan[Phân bổ từ]) / (362.25 / 12 ), 0),
(NOT(ISBLANK(Table_DonBan[Phân bổ từ])))*
(NOT(ISBLANK(Table_DonBan[Phân bổ đến])))*
(Table_DonBan[Phân bổ từ]&lt;DATE(YEAR(M$2),MONTH(M$2)+1, 1))*
(Table_DonBan[Phân bổ đến]&gt;M$2)
),
_xlfn._xlws.FILTER(
1/ROUND((Table_DonBan[Phân bổ đến] - Table_DonBan[Phân bổ từ]) / (362.25 / 12 ),0),
(NOT(ISBLANK(Table_DonBan[Phân bổ từ])))*
(NOT(ISBLANK(Table_DonBan[Phân bổ đến])))*
(Table_DonBan[Phân bổ từ]&lt;DATE(YEAR(M$2),MONTH(M$2)+1, 1))*
(Table_DonBan[Phân bổ đến]&gt;M$2)
)),0)</f>
        <v>0</v>
      </c>
      <c r="N9" s="327" cm="1">
        <f t="array" ref="N9" xml:space="preserve">
+IFERROR(SUM(
_xlfn._xlws.FILTER(Table_DonBan[Doanh thu ròng],
(ISBLANK(Table_DonBan[Phân bổ từ]))*
(ISBLANK(Table_DonBan[Phân bổ đến]))*
(Table_Main[Ngày lên đơn] &gt;= N$2)*
(Table_Main[Ngày lên đơn] &lt; DATE(YEAR(N$2),MONTH(N$2)+1, 1))
)),0)
+IFERROR(SUMPRODUCT(
_xlfn._xlws.FILTER(Table_DonBan[Doanh thu ròng],
(NOT(ISBLANK(Table_DonBan[Phân bổ từ])))*
(NOT(ISBLANK(Table_DonBan[Phân bổ đến])))*
(Table_DonBan[Phân bổ từ]&lt;DATE(YEAR(N$2),MONTH(N$2)+1, 1))*
(Table_DonBan[Phân bổ đến]&gt;N$2)
),
_xlfn._xlws.FILTER(
ROUND((DATE(YEAR(N$2),MONTH(N$2)+1, 1) - 1 - Table_DonBan[Phân bổ từ]) / (362.25 / 12 ), 0),
(NOT(ISBLANK(Table_DonBan[Phân bổ từ])))*
(NOT(ISBLANK(Table_DonBan[Phân bổ đến])))*
(Table_DonBan[Phân bổ từ]&lt;DATE(YEAR(N$2),MONTH(N$2)+1, 1))*
(Table_DonBan[Phân bổ đến]&gt;N$2)
),
_xlfn._xlws.FILTER(
1/ROUND((Table_DonBan[Phân bổ đến] - Table_DonBan[Phân bổ từ]) / (362.25 / 12 ),0),
(NOT(ISBLANK(Table_DonBan[Phân bổ từ])))*
(NOT(ISBLANK(Table_DonBan[Phân bổ đến])))*
(Table_DonBan[Phân bổ từ]&lt;DATE(YEAR(N$2),MONTH(N$2)+1, 1))*
(Table_DonBan[Phân bổ đến]&gt;N$2)
)),0)</f>
        <v>0</v>
      </c>
      <c r="O9" s="327" cm="1">
        <f t="array" ref="O9" xml:space="preserve">
+IFERROR(SUM(
_xlfn._xlws.FILTER(Table_DonBan[Doanh thu ròng],
(ISBLANK(Table_DonBan[Phân bổ từ]))*
(ISBLANK(Table_DonBan[Phân bổ đến]))*
(Table_Main[Ngày lên đơn] &gt;= O$2)*
(Table_Main[Ngày lên đơn] &lt; DATE(YEAR(O$2),MONTH(O$2)+1, 1))
)),0)
+IFERROR(SUMPRODUCT(
_xlfn._xlws.FILTER(Table_DonBan[Doanh thu ròng],
(NOT(ISBLANK(Table_DonBan[Phân bổ từ])))*
(NOT(ISBLANK(Table_DonBan[Phân bổ đến])))*
(Table_DonBan[Phân bổ từ]&lt;DATE(YEAR(O$2),MONTH(O$2)+1, 1))*
(Table_DonBan[Phân bổ đến]&gt;O$2)
),
_xlfn._xlws.FILTER(
ROUND((DATE(YEAR(O$2),MONTH(O$2)+1, 1) - 1 - Table_DonBan[Phân bổ từ]) / (362.25 / 12 ), 0),
(NOT(ISBLANK(Table_DonBan[Phân bổ từ])))*
(NOT(ISBLANK(Table_DonBan[Phân bổ đến])))*
(Table_DonBan[Phân bổ từ]&lt;DATE(YEAR(O$2),MONTH(O$2)+1, 1))*
(Table_DonBan[Phân bổ đến]&gt;O$2)
),
_xlfn._xlws.FILTER(
1/ROUND((Table_DonBan[Phân bổ đến] - Table_DonBan[Phân bổ từ]) / (362.25 / 12 ),0),
(NOT(ISBLANK(Table_DonBan[Phân bổ từ])))*
(NOT(ISBLANK(Table_DonBan[Phân bổ đến])))*
(Table_DonBan[Phân bổ từ]&lt;DATE(YEAR(O$2),MONTH(O$2)+1, 1))*
(Table_DonBan[Phân bổ đến]&gt;O$2)
)),0)</f>
        <v>0</v>
      </c>
      <c r="P9" s="323"/>
      <c r="Q9" s="240"/>
      <c r="R9" s="74" t="s">
        <v>363</v>
      </c>
      <c r="S9" s="327" cm="1">
        <f t="array" ref="S9" xml:space="preserve">
+IFERROR(SUM(
_xlfn._xlws.FILTER(Table_DonBan[Doanh thu ròng],
(ISBLANK(Table_DonBan[Phân bổ từ]))*
(ISBLANK(Table_DonBan[Phân bổ đến]))*
(Table_Main[Ngày lên đơn] &gt;= DATE(S$1, 1, 1))*
(Table_Main[Ngày lên đơn] &lt; DATE(S$1+1, 1, 1))
)),0)
+IFERROR(SUMPRODUCT(
_xlfn._xlws.FILTER(Table_DonBan[Doanh thu ròng],
(NOT(ISBLANK(Table_DonBan[Phân bổ từ])))*
(NOT(ISBLANK(Table_DonBan[Phân bổ đến])))*
(Table_DonBan[Phân bổ từ]&lt;DATE(S$1+1, 1, 1))*
(Table_DonBan[Phân bổ đến]&gt;DATE(S$1, 1, 1))
),
_xlfn._xlws.FILTER(
ROUND((DATE(S$1+1, 1, 1) - 1 - Table_DonBan[Phân bổ từ]) / (362.25 / 12 ), 0),
(NOT(ISBLANK(Table_DonBan[Phân bổ từ])))*
(NOT(ISBLANK(Table_DonBan[Phân bổ đến])))*
(Table_DonBan[Phân bổ từ]&lt;DATE(S$1+1, 1, 1))*
(Table_DonBan[Phân bổ đến]&gt;DATE(S$1, 1, 1))
),
_xlfn._xlws.FILTER(
1/ROUND((Table_DonBan[Phân bổ đến] - Table_DonBan[Phân bổ từ]) / (362.25 / 12 ),0),
(NOT(ISBLANK(Table_DonBan[Phân bổ từ])))*
(NOT(ISBLANK(Table_DonBan[Phân bổ đến])))*
(Table_DonBan[Phân bổ từ]&lt;DATE(S$1+1, 1, 1))*
(Table_DonBan[Phân bổ đến]&gt;DATE(S$1, 1, 1))
)),0)</f>
        <v>0</v>
      </c>
      <c r="T9" s="240"/>
      <c r="U9" s="74" t="s">
        <v>363</v>
      </c>
      <c r="V9" s="103" cm="1">
        <f t="array" ref="V9" xml:space="preserve">
+IFERROR(SUM(
_xlfn._xlws.FILTER(Table_DonBan[Doanh thu ròng],
(ISBLANK(Table_DonBan[Phân bổ từ]))*
(ISBLANK(Table_DonBan[Phân bổ đến]))*
(Table_Main[Ngày lên đơn] &gt;= V$1)*
(Table_Main[Ngày lên đơn] &lt; DATE(YEAR(V$1),MONTH(V$1)+1, 1))
)),0)
+IFERROR(SUMPRODUCT(
_xlfn._xlws.FILTER(Table_DonBan[Doanh thu ròng],
(NOT(ISBLANK(Table_DonBan[Phân bổ từ])))*
(NOT(ISBLANK(Table_DonBan[Phân bổ đến])))*
(Table_DonBan[Phân bổ từ]&lt;DATE(YEAR(V$1),MONTH(V$1)+1, 1))*
(Table_DonBan[Phân bổ đến]&gt;V$1)
),
_xlfn._xlws.FILTER(
ROUND((DATE(YEAR(V$1),MONTH(V$1)+1, 1) - 1 - Table_DonBan[Phân bổ từ]) / (362.25 / 12 ), 0),
(NOT(ISBLANK(Table_DonBan[Phân bổ từ])))*
(NOT(ISBLANK(Table_DonBan[Phân bổ đến])))*
(Table_DonBan[Phân bổ từ]&lt;DATE(YEAR(V$1),MONTH(V$1)+1, 1))*
(Table_DonBan[Phân bổ đến]&gt;V$1)
),
_xlfn._xlws.FILTER(
1/ROUND((Table_DonBan[Phân bổ đến] - Table_DonBan[Phân bổ từ]) / (362.25 / 12 ),0),
(NOT(ISBLANK(Table_DonBan[Phân bổ từ])))*
(NOT(ISBLANK(Table_DonBan[Phân bổ đến])))*
(Table_DonBan[Phân bổ từ]&lt;DATE(YEAR(V$1),MONTH(V$1)+1, 1))*
(Table_DonBan[Phân bổ đến]&gt;V$1)
)),0)</f>
        <v>0</v>
      </c>
    </row>
    <row r="10" spans="2:22" ht="18" customHeight="1" outlineLevel="1" x14ac:dyDescent="0.3">
      <c r="B10" s="99" t="s">
        <v>283</v>
      </c>
      <c r="C10" s="109">
        <f>IFERROR((C9+C11)/C9,0)</f>
        <v>0</v>
      </c>
      <c r="D10" s="109">
        <f t="shared" ref="D10:O10" si="4">IFERROR((D9+D11)/D9,0)</f>
        <v>0</v>
      </c>
      <c r="E10" s="109">
        <f t="shared" si="4"/>
        <v>0</v>
      </c>
      <c r="F10" s="109">
        <f t="shared" si="4"/>
        <v>0</v>
      </c>
      <c r="G10" s="109">
        <f t="shared" si="4"/>
        <v>0</v>
      </c>
      <c r="H10" s="109">
        <f t="shared" si="4"/>
        <v>0</v>
      </c>
      <c r="I10" s="109">
        <f t="shared" si="4"/>
        <v>0</v>
      </c>
      <c r="J10" s="109">
        <f t="shared" si="4"/>
        <v>0</v>
      </c>
      <c r="K10" s="109">
        <f t="shared" si="4"/>
        <v>0</v>
      </c>
      <c r="L10" s="109">
        <f t="shared" si="4"/>
        <v>0</v>
      </c>
      <c r="M10" s="109">
        <f t="shared" si="4"/>
        <v>0</v>
      </c>
      <c r="N10" s="109">
        <f t="shared" si="4"/>
        <v>0</v>
      </c>
      <c r="O10" s="109">
        <f t="shared" si="4"/>
        <v>0</v>
      </c>
      <c r="P10" s="323"/>
      <c r="Q10" s="240"/>
      <c r="R10" s="99" t="s">
        <v>283</v>
      </c>
      <c r="S10" s="109">
        <f>IFERROR((S9+S11)/S9,0)</f>
        <v>0</v>
      </c>
      <c r="T10" s="240"/>
      <c r="U10" s="99" t="s">
        <v>283</v>
      </c>
      <c r="V10" s="109">
        <f>IFERROR((V9+V11)/V9,0)</f>
        <v>0</v>
      </c>
    </row>
    <row r="11" spans="2:22" ht="18" customHeight="1" outlineLevel="1" x14ac:dyDescent="0.3">
      <c r="B11" s="54" t="s">
        <v>77</v>
      </c>
      <c r="C11" s="322">
        <f t="shared" ref="C11:O11" si="5">SUM(C12:C17)</f>
        <v>0</v>
      </c>
      <c r="D11" s="322">
        <f t="shared" si="5"/>
        <v>0</v>
      </c>
      <c r="E11" s="322">
        <f t="shared" si="5"/>
        <v>0</v>
      </c>
      <c r="F11" s="322">
        <f t="shared" si="5"/>
        <v>0</v>
      </c>
      <c r="G11" s="322">
        <f t="shared" si="5"/>
        <v>0</v>
      </c>
      <c r="H11" s="322">
        <f t="shared" si="5"/>
        <v>0</v>
      </c>
      <c r="I11" s="322">
        <f t="shared" si="5"/>
        <v>0</v>
      </c>
      <c r="J11" s="322">
        <f t="shared" si="5"/>
        <v>0</v>
      </c>
      <c r="K11" s="322">
        <f t="shared" si="5"/>
        <v>0</v>
      </c>
      <c r="L11" s="322">
        <f t="shared" si="5"/>
        <v>0</v>
      </c>
      <c r="M11" s="322">
        <f t="shared" si="5"/>
        <v>0</v>
      </c>
      <c r="N11" s="322">
        <f t="shared" si="5"/>
        <v>0</v>
      </c>
      <c r="O11" s="322">
        <f t="shared" si="5"/>
        <v>0</v>
      </c>
      <c r="P11" s="323"/>
      <c r="Q11" s="240"/>
      <c r="R11" s="54" t="s">
        <v>77</v>
      </c>
      <c r="S11" s="322">
        <f>SUM(S12:S17)</f>
        <v>0</v>
      </c>
      <c r="T11" s="240"/>
      <c r="U11" s="54" t="s">
        <v>77</v>
      </c>
      <c r="V11" s="322">
        <f>SUM(V12:V17)</f>
        <v>0</v>
      </c>
    </row>
    <row r="12" spans="2:22" ht="18" customHeight="1" outlineLevel="2" x14ac:dyDescent="0.3">
      <c r="B12" s="73" t="s">
        <v>285</v>
      </c>
      <c r="C12" s="328" cm="1">
        <f t="array" ref="C12">-IFERROR(
SUM(_xlfn._xlws.FILTER(Table_TonKho[Chi phí ghi nhận],
(Table_TonKho[Kỳ]&gt;= D2) *
(Table_TonKho[Kỳ] &lt; P2) *
(Table_TonKho[Chức năng] = "Nguyên liệu")
)),0)
-IFERROR(
SUM(_xlfn._xlws.FILTER(Table_TonKho[Chi phí ghi nhận],
(Table_TonKho[Kỳ]&gt;= D2) *
(Table_TonKho[Kỳ] &lt; P2) *
(Table_TonKho[Chức năng] = "")
)),0)
-IFERROR(
SUM(_xlfn._xlws.FILTER(Table_TonKho[Chi phí ghi nhận],
(Table_TonKho[Kỳ]&gt;= D2) *
(Table_TonKho[Kỳ] &lt; P2) *
(Table_TonKho[Chức năng] = "Sản xuất")
)),0)
-IFERROR(
SUM(_xlfn._xlws.FILTER(Table_TonKho[Chi phí ghi nhận],
(Table_TonKho[Kỳ]&gt;= D2) *
(Table_TonKho[Kỳ] &lt; P2) *
(Table_TonKho[Chức năng] = "Bán hàng")
)),0)</f>
        <v>0</v>
      </c>
      <c r="D12" s="328" cm="1">
        <f t="array" ref="D12">-IFERROR(
SUM(_xlfn._xlws.FILTER(Table_TonKho[Chi phí ghi nhận],
(Table_TonKho[Kỳ]&gt;= D2) *
(Table_TonKho[Kỳ] &lt; E2) *
(Table_TonKho[Chức năng] = "Nguyên liệu")
)),0)
-IFERROR(
SUM(_xlfn._xlws.FILTER(Table_TonKho[Chi phí ghi nhận],
(Table_TonKho[Kỳ]&gt;= D2) *
(Table_TonKho[Kỳ] &lt; E2) *
(Table_TonKho[Chức năng] = "")
)),0)
-IFERROR(
SUM(_xlfn._xlws.FILTER(Table_TonKho[Chi phí ghi nhận],
(Table_TonKho[Kỳ]&gt;= D2) *
(Table_TonKho[Kỳ] &lt; E2) *
(Table_TonKho[Chức năng] = "Sản xuất")
)),0)
-IFERROR(
SUM(_xlfn._xlws.FILTER(Table_TonKho[Chi phí ghi nhận],
(Table_TonKho[Kỳ]&gt;= D2) *
(Table_TonKho[Kỳ] &lt; E2) *
(Table_TonKho[Chức năng] = "Bán hàng")
)),0)</f>
        <v>0</v>
      </c>
      <c r="E12" s="328" cm="1">
        <f t="array" ref="E12">-IFERROR(
SUM(_xlfn._xlws.FILTER(Table_TonKho[Chi phí ghi nhận],
(Table_TonKho[Kỳ]&gt;= E2) *
(Table_TonKho[Kỳ] &lt; F2) *
(Table_TonKho[Chức năng] = "Nguyên liệu")
)),0)
-IFERROR(
SUM(_xlfn._xlws.FILTER(Table_TonKho[Chi phí ghi nhận],
(Table_TonKho[Kỳ]&gt;= E2) *
(Table_TonKho[Kỳ] &lt; F2) *
(Table_TonKho[Chức năng] = "")
)),0)
-IFERROR(
SUM(_xlfn._xlws.FILTER(Table_TonKho[Chi phí ghi nhận],
(Table_TonKho[Kỳ]&gt;= E2) *
(Table_TonKho[Kỳ] &lt; F2) *
(Table_TonKho[Chức năng] = "Sản xuất")
)),0)
-IFERROR(
SUM(_xlfn._xlws.FILTER(Table_TonKho[Chi phí ghi nhận],
(Table_TonKho[Kỳ]&gt;= E2) *
(Table_TonKho[Kỳ] &lt; F2) *
(Table_TonKho[Chức năng] = "Bán hàng")
)),0)</f>
        <v>0</v>
      </c>
      <c r="F12" s="328" cm="1">
        <f t="array" ref="F12">-IFERROR(
SUM(_xlfn._xlws.FILTER(Table_TonKho[Chi phí ghi nhận],
(Table_TonKho[Kỳ]&gt;= F2) *
(Table_TonKho[Kỳ] &lt; G2) *
(Table_TonKho[Chức năng] = "Nguyên liệu")
)),0)
-IFERROR(
SUM(_xlfn._xlws.FILTER(Table_TonKho[Chi phí ghi nhận],
(Table_TonKho[Kỳ]&gt;= F2) *
(Table_TonKho[Kỳ] &lt; G2) *
(Table_TonKho[Chức năng] = "")
)),0)
-IFERROR(
SUM(_xlfn._xlws.FILTER(Table_TonKho[Chi phí ghi nhận],
(Table_TonKho[Kỳ]&gt;= F2) *
(Table_TonKho[Kỳ] &lt; G2) *
(Table_TonKho[Chức năng] = "Sản xuất")
)),0)
-IFERROR(
SUM(_xlfn._xlws.FILTER(Table_TonKho[Chi phí ghi nhận],
(Table_TonKho[Kỳ]&gt;= F2) *
(Table_TonKho[Kỳ] &lt; G2) *
(Table_TonKho[Chức năng] = "Bán hàng")
)),0)</f>
        <v>0</v>
      </c>
      <c r="G12" s="328" cm="1">
        <f t="array" ref="G12">-IFERROR(
SUM(_xlfn._xlws.FILTER(Table_TonKho[Chi phí ghi nhận],
(Table_TonKho[Kỳ]&gt;= G2) *
(Table_TonKho[Kỳ] &lt; H2) *
(Table_TonKho[Chức năng] = "Nguyên liệu")
)),0)
-IFERROR(
SUM(_xlfn._xlws.FILTER(Table_TonKho[Chi phí ghi nhận],
(Table_TonKho[Kỳ]&gt;= G2) *
(Table_TonKho[Kỳ] &lt; H2) *
(Table_TonKho[Chức năng] = "")
)),0)
-IFERROR(
SUM(_xlfn._xlws.FILTER(Table_TonKho[Chi phí ghi nhận],
(Table_TonKho[Kỳ]&gt;= G2) *
(Table_TonKho[Kỳ] &lt; H2) *
(Table_TonKho[Chức năng] = "Sản xuất")
)),0)
-IFERROR(
SUM(_xlfn._xlws.FILTER(Table_TonKho[Chi phí ghi nhận],
(Table_TonKho[Kỳ]&gt;= G2) *
(Table_TonKho[Kỳ] &lt; H2) *
(Table_TonKho[Chức năng] = "Bán hàng")
)),0)</f>
        <v>0</v>
      </c>
      <c r="H12" s="328" cm="1">
        <f t="array" ref="H12">-IFERROR(
SUM(_xlfn._xlws.FILTER(Table_TonKho[Chi phí ghi nhận],
(Table_TonKho[Kỳ]&gt;= H2) *
(Table_TonKho[Kỳ] &lt; I2) *
(Table_TonKho[Chức năng] = "Nguyên liệu")
)),0)
-IFERROR(
SUM(_xlfn._xlws.FILTER(Table_TonKho[Chi phí ghi nhận],
(Table_TonKho[Kỳ]&gt;= H2) *
(Table_TonKho[Kỳ] &lt; I2) *
(Table_TonKho[Chức năng] = "")
)),0)
-IFERROR(
SUM(_xlfn._xlws.FILTER(Table_TonKho[Chi phí ghi nhận],
(Table_TonKho[Kỳ]&gt;= H2) *
(Table_TonKho[Kỳ] &lt; I2) *
(Table_TonKho[Chức năng] = "Sản xuất")
)),0)
-IFERROR(
SUM(_xlfn._xlws.FILTER(Table_TonKho[Chi phí ghi nhận],
(Table_TonKho[Kỳ]&gt;= H2) *
(Table_TonKho[Kỳ] &lt; I2) *
(Table_TonKho[Chức năng] = "Bán hàng")
)),0)</f>
        <v>0</v>
      </c>
      <c r="I12" s="328" cm="1">
        <f t="array" ref="I12">-IFERROR(
SUM(_xlfn._xlws.FILTER(Table_TonKho[Chi phí ghi nhận],
(Table_TonKho[Kỳ]&gt;= I2) *
(Table_TonKho[Kỳ] &lt; J2) *
(Table_TonKho[Chức năng] = "Nguyên liệu")
)),0)
-IFERROR(
SUM(_xlfn._xlws.FILTER(Table_TonKho[Chi phí ghi nhận],
(Table_TonKho[Kỳ]&gt;= I2) *
(Table_TonKho[Kỳ] &lt; J2) *
(Table_TonKho[Chức năng] = "")
)),0)
-IFERROR(
SUM(_xlfn._xlws.FILTER(Table_TonKho[Chi phí ghi nhận],
(Table_TonKho[Kỳ]&gt;= I2) *
(Table_TonKho[Kỳ] &lt; J2) *
(Table_TonKho[Chức năng] = "Sản xuất")
)),0)
-IFERROR(
SUM(_xlfn._xlws.FILTER(Table_TonKho[Chi phí ghi nhận],
(Table_TonKho[Kỳ]&gt;= I2) *
(Table_TonKho[Kỳ] &lt; J2) *
(Table_TonKho[Chức năng] = "Bán hàng")
)),0)</f>
        <v>0</v>
      </c>
      <c r="J12" s="328" cm="1">
        <f t="array" ref="J12">-IFERROR(
SUM(_xlfn._xlws.FILTER(Table_TonKho[Chi phí ghi nhận],
(Table_TonKho[Kỳ]&gt;= J2) *
(Table_TonKho[Kỳ] &lt; K2) *
(Table_TonKho[Chức năng] = "Nguyên liệu")
)),0)
-IFERROR(
SUM(_xlfn._xlws.FILTER(Table_TonKho[Chi phí ghi nhận],
(Table_TonKho[Kỳ]&gt;= J2) *
(Table_TonKho[Kỳ] &lt; K2) *
(Table_TonKho[Chức năng] = "")
)),0)
-IFERROR(
SUM(_xlfn._xlws.FILTER(Table_TonKho[Chi phí ghi nhận],
(Table_TonKho[Kỳ]&gt;= J2) *
(Table_TonKho[Kỳ] &lt; K2) *
(Table_TonKho[Chức năng] = "Sản xuất")
)),0)
-IFERROR(
SUM(_xlfn._xlws.FILTER(Table_TonKho[Chi phí ghi nhận],
(Table_TonKho[Kỳ]&gt;= J2) *
(Table_TonKho[Kỳ] &lt; K2) *
(Table_TonKho[Chức năng] = "Bán hàng")
)),0)</f>
        <v>0</v>
      </c>
      <c r="K12" s="328" cm="1">
        <f t="array" ref="K12">-IFERROR(
SUM(_xlfn._xlws.FILTER(Table_TonKho[Chi phí ghi nhận],
(Table_TonKho[Kỳ]&gt;= K2) *
(Table_TonKho[Kỳ] &lt; L2) *
(Table_TonKho[Chức năng] = "Nguyên liệu")
)),0)
-IFERROR(
SUM(_xlfn._xlws.FILTER(Table_TonKho[Chi phí ghi nhận],
(Table_TonKho[Kỳ]&gt;= K2) *
(Table_TonKho[Kỳ] &lt; L2) *
(Table_TonKho[Chức năng] = "")
)),0)
-IFERROR(
SUM(_xlfn._xlws.FILTER(Table_TonKho[Chi phí ghi nhận],
(Table_TonKho[Kỳ]&gt;= K2) *
(Table_TonKho[Kỳ] &lt; L2) *
(Table_TonKho[Chức năng] = "Sản xuất")
)),0)
-IFERROR(
SUM(_xlfn._xlws.FILTER(Table_TonKho[Chi phí ghi nhận],
(Table_TonKho[Kỳ]&gt;= K2) *
(Table_TonKho[Kỳ] &lt; L2) *
(Table_TonKho[Chức năng] = "Bán hàng")
)),0)</f>
        <v>0</v>
      </c>
      <c r="L12" s="328" cm="1">
        <f t="array" ref="L12">-IFERROR(
SUM(_xlfn._xlws.FILTER(Table_TonKho[Chi phí ghi nhận],
(Table_TonKho[Kỳ]&gt;= L2) *
(Table_TonKho[Kỳ] &lt; M2) *
(Table_TonKho[Chức năng] = "Nguyên liệu")
)),0)
-IFERROR(
SUM(_xlfn._xlws.FILTER(Table_TonKho[Chi phí ghi nhận],
(Table_TonKho[Kỳ]&gt;= L2) *
(Table_TonKho[Kỳ] &lt; M2) *
(Table_TonKho[Chức năng] = "")
)),0)
-IFERROR(
SUM(_xlfn._xlws.FILTER(Table_TonKho[Chi phí ghi nhận],
(Table_TonKho[Kỳ]&gt;= L2) *
(Table_TonKho[Kỳ] &lt; M2) *
(Table_TonKho[Chức năng] = "Sản xuất")
)),0)
-IFERROR(
SUM(_xlfn._xlws.FILTER(Table_TonKho[Chi phí ghi nhận],
(Table_TonKho[Kỳ]&gt;= L2) *
(Table_TonKho[Kỳ] &lt; M2) *
(Table_TonKho[Chức năng] = "Bán hàng")
)),0)</f>
        <v>0</v>
      </c>
      <c r="M12" s="328" cm="1">
        <f t="array" ref="M12">-IFERROR(
SUM(_xlfn._xlws.FILTER(Table_TonKho[Chi phí ghi nhận],
(Table_TonKho[Kỳ]&gt;= M2) *
(Table_TonKho[Kỳ] &lt; N2) *
(Table_TonKho[Chức năng] = "Nguyên liệu")
)),0)
-IFERROR(
SUM(_xlfn._xlws.FILTER(Table_TonKho[Chi phí ghi nhận],
(Table_TonKho[Kỳ]&gt;= M2) *
(Table_TonKho[Kỳ] &lt; N2) *
(Table_TonKho[Chức năng] = "")
)),0)
-IFERROR(
SUM(_xlfn._xlws.FILTER(Table_TonKho[Chi phí ghi nhận],
(Table_TonKho[Kỳ]&gt;= M2) *
(Table_TonKho[Kỳ] &lt; N2) *
(Table_TonKho[Chức năng] = "Sản xuất")
)),0)
-IFERROR(
SUM(_xlfn._xlws.FILTER(Table_TonKho[Chi phí ghi nhận],
(Table_TonKho[Kỳ]&gt;= M2) *
(Table_TonKho[Kỳ] &lt; N2) *
(Table_TonKho[Chức năng] = "Bán hàng")
)),0)</f>
        <v>0</v>
      </c>
      <c r="N12" s="328" cm="1">
        <f t="array" ref="N12">-IFERROR(
SUM(_xlfn._xlws.FILTER(Table_TonKho[Chi phí ghi nhận],
(Table_TonKho[Kỳ]&gt;= N2) *
(Table_TonKho[Kỳ] &lt; O2) *
(Table_TonKho[Chức năng] = "Nguyên liệu")
)),0)
-IFERROR(
SUM(_xlfn._xlws.FILTER(Table_TonKho[Chi phí ghi nhận],
(Table_TonKho[Kỳ]&gt;= N2) *
(Table_TonKho[Kỳ] &lt; O2) *
(Table_TonKho[Chức năng] = "")
)),0)
-IFERROR(
SUM(_xlfn._xlws.FILTER(Table_TonKho[Chi phí ghi nhận],
(Table_TonKho[Kỳ]&gt;= N2) *
(Table_TonKho[Kỳ] &lt; O2) *
(Table_TonKho[Chức năng] = "Sản xuất")
)),0)
-IFERROR(
SUM(_xlfn._xlws.FILTER(Table_TonKho[Chi phí ghi nhận],
(Table_TonKho[Kỳ]&gt;= N2) *
(Table_TonKho[Kỳ] &lt; O2) *
(Table_TonKho[Chức năng] = "Bán hàng")
)),0)</f>
        <v>0</v>
      </c>
      <c r="O12" s="328" cm="1">
        <f t="array" ref="O12">-IFERROR(
SUM(_xlfn._xlws.FILTER(Table_TonKho[Chi phí ghi nhận],
(Table_TonKho[Kỳ]&gt;= O2) *
(Table_TonKho[Kỳ] &lt; P2) *
(Table_TonKho[Chức năng] = "Nguyên liệu")
)),0)
-IFERROR(
SUM(_xlfn._xlws.FILTER(Table_TonKho[Chi phí ghi nhận],
(Table_TonKho[Kỳ]&gt;= O2) *
(Table_TonKho[Kỳ] &lt; P2) *
(Table_TonKho[Chức năng] = "")
)),0)
-IFERROR(
SUM(_xlfn._xlws.FILTER(Table_TonKho[Chi phí ghi nhận],
(Table_TonKho[Kỳ]&gt;= O2) *
(Table_TonKho[Kỳ] &lt; P2) *
(Table_TonKho[Chức năng] = "Sản xuất")
)),0)
-IFERROR(
SUM(_xlfn._xlws.FILTER(Table_TonKho[Chi phí ghi nhận],
(Table_TonKho[Kỳ]&gt;= O2) *
(Table_TonKho[Kỳ] &lt; P2) *
(Table_TonKho[Chức năng] = "Bán hàng")
)),0)</f>
        <v>0</v>
      </c>
      <c r="P12" s="323"/>
      <c r="Q12" s="240"/>
      <c r="R12" s="73" t="s">
        <v>285</v>
      </c>
      <c r="S12" s="328" cm="1">
        <f t="array" ref="S12">-IFERROR(
SUM(_xlfn._xlws.FILTER(Table_TonKho[Chi phí ghi nhận],
(Table_TonKho[Kỳ]&gt;= DATE(S$1,1,1)) *
(Table_TonKho[Kỳ] &lt; DATE(S$1+1,1,1)) *
(Table_TonKho[Chức năng] = "Nguyên liệu")
)),0)
-IFERROR(
SUM(_xlfn._xlws.FILTER(Table_TonKho[Chi phí ghi nhận],
(Table_TonKho[Kỳ]&gt;= DATE(S$1,1,1)) *
(Table_TonKho[Kỳ] &lt; DATE(S$1+1,1,1)) *
(Table_TonKho[Chức năng] = "")
)),0)
-IFERROR(
SUM(_xlfn._xlws.FILTER(Table_TonKho[Chi phí ghi nhận],
(Table_TonKho[Kỳ]&gt;= DATE(S$1,1,1)) *
(Table_TonKho[Kỳ] &lt; DATE(S$1+1,1,1)) *
(Table_TonKho[Chức năng] = "Sản xuất")
)),0)
-IFERROR(
SUM(_xlfn._xlws.FILTER(Table_TonKho[Chi phí ghi nhận],
(Table_TonKho[Kỳ]&gt;= DATE(S$1,1,1)) *
(Table_TonKho[Kỳ] &lt; DATE(S$1+1,1,1)) *
(Table_TonKho[Chức năng] = "Bán hàng")
)),0)</f>
        <v>0</v>
      </c>
      <c r="T12" s="240"/>
      <c r="U12" s="73" t="s">
        <v>285</v>
      </c>
      <c r="V12" s="328" cm="1">
        <f t="array" ref="V12">-IFERROR(
SUM(_xlfn._xlws.FILTER(Table_TonKho[Chi phí ghi nhận],
(Table_TonKho[Kỳ]&gt;= V$1) *
(Table_TonKho[Kỳ] &lt; DATE(YEAR(V$1),MONTH(V$1)+1,1)) *
(Table_TonKho[Chức năng] = "Nguyên liệu")
)),0)
-IFERROR(
SUM(_xlfn._xlws.FILTER(Table_TonKho[Chi phí ghi nhận],
(Table_TonKho[Kỳ]&gt;= V$1) *
(Table_TonKho[Kỳ] &lt; DATE(YEAR(V$1),MONTH(V$1)+1,1)) *
(Table_TonKho[Chức năng] = "")
)),0)
-IFERROR(
SUM(_xlfn._xlws.FILTER(Table_TonKho[Chi phí ghi nhận],
(Table_TonKho[Kỳ]&gt;= V$1) *
(Table_TonKho[Kỳ] &lt;  DATE(YEAR(V$1),MONTH(V$1)+1,1)) *
(Table_TonKho[Chức năng] = "Sản xuất")
)),0)
-IFERROR(
SUM(_xlfn._xlws.FILTER(Table_TonKho[Chi phí ghi nhận],
(Table_TonKho[Kỳ]&gt;= V$1) *
(Table_TonKho[Kỳ] &lt;  DATE(YEAR(V$1),MONTH(V$1)+1,1)) *
(Table_TonKho[Chức năng] = "Bán hàng")
)),0)</f>
        <v>0</v>
      </c>
    </row>
    <row r="13" spans="2:22" ht="18" customHeight="1" outlineLevel="2" x14ac:dyDescent="0.3">
      <c r="B13" s="73" t="s">
        <v>286</v>
      </c>
      <c r="C13" s="328" cm="1">
        <f t="array" ref="C13" xml:space="preserve">
-IFERROR(
SUM(
_xlfn._xlws.FILTER(Table_ChiPhiKD[Phân bổ sản xuất],
(Table_ChiPhiKD[Năm] = C$2)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13" s="329" cm="1">
        <f t="array" ref="D13">-
IFERROR(
SUM(
_xlfn._xlws.FILTER(Table_ChiPhiKD[Phân bổ sản xuất],
(Table_ChiPhiKD[Kỳ] = D$2) *
(NOT(ISBLANK(Table_ChiPhiKD[Tháng])))*
(VLOOKUP(Table_ChiPhiKD[Nhóm chi phí],Table_ChiPhiKD_PhanNhom[],Sheet_ChiPhiKD!$J$2,0) = "Chưa phân bổ" )
)),0)
- IFERROR(SUMPRODUCT(
_xlfn._xlws.FILTER(Table_ChiPhiKD[Phân bổ sản xuất],
(ISBLANK(Table_ChiPhiKD[Tháng])) *
(Table_ChiPhiKD[Phân bổ từ] &lt; E$2)*
(Table_ChiPhiKD[Phân bổ đến] &gt; D$2)*
(VLOOKUP(Table_ChiPhiKD[Nhóm chi phí],Table_ChiPhiKD_PhanNhom[],Sheet_ChiPhiKD!$J$2,0) = "Chưa phân bổ" )),
1/_xlfn._xlws.FILTER(ROUND((Table_ChiPhiKD[Phân bổ đến]-Table_ChiPhiKD[Phân bổ từ])/(365.25/12),0),
(ISBLANK(Table_ChiPhiKD[Tháng])) *
(Table_ChiPhiKD[Phân bổ từ] &lt; E$2)*
(Table_ChiPhiKD[Phân bổ đến] &gt; D$2)*
(VLOOKUP(Table_ChiPhiKD[Nhóm chi phí],Table_ChiPhiKD_PhanNhom[],Sheet_ChiPhiKD!$J$2,0) = "Chưa phân bổ" ))
), 0)</f>
        <v>0</v>
      </c>
      <c r="E13" s="329" cm="1">
        <f t="array" ref="E13">-
IFERROR(
SUM(
_xlfn._xlws.FILTER(Table_ChiPhiKD[Phân bổ sản xuất],
(Table_ChiPhiKD[Kỳ] = E$2) *
(NOT(ISBLANK(Table_ChiPhiKD[Tháng])))*
(VLOOKUP(Table_ChiPhiKD[Nhóm chi phí],Table_ChiPhiKD_PhanNhom[],Sheet_ChiPhiKD!$J$2,0) = "Chưa phân bổ" )
)),0)
- IFERROR(SUMPRODUCT(
_xlfn._xlws.FILTER(Table_ChiPhiKD[Phân bổ sản xuất],
(ISBLANK(Table_ChiPhiKD[Tháng])) *
(Table_ChiPhiKD[Phân bổ từ] &lt; F$2)*
(Table_ChiPhiKD[Phân bổ đến] &gt; E$2)*
(VLOOKUP(Table_ChiPhiKD[Nhóm chi phí],Table_ChiPhiKD_PhanNhom[],Sheet_ChiPhiKD!$J$2,0) = "Chưa phân bổ" )),
1/_xlfn._xlws.FILTER(ROUND((Table_ChiPhiKD[Phân bổ đến]-Table_ChiPhiKD[Phân bổ từ])/(365.25/12),0),
(ISBLANK(Table_ChiPhiKD[Tháng])) *
(Table_ChiPhiKD[Phân bổ từ] &lt; F$2)*
(Table_ChiPhiKD[Phân bổ đến] &gt; E$2)*
(VLOOKUP(Table_ChiPhiKD[Nhóm chi phí],Table_ChiPhiKD_PhanNhom[],Sheet_ChiPhiKD!$J$2,0) = "Chưa phân bổ" ))
), 0)</f>
        <v>0</v>
      </c>
      <c r="F13" s="329" cm="1">
        <f t="array" ref="F13">-
IFERROR(
SUM(
_xlfn._xlws.FILTER(Table_ChiPhiKD[Phân bổ sản xuất],
(Table_ChiPhiKD[Kỳ] = F$2) *
(NOT(ISBLANK(Table_ChiPhiKD[Tháng])))*
(VLOOKUP(Table_ChiPhiKD[Nhóm chi phí],Table_ChiPhiKD_PhanNhom[],Sheet_ChiPhiKD!$J$2,0) = "Chưa phân bổ" )
)),0)
- IFERROR(SUMPRODUCT(
_xlfn._xlws.FILTER(Table_ChiPhiKD[Phân bổ sản xuất],
(ISBLANK(Table_ChiPhiKD[Tháng])) *
(Table_ChiPhiKD[Phân bổ từ] &lt; G$2)*
(Table_ChiPhiKD[Phân bổ đến] &gt; F$2)*
(VLOOKUP(Table_ChiPhiKD[Nhóm chi phí],Table_ChiPhiKD_PhanNhom[],Sheet_ChiPhiKD!$J$2,0) = "Chưa phân bổ" )),
1/_xlfn._xlws.FILTER(ROUND((Table_ChiPhiKD[Phân bổ đến]-Table_ChiPhiKD[Phân bổ từ])/(365.25/12),0),
(ISBLANK(Table_ChiPhiKD[Tháng])) *
(Table_ChiPhiKD[Phân bổ từ] &lt; G$2)*
(Table_ChiPhiKD[Phân bổ đến] &gt; F$2)*
(VLOOKUP(Table_ChiPhiKD[Nhóm chi phí],Table_ChiPhiKD_PhanNhom[],Sheet_ChiPhiKD!$J$2,0) = "Chưa phân bổ" ))
), 0)</f>
        <v>0</v>
      </c>
      <c r="G13" s="329" cm="1">
        <f t="array" ref="G13">-
IFERROR(
SUM(
_xlfn._xlws.FILTER(Table_ChiPhiKD[Phân bổ sản xuất],
(Table_ChiPhiKD[Kỳ] = G$2) *
(NOT(ISBLANK(Table_ChiPhiKD[Tháng])))*
(VLOOKUP(Table_ChiPhiKD[Nhóm chi phí],Table_ChiPhiKD_PhanNhom[],Sheet_ChiPhiKD!$J$2,0) = "Chưa phân bổ" )
)),0)
- IFERROR(SUMPRODUCT(
_xlfn._xlws.FILTER(Table_ChiPhiKD[Phân bổ sản xuất],
(ISBLANK(Table_ChiPhiKD[Tháng])) *
(Table_ChiPhiKD[Phân bổ từ] &lt; H$2)*
(Table_ChiPhiKD[Phân bổ đến] &gt; G$2)*
(VLOOKUP(Table_ChiPhiKD[Nhóm chi phí],Table_ChiPhiKD_PhanNhom[],Sheet_ChiPhiKD!$J$2,0) = "Chưa phân bổ" )),
1/_xlfn._xlws.FILTER(ROUND((Table_ChiPhiKD[Phân bổ đến]-Table_ChiPhiKD[Phân bổ từ])/(365.25/12),0),
(ISBLANK(Table_ChiPhiKD[Tháng])) *
(Table_ChiPhiKD[Phân bổ từ] &lt; H$2)*
(Table_ChiPhiKD[Phân bổ đến] &gt; G$2)*
(VLOOKUP(Table_ChiPhiKD[Nhóm chi phí],Table_ChiPhiKD_PhanNhom[],Sheet_ChiPhiKD!$J$2,0) = "Chưa phân bổ" ))
), 0)</f>
        <v>0</v>
      </c>
      <c r="H13" s="329" cm="1">
        <f t="array" ref="H13">-
IFERROR(
SUM(
_xlfn._xlws.FILTER(Table_ChiPhiKD[Phân bổ sản xuất],
(Table_ChiPhiKD[Kỳ] = H$2) *
(NOT(ISBLANK(Table_ChiPhiKD[Tháng])))*
(VLOOKUP(Table_ChiPhiKD[Nhóm chi phí],Table_ChiPhiKD_PhanNhom[],Sheet_ChiPhiKD!$J$2,0) = "Chưa phân bổ" )
)),0)
- IFERROR(SUMPRODUCT(
_xlfn._xlws.FILTER(Table_ChiPhiKD[Phân bổ sản xuất],
(ISBLANK(Table_ChiPhiKD[Tháng])) *
(Table_ChiPhiKD[Phân bổ từ] &lt; I$2)*
(Table_ChiPhiKD[Phân bổ đến] &gt; H$2)*
(VLOOKUP(Table_ChiPhiKD[Nhóm chi phí],Table_ChiPhiKD_PhanNhom[],Sheet_ChiPhiKD!$J$2,0) = "Chưa phân bổ" )),
1/_xlfn._xlws.FILTER(ROUND((Table_ChiPhiKD[Phân bổ đến]-Table_ChiPhiKD[Phân bổ từ])/(365.25/12),0),
(ISBLANK(Table_ChiPhiKD[Tháng])) *
(Table_ChiPhiKD[Phân bổ từ] &lt; I$2)*
(Table_ChiPhiKD[Phân bổ đến] &gt; H$2)*
(VLOOKUP(Table_ChiPhiKD[Nhóm chi phí],Table_ChiPhiKD_PhanNhom[],Sheet_ChiPhiKD!$J$2,0) = "Chưa phân bổ" ))
), 0)</f>
        <v>0</v>
      </c>
      <c r="I13" s="329" cm="1">
        <f t="array" ref="I13">-
IFERROR(
SUM(
_xlfn._xlws.FILTER(Table_ChiPhiKD[Phân bổ sản xuất],
(Table_ChiPhiKD[Kỳ] = I$2) *
(NOT(ISBLANK(Table_ChiPhiKD[Tháng])))*
(VLOOKUP(Table_ChiPhiKD[Nhóm chi phí],Table_ChiPhiKD_PhanNhom[],Sheet_ChiPhiKD!$J$2,0) = "Chưa phân bổ" )
)),0)
- IFERROR(SUMPRODUCT(
_xlfn._xlws.FILTER(Table_ChiPhiKD[Phân bổ sản xuất],
(ISBLANK(Table_ChiPhiKD[Tháng])) *
(Table_ChiPhiKD[Phân bổ từ] &lt; J$2)*
(Table_ChiPhiKD[Phân bổ đến] &gt; I$2)*
(VLOOKUP(Table_ChiPhiKD[Nhóm chi phí],Table_ChiPhiKD_PhanNhom[],Sheet_ChiPhiKD!$J$2,0) = "Chưa phân bổ" )),
1/_xlfn._xlws.FILTER(ROUND((Table_ChiPhiKD[Phân bổ đến]-Table_ChiPhiKD[Phân bổ từ])/(365.25/12),0),
(ISBLANK(Table_ChiPhiKD[Tháng])) *
(Table_ChiPhiKD[Phân bổ từ] &lt; J$2)*
(Table_ChiPhiKD[Phân bổ đến] &gt; I$2)*
(VLOOKUP(Table_ChiPhiKD[Nhóm chi phí],Table_ChiPhiKD_PhanNhom[],Sheet_ChiPhiKD!$J$2,0) = "Chưa phân bổ" ))
), 0)</f>
        <v>0</v>
      </c>
      <c r="J13" s="329" cm="1">
        <f t="array" ref="J13">-
IFERROR(
SUM(
_xlfn._xlws.FILTER(Table_ChiPhiKD[Phân bổ sản xuất],
(Table_ChiPhiKD[Kỳ] = J$2) *
(NOT(ISBLANK(Table_ChiPhiKD[Tháng])))*
(VLOOKUP(Table_ChiPhiKD[Nhóm chi phí],Table_ChiPhiKD_PhanNhom[],Sheet_ChiPhiKD!$J$2,0) = "Chưa phân bổ" )
)),0)
- IFERROR(SUMPRODUCT(
_xlfn._xlws.FILTER(Table_ChiPhiKD[Phân bổ sản xuất],
(ISBLANK(Table_ChiPhiKD[Tháng])) *
(Table_ChiPhiKD[Phân bổ từ] &lt; K$2)*
(Table_ChiPhiKD[Phân bổ đến] &gt; J$2)*
(VLOOKUP(Table_ChiPhiKD[Nhóm chi phí],Table_ChiPhiKD_PhanNhom[],Sheet_ChiPhiKD!$J$2,0) = "Chưa phân bổ" )),
1/_xlfn._xlws.FILTER(ROUND((Table_ChiPhiKD[Phân bổ đến]-Table_ChiPhiKD[Phân bổ từ])/(365.25/12),0),
(ISBLANK(Table_ChiPhiKD[Tháng])) *
(Table_ChiPhiKD[Phân bổ từ] &lt; K$2)*
(Table_ChiPhiKD[Phân bổ đến] &gt; J$2)*
(VLOOKUP(Table_ChiPhiKD[Nhóm chi phí],Table_ChiPhiKD_PhanNhom[],Sheet_ChiPhiKD!$J$2,0) = "Chưa phân bổ" ))
), 0)</f>
        <v>0</v>
      </c>
      <c r="K13" s="329" cm="1">
        <f t="array" ref="K13">-
IFERROR(
SUM(
_xlfn._xlws.FILTER(Table_ChiPhiKD[Phân bổ sản xuất],
(Table_ChiPhiKD[Kỳ] = K$2) *
(NOT(ISBLANK(Table_ChiPhiKD[Tháng])))*
(VLOOKUP(Table_ChiPhiKD[Nhóm chi phí],Table_ChiPhiKD_PhanNhom[],Sheet_ChiPhiKD!$J$2,0) = "Chưa phân bổ" )
)),0)
- IFERROR(SUMPRODUCT(
_xlfn._xlws.FILTER(Table_ChiPhiKD[Phân bổ sản xuất],
(ISBLANK(Table_ChiPhiKD[Tháng])) *
(Table_ChiPhiKD[Phân bổ từ] &lt; L$2)*
(Table_ChiPhiKD[Phân bổ đến] &gt; K$2)*
(VLOOKUP(Table_ChiPhiKD[Nhóm chi phí],Table_ChiPhiKD_PhanNhom[],Sheet_ChiPhiKD!$J$2,0) = "Chưa phân bổ" )),
1/_xlfn._xlws.FILTER(ROUND((Table_ChiPhiKD[Phân bổ đến]-Table_ChiPhiKD[Phân bổ từ])/(365.25/12),0),
(ISBLANK(Table_ChiPhiKD[Tháng])) *
(Table_ChiPhiKD[Phân bổ từ] &lt; L$2)*
(Table_ChiPhiKD[Phân bổ đến] &gt; K$2)*
(VLOOKUP(Table_ChiPhiKD[Nhóm chi phí],Table_ChiPhiKD_PhanNhom[],Sheet_ChiPhiKD!$J$2,0) = "Chưa phân bổ" ))
), 0)</f>
        <v>0</v>
      </c>
      <c r="L13" s="329" cm="1">
        <f t="array" ref="L13">-
IFERROR(
SUM(
_xlfn._xlws.FILTER(Table_ChiPhiKD[Phân bổ sản xuất],
(Table_ChiPhiKD[Kỳ] = L$2) *
(NOT(ISBLANK(Table_ChiPhiKD[Tháng])))*
(VLOOKUP(Table_ChiPhiKD[Nhóm chi phí],Table_ChiPhiKD_PhanNhom[],Sheet_ChiPhiKD!$J$2,0) = "Chưa phân bổ" )
)),0)
- IFERROR(SUMPRODUCT(
_xlfn._xlws.FILTER(Table_ChiPhiKD[Phân bổ sản xuất],
(ISBLANK(Table_ChiPhiKD[Tháng])) *
(Table_ChiPhiKD[Phân bổ từ] &lt; M$2)*
(Table_ChiPhiKD[Phân bổ đến] &gt; L$2)*
(VLOOKUP(Table_ChiPhiKD[Nhóm chi phí],Table_ChiPhiKD_PhanNhom[],Sheet_ChiPhiKD!$J$2,0) = "Chưa phân bổ" )),
1/_xlfn._xlws.FILTER(ROUND((Table_ChiPhiKD[Phân bổ đến]-Table_ChiPhiKD[Phân bổ từ])/(365.25/12),0),
(ISBLANK(Table_ChiPhiKD[Tháng])) *
(Table_ChiPhiKD[Phân bổ từ] &lt; M$2)*
(Table_ChiPhiKD[Phân bổ đến] &gt; L$2)*
(VLOOKUP(Table_ChiPhiKD[Nhóm chi phí],Table_ChiPhiKD_PhanNhom[],Sheet_ChiPhiKD!$J$2,0) = "Chưa phân bổ" ))
), 0)</f>
        <v>0</v>
      </c>
      <c r="M13" s="329" cm="1">
        <f t="array" ref="M13">-
IFERROR(
SUM(
_xlfn._xlws.FILTER(Table_ChiPhiKD[Phân bổ sản xuất],
(Table_ChiPhiKD[Kỳ] = M$2) *
(NOT(ISBLANK(Table_ChiPhiKD[Tháng])))*
(VLOOKUP(Table_ChiPhiKD[Nhóm chi phí],Table_ChiPhiKD_PhanNhom[],Sheet_ChiPhiKD!$J$2,0) = "Chưa phân bổ" )
)),0)
- IFERROR(SUMPRODUCT(
_xlfn._xlws.FILTER(Table_ChiPhiKD[Phân bổ sản xuất],
(ISBLANK(Table_ChiPhiKD[Tháng])) *
(Table_ChiPhiKD[Phân bổ từ] &lt; N$2)*
(Table_ChiPhiKD[Phân bổ đến] &gt; M$2)*
(VLOOKUP(Table_ChiPhiKD[Nhóm chi phí],Table_ChiPhiKD_PhanNhom[],Sheet_ChiPhiKD!$J$2,0) = "Chưa phân bổ" )),
1/_xlfn._xlws.FILTER(ROUND((Table_ChiPhiKD[Phân bổ đến]-Table_ChiPhiKD[Phân bổ từ])/(365.25/12),0),
(ISBLANK(Table_ChiPhiKD[Tháng])) *
(Table_ChiPhiKD[Phân bổ từ] &lt; N$2)*
(Table_ChiPhiKD[Phân bổ đến] &gt; M$2)*
(VLOOKUP(Table_ChiPhiKD[Nhóm chi phí],Table_ChiPhiKD_PhanNhom[],Sheet_ChiPhiKD!$J$2,0) = "Chưa phân bổ" ))
), 0)</f>
        <v>0</v>
      </c>
      <c r="N13" s="329" cm="1">
        <f t="array" ref="N13">-
IFERROR(
SUM(
_xlfn._xlws.FILTER(Table_ChiPhiKD[Phân bổ sản xuất],
(Table_ChiPhiKD[Kỳ] = N$2) *
(NOT(ISBLANK(Table_ChiPhiKD[Tháng])))*
(VLOOKUP(Table_ChiPhiKD[Nhóm chi phí],Table_ChiPhiKD_PhanNhom[],Sheet_ChiPhiKD!$J$2,0) = "Chưa phân bổ" )
)),0)
- IFERROR(SUMPRODUCT(
_xlfn._xlws.FILTER(Table_ChiPhiKD[Phân bổ sản xuất],
(ISBLANK(Table_ChiPhiKD[Tháng])) *
(Table_ChiPhiKD[Phân bổ từ] &lt; O$2)*
(Table_ChiPhiKD[Phân bổ đến] &gt; N$2)*
(VLOOKUP(Table_ChiPhiKD[Nhóm chi phí],Table_ChiPhiKD_PhanNhom[],Sheet_ChiPhiKD!$J$2,0) = "Chưa phân bổ" )),
1/_xlfn._xlws.FILTER(ROUND((Table_ChiPhiKD[Phân bổ đến]-Table_ChiPhiKD[Phân bổ từ])/(365.25/12),0),
(ISBLANK(Table_ChiPhiKD[Tháng])) *
(Table_ChiPhiKD[Phân bổ từ] &lt; O$2)*
(Table_ChiPhiKD[Phân bổ đến] &gt; N$2)*
(VLOOKUP(Table_ChiPhiKD[Nhóm chi phí],Table_ChiPhiKD_PhanNhom[],Sheet_ChiPhiKD!$J$2,0) = "Chưa phân bổ" ))
), 0)</f>
        <v>0</v>
      </c>
      <c r="O13" s="329" cm="1">
        <f t="array" ref="O13">-
IFERROR(
SUM(
_xlfn._xlws.FILTER(Table_ChiPhiKD[Phân bổ sản xuất],
(Table_ChiPhiKD[Kỳ] = O$2) *
(NOT(ISBLANK(Table_ChiPhiKD[Tháng])))*
(VLOOKUP(Table_ChiPhiKD[Nhóm chi phí],Table_ChiPhiKD_PhanNhom[],Sheet_ChiPhiKD!$J$2,0) = "Chưa phân bổ" )
)),0)
- IFERROR(SUMPRODUCT(
_xlfn._xlws.FILTER(Table_ChiPhiKD[Phân bổ sản xuất],
(ISBLANK(Table_ChiPhiKD[Tháng])) *
(Table_ChiPhiKD[Phân bổ từ] &lt; P$2)*
(Table_ChiPhiKD[Phân bổ đến] &gt; O$2)*
(VLOOKUP(Table_ChiPhiKD[Nhóm chi phí],Table_ChiPhiKD_PhanNhom[],Sheet_ChiPhiKD!$J$2,0) = "Chưa phân bổ" )),
1/_xlfn._xlws.FILTER(ROUND((Table_ChiPhiKD[Phân bổ đến]-Table_ChiPhiKD[Phân bổ từ])/(365.25/12),0),
(ISBLANK(Table_ChiPhiKD[Tháng])) *
(Table_ChiPhiKD[Phân bổ từ] &lt; P$2)*
(Table_ChiPhiKD[Phân bổ đến] &gt; O$2)*
(VLOOKUP(Table_ChiPhiKD[Nhóm chi phí],Table_ChiPhiKD_PhanNhom[],Sheet_ChiPhiKD!$J$2,0) = "Chưa phân bổ" ))
), 0)</f>
        <v>0</v>
      </c>
      <c r="P13" s="323"/>
      <c r="Q13" s="240"/>
      <c r="R13" s="73" t="s">
        <v>286</v>
      </c>
      <c r="S13" s="328" cm="1">
        <f t="array" ref="S13" xml:space="preserve">
-IFERROR(
SUM(
_xlfn._xlws.FILTER(Table_ChiPhiKD[Phân bổ sản xuất],
(Table_ChiPhiKD[Năm] = S$1)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13" s="240"/>
      <c r="U13" s="73" t="s">
        <v>286</v>
      </c>
      <c r="V13" s="329" cm="1">
        <f t="array" ref="V13">-
IFERROR(
SUM(
_xlfn._xlws.FILTER(Table_ChiPhiKD[Phân bổ sản xuất],
(Table_ChiPhiKD[Kỳ] = V$1) *
(NOT(ISBLANK(Table_ChiPhiKD[Tháng])))*
(VLOOKUP(Table_ChiPhiKD[Nhóm chi phí],Table_ChiPhiKD_PhanNhom[],Sheet_ChiPhiKD!$J$2,0) = "Chưa phân bổ" )
)),0)
- IFERROR(SUMPRODUCT(
_xlfn._xlws.FILTER(Table_ChiPhiKD[Phân bổ sản xuất],
(ISBLANK(Table_ChiPhiKD[Tháng])) *
(Table_ChiPhiKD[Phân bổ từ] &lt; DATE(YEAR(V$1),MONTH(V$1)+1,1))*
(Table_ChiPhiKD[Phân bổ đến] &gt; V$1)*
(VLOOKUP(Table_ChiPhiKD[Nhóm chi phí],Table_ChiPhiKD_PhanNhom[],Sheet_ChiPhiKD!$J$2,0) = "Chưa phân bổ" )),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phí],Table_ChiPhiKD_PhanNhom[],Sheet_ChiPhiKD!$J$2,0) = "Chưa phân bổ" ))
), 0)</f>
        <v>0</v>
      </c>
    </row>
    <row r="14" spans="2:22" ht="18" customHeight="1" outlineLevel="2" x14ac:dyDescent="0.3">
      <c r="B14" s="73" t="s">
        <v>287</v>
      </c>
      <c r="C14" s="328" cm="1">
        <f t="array" ref="C14">-IFERROR(SUM(
_xlfn._xlws.FILTER(Table_Main[Hoa hồng],
(Table_Main[Ngày lên đơn] &gt;= DATE(C$2,1,1))*
(Table_Main[Ngày lên đơn] &lt; DATE(C$2+1,1,1))
)),0)
-IFERROR(SUM(
_xlfn._xlws.FILTER(Table_Main[CK kênh],
(Table_Main[Ngày lên đơn] &gt;= DATE(C$2,1,1))*
(Table_Main[Ngày lên đơn] &lt; DATE(C$2+1,1,1))
)),0)</f>
        <v>0</v>
      </c>
      <c r="D14" s="328" cm="1">
        <f t="array" ref="D14">-IFERROR(SUM(
_xlfn._xlws.FILTER(Table_Main[Hoa hồng],
(Table_Main[Ngày lên đơn] &gt;= D$2)*
(Table_Main[Ngày lên đơn] &lt; DATE(YEAR(D$2),MONTH(D$2)+1,1))
)),0)
-IFERROR(SUM(
_xlfn._xlws.FILTER(Table_Main[CK kênh],
(Table_Main[Ngày lên đơn] &gt;= D$2)*
(Table_Main[Ngày lên đơn] &lt; DATE(YEAR(D$2),MONTH(D$2)+1,1))
)),0)</f>
        <v>0</v>
      </c>
      <c r="E14" s="328" cm="1">
        <f t="array" ref="E14">-IFERROR(SUM(
_xlfn._xlws.FILTER(Table_Main[Hoa hồng],
(Table_Main[Ngày lên đơn] &gt;= E$2)*
(Table_Main[Ngày lên đơn] &lt; DATE(YEAR(E$2),MONTH(E$2)+1,1))
)),0)
-IFERROR(SUM(
_xlfn._xlws.FILTER(Table_Main[CK kênh],
(Table_Main[Ngày lên đơn] &gt;= E$2)*
(Table_Main[Ngày lên đơn] &lt; DATE(YEAR(E$2),MONTH(E$2)+1,1))
)),0)</f>
        <v>0</v>
      </c>
      <c r="F14" s="328" cm="1">
        <f t="array" ref="F14">-IFERROR(SUM(
_xlfn._xlws.FILTER(Table_Main[Hoa hồng],
(Table_Main[Ngày lên đơn] &gt;= F$2)*
(Table_Main[Ngày lên đơn] &lt; DATE(YEAR(F$2),MONTH(F$2)+1,1))
)),0)
-IFERROR(SUM(
_xlfn._xlws.FILTER(Table_Main[CK kênh],
(Table_Main[Ngày lên đơn] &gt;= F$2)*
(Table_Main[Ngày lên đơn] &lt; DATE(YEAR(F$2),MONTH(F$2)+1,1))
)),0)</f>
        <v>0</v>
      </c>
      <c r="G14" s="328" cm="1">
        <f t="array" ref="G14">-IFERROR(SUM(
_xlfn._xlws.FILTER(Table_Main[Hoa hồng],
(Table_Main[Ngày lên đơn] &gt;= G$2)*
(Table_Main[Ngày lên đơn] &lt; DATE(YEAR(G$2),MONTH(G$2)+1,1))
)),0)
-IFERROR(SUM(
_xlfn._xlws.FILTER(Table_Main[CK kênh],
(Table_Main[Ngày lên đơn] &gt;= G$2)*
(Table_Main[Ngày lên đơn] &lt; DATE(YEAR(G$2),MONTH(G$2)+1,1))
)),0)</f>
        <v>0</v>
      </c>
      <c r="H14" s="328" cm="1">
        <f t="array" ref="H14">-IFERROR(SUM(
_xlfn._xlws.FILTER(Table_Main[Hoa hồng],
(Table_Main[Ngày lên đơn] &gt;= H$2)*
(Table_Main[Ngày lên đơn] &lt; DATE(YEAR(H$2),MONTH(H$2)+1,1))
)),0)
-IFERROR(SUM(
_xlfn._xlws.FILTER(Table_Main[CK kênh],
(Table_Main[Ngày lên đơn] &gt;= H$2)*
(Table_Main[Ngày lên đơn] &lt; DATE(YEAR(H$2),MONTH(H$2)+1,1))
)),0)</f>
        <v>0</v>
      </c>
      <c r="I14" s="328" cm="1">
        <f t="array" ref="I14">-IFERROR(SUM(
_xlfn._xlws.FILTER(Table_Main[Hoa hồng],
(Table_Main[Ngày lên đơn] &gt;= I$2)*
(Table_Main[Ngày lên đơn] &lt; DATE(YEAR(I$2),MONTH(I$2)+1,1))
)),0)
-IFERROR(SUM(
_xlfn._xlws.FILTER(Table_Main[CK kênh],
(Table_Main[Ngày lên đơn] &gt;= I$2)*
(Table_Main[Ngày lên đơn] &lt; DATE(YEAR(I$2),MONTH(I$2)+1,1))
)),0)</f>
        <v>0</v>
      </c>
      <c r="J14" s="328" cm="1">
        <f t="array" ref="J14">-IFERROR(SUM(
_xlfn._xlws.FILTER(Table_Main[Hoa hồng],
(Table_Main[Ngày lên đơn] &gt;= J$2)*
(Table_Main[Ngày lên đơn] &lt; DATE(YEAR(J$2),MONTH(J$2)+1,1))
)),0)
-IFERROR(SUM(
_xlfn._xlws.FILTER(Table_Main[CK kênh],
(Table_Main[Ngày lên đơn] &gt;= J$2)*
(Table_Main[Ngày lên đơn] &lt; DATE(YEAR(J$2),MONTH(J$2)+1,1))
)),0)</f>
        <v>0</v>
      </c>
      <c r="K14" s="328" cm="1">
        <f t="array" ref="K14">-IFERROR(SUM(
_xlfn._xlws.FILTER(Table_Main[Hoa hồng],
(Table_Main[Ngày lên đơn] &gt;= K$2)*
(Table_Main[Ngày lên đơn] &lt; DATE(YEAR(K$2),MONTH(K$2)+1,1))
)),0)
-IFERROR(SUM(
_xlfn._xlws.FILTER(Table_Main[CK kênh],
(Table_Main[Ngày lên đơn] &gt;= K$2)*
(Table_Main[Ngày lên đơn] &lt; DATE(YEAR(K$2),MONTH(K$2)+1,1))
)),0)</f>
        <v>0</v>
      </c>
      <c r="L14" s="328" cm="1">
        <f t="array" ref="L14">-IFERROR(SUM(
_xlfn._xlws.FILTER(Table_Main[Hoa hồng],
(Table_Main[Ngày lên đơn] &gt;= L$2)*
(Table_Main[Ngày lên đơn] &lt; DATE(YEAR(L$2),MONTH(L$2)+1,1))
)),0)
-IFERROR(SUM(
_xlfn._xlws.FILTER(Table_Main[CK kênh],
(Table_Main[Ngày lên đơn] &gt;= L$2)*
(Table_Main[Ngày lên đơn] &lt; DATE(YEAR(L$2),MONTH(L$2)+1,1))
)),0)</f>
        <v>0</v>
      </c>
      <c r="M14" s="328" cm="1">
        <f t="array" ref="M14">-IFERROR(SUM(
_xlfn._xlws.FILTER(Table_Main[Hoa hồng],
(Table_Main[Ngày lên đơn] &gt;= M$2)*
(Table_Main[Ngày lên đơn] &lt; DATE(YEAR(M$2),MONTH(M$2)+1,1))
)),0)
-IFERROR(SUM(
_xlfn._xlws.FILTER(Table_Main[CK kênh],
(Table_Main[Ngày lên đơn] &gt;= M$2)*
(Table_Main[Ngày lên đơn] &lt; DATE(YEAR(M$2),MONTH(M$2)+1,1))
)),0)</f>
        <v>0</v>
      </c>
      <c r="N14" s="328" cm="1">
        <f t="array" ref="N14">-IFERROR(SUM(
_xlfn._xlws.FILTER(Table_Main[Hoa hồng],
(Table_Main[Ngày lên đơn] &gt;= N$2)*
(Table_Main[Ngày lên đơn] &lt; DATE(YEAR(N$2),MONTH(N$2)+1,1))
)),0)
-IFERROR(SUM(
_xlfn._xlws.FILTER(Table_Main[CK kênh],
(Table_Main[Ngày lên đơn] &gt;= N$2)*
(Table_Main[Ngày lên đơn] &lt; DATE(YEAR(N$2),MONTH(N$2)+1,1))
)),0)</f>
        <v>0</v>
      </c>
      <c r="O14" s="328" cm="1">
        <f t="array" ref="O14">-IFERROR(SUM(
_xlfn._xlws.FILTER(Table_Main[Hoa hồng],
(Table_Main[Ngày lên đơn] &gt;= O$2)*
(Table_Main[Ngày lên đơn] &lt; DATE(YEAR(O$2),MONTH(O$2)+1,1))
)),0)
-IFERROR(SUM(
_xlfn._xlws.FILTER(Table_Main[CK kênh],
(Table_Main[Ngày lên đơn] &gt;= O$2)*
(Table_Main[Ngày lên đơn] &lt; DATE(YEAR(O$2),MONTH(O$2)+1,1))
)),0)</f>
        <v>0</v>
      </c>
      <c r="P14" s="323"/>
      <c r="Q14" s="240"/>
      <c r="R14" s="73" t="s">
        <v>223</v>
      </c>
      <c r="S14" s="328" cm="1">
        <f t="array" ref="S14">-IFERROR(SUM(
_xlfn._xlws.FILTER(Table_Main[Hoa hồng],
(Table_Main[Ngày lên đơn] &gt;= DATE(S$1,1,1))*
(Table_Main[Ngày lên đơn] &lt; DATE(S$1+1,1,1))
)),0)
-IFERROR(SUM(
_xlfn._xlws.FILTER(Table_Main[CK kênh],
(Table_Main[Ngày lên đơn] &gt;= DATE(S$1,1,1))*
(Table_Main[Ngày lên đơn] &lt; DATE(S$1+1,1,1))
)),0)</f>
        <v>0</v>
      </c>
      <c r="T14" s="240"/>
      <c r="U14" s="73" t="s">
        <v>223</v>
      </c>
      <c r="V14" s="328" cm="1">
        <f t="array" ref="V14">-IFERROR(SUM(
_xlfn._xlws.FILTER(Table_Main[Hoa hồng],
(Table_Main[Ngày lên đơn] &gt;= V$1)*
(Table_Main[Ngày lên đơn] &lt; DATE(YEAR(V$1),MONTH(V$1)+1,1))
)),0)
-IFERROR(SUM(
_xlfn._xlws.FILTER(Table_Main[CK kênh],
(Table_Main[Ngày lên đơn] &gt;= V$1)*
(Table_Main[Ngày lên đơn] &lt; DATE(YEAR(V$1),MONTH(V$1)+1,1))
)),0)</f>
        <v>0</v>
      </c>
    </row>
    <row r="15" spans="2:22" ht="18" customHeight="1" outlineLevel="2" x14ac:dyDescent="0.3">
      <c r="B15" s="73" t="s">
        <v>288</v>
      </c>
      <c r="C15" s="328" cm="1">
        <f t="array" ref="C15" xml:space="preserve">
-IFERROR(
SUM(_xlfn._xlws.FILTER(Table_KPI[Thưởng KPI],
(Table_KPI[Năm] = C2)
)),0)</f>
        <v>0</v>
      </c>
      <c r="D15" s="329" cm="1">
        <f t="array" ref="D15" xml:space="preserve">
-IFERROR(
SUM(_xlfn._xlws.FILTER(Table_KPI[Thưởng KPI],
(NOT(ISBLANK(Table_KPI[Tháng]))) *
(Table_KPI[Kỳ] = D2)
)),0)
-IFERROR(
SUM(_xlfn._xlws.FILTER(Table_KPI[Thưởng KPI],
(Table_KPI[Năm]  = YEAR(D2))*
(ISBLANK(Table_KPI[Tháng]))
)) / 12, 0)</f>
        <v>0</v>
      </c>
      <c r="E15" s="329" cm="1">
        <f t="array" ref="E15" xml:space="preserve">
-IFERROR(
SUM(_xlfn._xlws.FILTER(Table_KPI[Thưởng KPI],
(NOT(ISBLANK(Table_KPI[Tháng]))) *
(Table_KPI[Kỳ] = E2)
)),0)
-IFERROR(
SUM(_xlfn._xlws.FILTER(Table_KPI[Thưởng KPI],
(Table_KPI[Năm]  = YEAR(E2))*
(ISBLANK(Table_KPI[Tháng]))
)) / 12, 0)</f>
        <v>0</v>
      </c>
      <c r="F15" s="329" cm="1">
        <f t="array" ref="F15" xml:space="preserve">
-IFERROR(
SUM(_xlfn._xlws.FILTER(Table_KPI[Thưởng KPI],
(NOT(ISBLANK(Table_KPI[Tháng]))) *
(Table_KPI[Kỳ] = F2)
)),0)
-IFERROR(
SUM(_xlfn._xlws.FILTER(Table_KPI[Thưởng KPI],
(Table_KPI[Năm]  = YEAR(F2))*
(ISBLANK(Table_KPI[Tháng]))
)) / 12, 0)</f>
        <v>0</v>
      </c>
      <c r="G15" s="329" cm="1">
        <f t="array" ref="G15" xml:space="preserve">
-IFERROR(
SUM(_xlfn._xlws.FILTER(Table_KPI[Thưởng KPI],
(NOT(ISBLANK(Table_KPI[Tháng]))) *
(Table_KPI[Kỳ] = G2)
)),0)
-IFERROR(
SUM(_xlfn._xlws.FILTER(Table_KPI[Thưởng KPI],
(Table_KPI[Năm]  = YEAR(G2))*
(ISBLANK(Table_KPI[Tháng]))
)) / 12, 0)</f>
        <v>0</v>
      </c>
      <c r="H15" s="329" cm="1">
        <f t="array" ref="H15" xml:space="preserve">
-IFERROR(
SUM(_xlfn._xlws.FILTER(Table_KPI[Thưởng KPI],
(NOT(ISBLANK(Table_KPI[Tháng]))) *
(Table_KPI[Kỳ] = H2)
)),0)
-IFERROR(
SUM(_xlfn._xlws.FILTER(Table_KPI[Thưởng KPI],
(Table_KPI[Năm]  = YEAR(H2))*
(ISBLANK(Table_KPI[Tháng]))
)) / 12, 0)</f>
        <v>0</v>
      </c>
      <c r="I15" s="329" cm="1">
        <f t="array" ref="I15" xml:space="preserve">
-IFERROR(
SUM(_xlfn._xlws.FILTER(Table_KPI[Thưởng KPI],
(NOT(ISBLANK(Table_KPI[Tháng]))) *
(Table_KPI[Kỳ] = I2)
)),0)
-IFERROR(
SUM(_xlfn._xlws.FILTER(Table_KPI[Thưởng KPI],
(Table_KPI[Năm]  = YEAR(I2))*
(ISBLANK(Table_KPI[Tháng]))
)) / 12, 0)</f>
        <v>0</v>
      </c>
      <c r="J15" s="329" cm="1">
        <f t="array" ref="J15" xml:space="preserve">
-IFERROR(
SUM(_xlfn._xlws.FILTER(Table_KPI[Thưởng KPI],
(NOT(ISBLANK(Table_KPI[Tháng]))) *
(Table_KPI[Kỳ] = J2)
)),0)
-IFERROR(
SUM(_xlfn._xlws.FILTER(Table_KPI[Thưởng KPI],
(Table_KPI[Năm]  = YEAR(J2))*
(ISBLANK(Table_KPI[Tháng]))
)) / 12, 0)</f>
        <v>0</v>
      </c>
      <c r="K15" s="329" cm="1">
        <f t="array" ref="K15" xml:space="preserve">
-IFERROR(
SUM(_xlfn._xlws.FILTER(Table_KPI[Thưởng KPI],
(NOT(ISBLANK(Table_KPI[Tháng]))) *
(Table_KPI[Kỳ] = K2)
)),0)
-IFERROR(
SUM(_xlfn._xlws.FILTER(Table_KPI[Thưởng KPI],
(Table_KPI[Năm]  = YEAR(K2))*
(ISBLANK(Table_KPI[Tháng]))
)) / 12, 0)</f>
        <v>0</v>
      </c>
      <c r="L15" s="329" cm="1">
        <f t="array" ref="L15" xml:space="preserve">
-IFERROR(
SUM(_xlfn._xlws.FILTER(Table_KPI[Thưởng KPI],
(NOT(ISBLANK(Table_KPI[Tháng]))) *
(Table_KPI[Kỳ] = L2)
)),0)
-IFERROR(
SUM(_xlfn._xlws.FILTER(Table_KPI[Thưởng KPI],
(Table_KPI[Năm]  = YEAR(L2))*
(ISBLANK(Table_KPI[Tháng]))
)) / 12, 0)</f>
        <v>0</v>
      </c>
      <c r="M15" s="329" cm="1">
        <f t="array" ref="M15" xml:space="preserve">
-IFERROR(
SUM(_xlfn._xlws.FILTER(Table_KPI[Thưởng KPI],
(NOT(ISBLANK(Table_KPI[Tháng]))) *
(Table_KPI[Kỳ] = M2)
)),0)
-IFERROR(
SUM(_xlfn._xlws.FILTER(Table_KPI[Thưởng KPI],
(Table_KPI[Năm]  = YEAR(M2))*
(ISBLANK(Table_KPI[Tháng]))
)) / 12, 0)</f>
        <v>0</v>
      </c>
      <c r="N15" s="329" cm="1">
        <f t="array" ref="N15" xml:space="preserve">
-IFERROR(
SUM(_xlfn._xlws.FILTER(Table_KPI[Thưởng KPI],
(NOT(ISBLANK(Table_KPI[Tháng]))) *
(Table_KPI[Kỳ] = N2)
)),0)
-IFERROR(
SUM(_xlfn._xlws.FILTER(Table_KPI[Thưởng KPI],
(Table_KPI[Năm]  = YEAR(N2))*
(ISBLANK(Table_KPI[Tháng]))
)) / 12, 0)</f>
        <v>0</v>
      </c>
      <c r="O15" s="329" cm="1">
        <f t="array" ref="O15" xml:space="preserve">
-IFERROR(
SUM(_xlfn._xlws.FILTER(Table_KPI[Thưởng KPI],
(NOT(ISBLANK(Table_KPI[Tháng]))) *
(Table_KPI[Kỳ] = O2)
)),0)
-IFERROR(
SUM(_xlfn._xlws.FILTER(Table_KPI[Thưởng KPI],
(Table_KPI[Năm]  = YEAR(O2))*
(ISBLANK(Table_KPI[Tháng]))
)) / 12, 0)</f>
        <v>0</v>
      </c>
      <c r="P15" s="323"/>
      <c r="Q15" s="240"/>
      <c r="R15" s="73" t="s">
        <v>288</v>
      </c>
      <c r="S15" s="328" cm="1">
        <f t="array" ref="S15" xml:space="preserve">
-IFERROR(
SUM(_xlfn._xlws.FILTER(Table_KPI[Thưởng KPI],
(Table_KPI[Năm] = S1)
)),0)</f>
        <v>0</v>
      </c>
      <c r="T15" s="240"/>
      <c r="U15" s="73" t="s">
        <v>288</v>
      </c>
      <c r="V15" s="329" cm="1">
        <f t="array" ref="V15" xml:space="preserve">
-IFERROR(
SUM(_xlfn._xlws.FILTER(Table_KPI[Thưởng KPI],
(NOT(ISBLANK(Table_KPI[Tháng]))) *
(Table_KPI[Kỳ] = V1)
)),0)
-IFERROR(
SUM(_xlfn._xlws.FILTER(Table_KPI[Thưởng KPI],
(Table_KPI[Năm]  = YEAR(V1))*
(ISBLANK(Table_KPI[Tháng]))
)) / 12, 0)</f>
        <v>0</v>
      </c>
    </row>
    <row r="16" spans="2:22" ht="18" customHeight="1" outlineLevel="2" x14ac:dyDescent="0.3">
      <c r="B16" s="73" t="s">
        <v>289</v>
      </c>
      <c r="C16" s="328" cm="1">
        <f t="array" ref="C16">-IFERROR(SUM(
_xlfn._xlws.FILTER(Table_ThuChiKD[Phí GD],
(Table_ThuChiKD[Ngày GD] &gt;= D2)*
(Table_ThuChiKD[Ngày GD] &lt; P2)
)),0)</f>
        <v>0</v>
      </c>
      <c r="D16" s="329" cm="1">
        <f t="array" ref="D16">-IFERROR(SUM(
_xlfn._xlws.FILTER(Table_ThuChiKD[Phí GD],
(Table_ThuChiKD[Ngày GD] &gt;= D2)*
(Table_ThuChiKD[Ngày GD] &lt; E2)
)),0)</f>
        <v>0</v>
      </c>
      <c r="E16" s="329" cm="1">
        <f t="array" ref="E16">-IFERROR(SUM(
_xlfn._xlws.FILTER(Table_ThuChiKD[Phí GD],
(Table_ThuChiKD[Ngày GD] &gt;= E2)*
(Table_ThuChiKD[Ngày GD] &lt; F2)
)),0)</f>
        <v>0</v>
      </c>
      <c r="F16" s="329" cm="1">
        <f t="array" ref="F16">-IFERROR(SUM(
_xlfn._xlws.FILTER(Table_ThuChiKD[Phí GD],
(Table_ThuChiKD[Ngày GD] &gt;= F2)*
(Table_ThuChiKD[Ngày GD] &lt; G2)
)),0)</f>
        <v>0</v>
      </c>
      <c r="G16" s="329" cm="1">
        <f t="array" ref="G16">-IFERROR(SUM(
_xlfn._xlws.FILTER(Table_ThuChiKD[Phí GD],
(Table_ThuChiKD[Ngày GD] &gt;= G2)*
(Table_ThuChiKD[Ngày GD] &lt; H2)
)),0)</f>
        <v>0</v>
      </c>
      <c r="H16" s="329" cm="1">
        <f t="array" ref="H16">-IFERROR(SUM(
_xlfn._xlws.FILTER(Table_ThuChiKD[Phí GD],
(Table_ThuChiKD[Ngày GD] &gt;= H2)*
(Table_ThuChiKD[Ngày GD] &lt; I2)
)),0)</f>
        <v>0</v>
      </c>
      <c r="I16" s="329" cm="1">
        <f t="array" ref="I16">-IFERROR(SUM(
_xlfn._xlws.FILTER(Table_ThuChiKD[Phí GD],
(Table_ThuChiKD[Ngày GD] &gt;= I2)*
(Table_ThuChiKD[Ngày GD] &lt; J2)
)),0)</f>
        <v>0</v>
      </c>
      <c r="J16" s="329" cm="1">
        <f t="array" ref="J16">-IFERROR(SUM(
_xlfn._xlws.FILTER(Table_ThuChiKD[Phí GD],
(Table_ThuChiKD[Ngày GD] &gt;= J2)*
(Table_ThuChiKD[Ngày GD] &lt; K2)
)),0)</f>
        <v>0</v>
      </c>
      <c r="K16" s="329" cm="1">
        <f t="array" ref="K16">-IFERROR(SUM(
_xlfn._xlws.FILTER(Table_ThuChiKD[Phí GD],
(Table_ThuChiKD[Ngày GD] &gt;= K2)*
(Table_ThuChiKD[Ngày GD] &lt; L2)
)),0)</f>
        <v>0</v>
      </c>
      <c r="L16" s="329" cm="1">
        <f t="array" ref="L16">-IFERROR(SUM(
_xlfn._xlws.FILTER(Table_ThuChiKD[Phí GD],
(Table_ThuChiKD[Ngày GD] &gt;= L2)*
(Table_ThuChiKD[Ngày GD] &lt; M2)
)),0)</f>
        <v>0</v>
      </c>
      <c r="M16" s="329" cm="1">
        <f t="array" ref="M16">-IFERROR(SUM(
_xlfn._xlws.FILTER(Table_ThuChiKD[Phí GD],
(Table_ThuChiKD[Ngày GD] &gt;= M2)*
(Table_ThuChiKD[Ngày GD] &lt; N2)
)),0)</f>
        <v>0</v>
      </c>
      <c r="N16" s="329" cm="1">
        <f t="array" ref="N16">-IFERROR(SUM(
_xlfn._xlws.FILTER(Table_ThuChiKD[Phí GD],
(Table_ThuChiKD[Ngày GD] &gt;= N2)*
(Table_ThuChiKD[Ngày GD] &lt; O2)
)),0)</f>
        <v>0</v>
      </c>
      <c r="O16" s="329" cm="1">
        <f t="array" ref="O16">-IFERROR(SUM(
_xlfn._xlws.FILTER(Table_ThuChiKD[Phí GD],
(Table_ThuChiKD[Ngày GD] &gt;= O2)*
(Table_ThuChiKD[Ngày GD] &lt; P2)
)),0)</f>
        <v>0</v>
      </c>
      <c r="P16" s="323"/>
      <c r="Q16" s="240"/>
      <c r="R16" s="73" t="s">
        <v>289</v>
      </c>
      <c r="S16" s="328" cm="1">
        <f t="array" ref="S16">-IFERROR(SUM(
_xlfn._xlws.FILTER(Table_ThuChiKD[Phí GD],
(Table_ThuChiKD[Ngày GD] &gt;= DATE(S$1,1,1))*
(Table_ThuChiKD[Ngày GD] &lt; DATE(S$1+1,1,1))
)),0)</f>
        <v>0</v>
      </c>
      <c r="T16" s="240"/>
      <c r="U16" s="73" t="s">
        <v>289</v>
      </c>
      <c r="V16" s="328" cm="1">
        <f t="array" ref="V16">-IFERROR(SUM(
_xlfn._xlws.FILTER(Table_ThuChiKD[Phí GD],
(Table_ThuChiKD[Ngày GD] &gt;= V$1)*
(Table_ThuChiKD[Ngày GD] &lt; DATE(YEAR(V$1),MONTH(V$1)+1,1))
)),0)</f>
        <v>0</v>
      </c>
    </row>
    <row r="17" spans="2:22" ht="18" customHeight="1" outlineLevel="2" x14ac:dyDescent="0.3">
      <c r="B17" s="73" t="s">
        <v>290</v>
      </c>
      <c r="C17" s="328" cm="1">
        <f t="array" ref="C17">-IFERROR(
SUM(_xlfn._xlws.FILTER(Table_VanDon[Phí ship],
(Table_VanDon[Bên chịu phí] = "Bên bán") *
(Table_VanDon[Ngày lập] &gt;= D2) *
(Table_VanDon[Ngày lập] &lt; P2)
)),0)</f>
        <v>0</v>
      </c>
      <c r="D17" s="328" cm="1">
        <f t="array" ref="D17">-IFERROR(
SUM(_xlfn._xlws.FILTER(Table_VanDon[Phí ship],
(Table_VanDon[Bên chịu phí] = "Bên bán") *
(Table_VanDon[Ngày lập] &gt;= D2) *
(Table_VanDon[Ngày lập] &lt; E2)
)),0)</f>
        <v>0</v>
      </c>
      <c r="E17" s="328" cm="1">
        <f t="array" ref="E17">-IFERROR(
SUM(_xlfn._xlws.FILTER(Table_VanDon[Phí ship],
(Table_VanDon[Bên chịu phí] = "Bên bán") *
(Table_VanDon[Ngày lập] &gt;= E2) *
(Table_VanDon[Ngày lập] &lt; F2)
)),0)</f>
        <v>0</v>
      </c>
      <c r="F17" s="328" cm="1">
        <f t="array" ref="F17">-IFERROR(
SUM(_xlfn._xlws.FILTER(Table_VanDon[Phí ship],
(Table_VanDon[Bên chịu phí] = "Bên bán") *
(Table_VanDon[Ngày lập] &gt;= F2) *
(Table_VanDon[Ngày lập] &lt; G2)
)),0)</f>
        <v>0</v>
      </c>
      <c r="G17" s="328" cm="1">
        <f t="array" ref="G17">-IFERROR(
SUM(_xlfn._xlws.FILTER(Table_VanDon[Phí ship],
(Table_VanDon[Bên chịu phí] = "Bên bán") *
(Table_VanDon[Ngày lập] &gt;= G2) *
(Table_VanDon[Ngày lập] &lt; H2)
)),0)</f>
        <v>0</v>
      </c>
      <c r="H17" s="328" cm="1">
        <f t="array" ref="H17">-IFERROR(
SUM(_xlfn._xlws.FILTER(Table_VanDon[Phí ship],
(Table_VanDon[Bên chịu phí] = "Bên bán") *
(Table_VanDon[Ngày lập] &gt;= H2) *
(Table_VanDon[Ngày lập] &lt; I2)
)),0)</f>
        <v>0</v>
      </c>
      <c r="I17" s="328" cm="1">
        <f t="array" ref="I17">-IFERROR(
SUM(_xlfn._xlws.FILTER(Table_VanDon[Phí ship],
(Table_VanDon[Bên chịu phí] = "Bên bán") *
(Table_VanDon[Ngày lập] &gt;= I2) *
(Table_VanDon[Ngày lập] &lt; J2)
)),0)</f>
        <v>0</v>
      </c>
      <c r="J17" s="328" cm="1">
        <f t="array" ref="J17">-IFERROR(
SUM(_xlfn._xlws.FILTER(Table_VanDon[Phí ship],
(Table_VanDon[Bên chịu phí] = "Bên bán") *
(Table_VanDon[Ngày lập] &gt;= J2) *
(Table_VanDon[Ngày lập] &lt; K2)
)),0)</f>
        <v>0</v>
      </c>
      <c r="K17" s="328" cm="1">
        <f t="array" ref="K17">-IFERROR(
SUM(_xlfn._xlws.FILTER(Table_VanDon[Phí ship],
(Table_VanDon[Bên chịu phí] = "Bên bán") *
(Table_VanDon[Ngày lập] &gt;= K2) *
(Table_VanDon[Ngày lập] &lt; L2)
)),0)</f>
        <v>0</v>
      </c>
      <c r="L17" s="328" cm="1">
        <f t="array" ref="L17">-IFERROR(
SUM(_xlfn._xlws.FILTER(Table_VanDon[Phí ship],
(Table_VanDon[Bên chịu phí] = "Bên bán") *
(Table_VanDon[Ngày lập] &gt;= L2) *
(Table_VanDon[Ngày lập] &lt; M2)
)),0)</f>
        <v>0</v>
      </c>
      <c r="M17" s="328" cm="1">
        <f t="array" ref="M17">-IFERROR(
SUM(_xlfn._xlws.FILTER(Table_VanDon[Phí ship],
(Table_VanDon[Bên chịu phí] = "Bên bán") *
(Table_VanDon[Ngày lập] &gt;= M2) *
(Table_VanDon[Ngày lập] &lt; N2)
)),0)</f>
        <v>0</v>
      </c>
      <c r="N17" s="328" cm="1">
        <f t="array" ref="N17">-IFERROR(
SUM(_xlfn._xlws.FILTER(Table_VanDon[Phí ship],
(Table_VanDon[Bên chịu phí] = "Bên bán") *
(Table_VanDon[Ngày lập] &gt;= N2) *
(Table_VanDon[Ngày lập] &lt; O2)
)),0)</f>
        <v>0</v>
      </c>
      <c r="O17" s="328" cm="1">
        <f t="array" ref="O17">-IFERROR(
SUM(_xlfn._xlws.FILTER(Table_VanDon[Phí ship],
(Table_VanDon[Bên chịu phí] = "Bên bán") *
(Table_VanDon[Ngày lập] &gt;= O2) *
(Table_VanDon[Ngày lập] &lt; P2)
)),0)</f>
        <v>0</v>
      </c>
      <c r="P17" s="323"/>
      <c r="Q17" s="240"/>
      <c r="R17" s="73" t="s">
        <v>290</v>
      </c>
      <c r="S17" s="328" cm="1">
        <f t="array" ref="S17">-IFERROR(
SUM(_xlfn._xlws.FILTER(Table_VanDon[Phí ship],
(Table_VanDon[Bên chịu phí] = "Bên bán") *
(Table_VanDon[Ngày lập] &gt;=  DATE(S$1,1,1)) *
(Table_VanDon[Ngày lập] &lt;  DATE(S$1+1,1,1))
)),0)</f>
        <v>0</v>
      </c>
      <c r="T17" s="240"/>
      <c r="U17" s="73" t="s">
        <v>290</v>
      </c>
      <c r="V17" s="328" cm="1">
        <f t="array" ref="V17">-IFERROR(
SUM(_xlfn._xlws.FILTER(Table_VanDon[Phí ship],
(Table_VanDon[Bên chịu phí] = "Bên bán") *
(Table_VanDon[Ngày lập] &gt;= V$1) *
(Table_VanDon[Ngày lập] &lt;  DATE(YEAR(V$1),MONTH(V$1)+1,1))
)),0)</f>
        <v>0</v>
      </c>
    </row>
    <row r="18" spans="2:22" ht="18" customHeight="1" outlineLevel="1" x14ac:dyDescent="0.3">
      <c r="B18" s="74" t="s">
        <v>84</v>
      </c>
      <c r="C18" s="327">
        <f t="shared" ref="C18:O18" si="6">+C9+C11</f>
        <v>0</v>
      </c>
      <c r="D18" s="327">
        <f t="shared" si="6"/>
        <v>0</v>
      </c>
      <c r="E18" s="327">
        <f t="shared" si="6"/>
        <v>0</v>
      </c>
      <c r="F18" s="327">
        <f t="shared" si="6"/>
        <v>0</v>
      </c>
      <c r="G18" s="327">
        <f t="shared" si="6"/>
        <v>0</v>
      </c>
      <c r="H18" s="327">
        <f t="shared" si="6"/>
        <v>0</v>
      </c>
      <c r="I18" s="327">
        <f t="shared" si="6"/>
        <v>0</v>
      </c>
      <c r="J18" s="327">
        <f t="shared" si="6"/>
        <v>0</v>
      </c>
      <c r="K18" s="327">
        <f t="shared" si="6"/>
        <v>0</v>
      </c>
      <c r="L18" s="327">
        <f t="shared" si="6"/>
        <v>0</v>
      </c>
      <c r="M18" s="327">
        <f t="shared" si="6"/>
        <v>0</v>
      </c>
      <c r="N18" s="327">
        <f t="shared" si="6"/>
        <v>0</v>
      </c>
      <c r="O18" s="327">
        <f t="shared" si="6"/>
        <v>0</v>
      </c>
      <c r="P18" s="323"/>
      <c r="Q18" s="240"/>
      <c r="R18" s="74" t="s">
        <v>84</v>
      </c>
      <c r="S18" s="103">
        <f>+S9+S11</f>
        <v>0</v>
      </c>
      <c r="T18" s="240"/>
      <c r="U18" s="74" t="s">
        <v>84</v>
      </c>
      <c r="V18" s="103">
        <f>+V9+V11</f>
        <v>0</v>
      </c>
    </row>
    <row r="19" spans="2:22" ht="18" customHeight="1" outlineLevel="1" x14ac:dyDescent="0.3">
      <c r="B19" s="99" t="s">
        <v>291</v>
      </c>
      <c r="C19" s="109">
        <f t="shared" ref="C19:O19" si="7">IFERROR(C20/(C20+C11),0)</f>
        <v>0</v>
      </c>
      <c r="D19" s="109">
        <f t="shared" si="7"/>
        <v>0</v>
      </c>
      <c r="E19" s="109">
        <f t="shared" si="7"/>
        <v>0</v>
      </c>
      <c r="F19" s="109">
        <f t="shared" si="7"/>
        <v>0</v>
      </c>
      <c r="G19" s="109">
        <f t="shared" si="7"/>
        <v>0</v>
      </c>
      <c r="H19" s="109">
        <f t="shared" si="7"/>
        <v>0</v>
      </c>
      <c r="I19" s="109">
        <f t="shared" si="7"/>
        <v>0</v>
      </c>
      <c r="J19" s="109">
        <f t="shared" si="7"/>
        <v>0</v>
      </c>
      <c r="K19" s="109">
        <f t="shared" si="7"/>
        <v>0</v>
      </c>
      <c r="L19" s="109">
        <f t="shared" si="7"/>
        <v>0</v>
      </c>
      <c r="M19" s="109">
        <f t="shared" si="7"/>
        <v>0</v>
      </c>
      <c r="N19" s="109">
        <f t="shared" si="7"/>
        <v>0</v>
      </c>
      <c r="O19" s="109">
        <f t="shared" si="7"/>
        <v>0</v>
      </c>
      <c r="P19" s="323"/>
      <c r="Q19" s="240"/>
      <c r="R19" s="99" t="s">
        <v>291</v>
      </c>
      <c r="S19" s="111">
        <f>IFERROR(S20/(S20+S11),0)</f>
        <v>0</v>
      </c>
      <c r="T19" s="240"/>
      <c r="U19" s="99" t="s">
        <v>291</v>
      </c>
      <c r="V19" s="109">
        <f>IFERROR(V20/(V20+V11),0)</f>
        <v>0</v>
      </c>
    </row>
    <row r="20" spans="2:22" ht="18" customHeight="1" outlineLevel="1" x14ac:dyDescent="0.3">
      <c r="B20" s="54" t="s">
        <v>86</v>
      </c>
      <c r="C20" s="322">
        <f t="shared" ref="C20:O20" si="8">+SUM(C21:C29)</f>
        <v>0</v>
      </c>
      <c r="D20" s="322">
        <f t="shared" si="8"/>
        <v>0</v>
      </c>
      <c r="E20" s="322">
        <f t="shared" si="8"/>
        <v>0</v>
      </c>
      <c r="F20" s="322">
        <f t="shared" si="8"/>
        <v>0</v>
      </c>
      <c r="G20" s="322">
        <f t="shared" si="8"/>
        <v>0</v>
      </c>
      <c r="H20" s="322">
        <f t="shared" si="8"/>
        <v>0</v>
      </c>
      <c r="I20" s="322">
        <f t="shared" si="8"/>
        <v>0</v>
      </c>
      <c r="J20" s="322">
        <f t="shared" si="8"/>
        <v>0</v>
      </c>
      <c r="K20" s="322">
        <f t="shared" si="8"/>
        <v>0</v>
      </c>
      <c r="L20" s="322">
        <f t="shared" si="8"/>
        <v>0</v>
      </c>
      <c r="M20" s="322">
        <f t="shared" si="8"/>
        <v>0</v>
      </c>
      <c r="N20" s="322">
        <f t="shared" si="8"/>
        <v>0</v>
      </c>
      <c r="O20" s="322">
        <f t="shared" si="8"/>
        <v>0</v>
      </c>
      <c r="P20" s="323"/>
      <c r="Q20" s="240"/>
      <c r="R20" s="54" t="s">
        <v>86</v>
      </c>
      <c r="S20" s="102">
        <f>+SUM(S21:S29)</f>
        <v>0</v>
      </c>
      <c r="T20" s="240"/>
      <c r="U20" s="54" t="s">
        <v>86</v>
      </c>
      <c r="V20" s="102">
        <f>+SUM(V21:V29)</f>
        <v>0</v>
      </c>
    </row>
    <row r="21" spans="2:22" ht="18" customHeight="1" outlineLevel="2" x14ac:dyDescent="0.3">
      <c r="B21" s="73" t="s">
        <v>292</v>
      </c>
      <c r="C21" s="328" cm="1">
        <f t="array" ref="C21" xml:space="preserve">
-IFERROR(
SUM(
_xlfn._xlws.FILTER(Table_ChiPhiNV[Tổng chi phí],
(NOT(ISBLANK(Table_ChiPhiNV[Tháng])))*
(Table_ChiPhiNV[Năm] = C$2)
)),
0)
-IFERROR(
SUMPRODUCT(
_xlfn._xlws.FILTER(Table_ChiPhiNV[Tổng chi phí],
(ISBLANK(Table_ChiPhiNV[Tháng]))*
(Table_ChiPhiNV[Phân bổ từ] &lt; DATE(C$2+1,1,1))*
(Table_ChiPhiNV[Phân bổ đến] &gt; DATE(C$2,1,1))
),
_xlfn._xlws.FILTER(
ROUND(
(
IF(
DATE(C$2+1,1,1)-1 &gt;
Table_ChiPhiNV[Phân bổ đến],
Table_ChiPhiNV[Phân bổ đến],
DATE(C$2+1,1,1)-1
)
-IF(
DATE(C$2,1,1) &gt;
Table_ChiPhiNV[Phân bổ từ],
DATE(C$2,1,1),
Table_ChiPhiNV[Phân bổ từ]
)
)/(365.25/12),
0),
(ISBLANK(Table_ChiPhiNV[Tháng]))*
(Table_ChiPhiNV[Phân bổ từ] &lt; DATE(C$2+1,1,1))*
(Table_ChiPhiNV[Phân bổ đến] &gt; DATE(C$2,1,1))
),
1/_xlfn._xlws.FILTER(
ROUND(
(Table_ChiPhiNV[Phân bổ đến]-Table_ChiPhiNV[Phân bổ từ])
/(365.25/12),
0),
(ISBLANK(Table_ChiPhiNV[Tháng]))*
(Table_ChiPhiNV[Phân bổ từ] &lt; DATE(C$2+1,1,1))*
(Table_ChiPhiNV[Phân bổ đến] &gt; DATE(C$2,1,1))
)
),
0)
+IFERROR(SUM(
_xlfn._xlws.FILTER(Table_Main[Hoa hồng],
(Table_Main[Ngày lên đơn] &gt;= D2)*
(Table_Main[Ngày lên đơn] &lt; P2)
)),0)
+IFERROR(
SUM(_xlfn._xlws.FILTER(Table_KPI[Thưởng KPI],
(NOT(ISBLANK(Table_KPI[Nhân viên])))*
(Table_KPI[Năm] = C2)
)),0)</f>
        <v>0</v>
      </c>
      <c r="D21" s="328" cm="1">
        <f t="array" ref="D21">-IFERROR(
SUM(_xlfn._xlws.FILTER(Table_ChiPhiNV[Tổng chi phí],
(NOT(ISBLANK(Table_ChiPhiNV[Tháng])))*
(Table_ChiPhiNV[Kỳ] = D$2)
)),0)
-IFERROR(
SUMPRODUCT(
_xlfn._xlws.FILTER(Table_ChiPhiNV[Tổng chi phí],
(ISBLANK(Table_ChiPhiNV[Tháng]))*
(Table_ChiPhiNV[Phân bổ từ] &lt; DATE(YEAR(D$2),MONTH(D$2)+1,1))*
(Table_ChiPhiNV[Phân bổ đến] &gt; D$2)
),
1/_xlfn._xlws.FILTER(ROUND((Table_ChiPhiNV[Phân bổ đến]-Table_ChiPhiNV[Phân bổ từ])/(365.25/12),0),
(ISBLANK(Table_ChiPhiNV[Tháng]))*
(Table_ChiPhiNV[Phân bổ từ] &lt; DATE(YEAR(D$2),MONTH(D$2)+1,1))*
(Table_ChiPhiNV[Phân bổ đến] &gt; D$2)
)
),0)
+IFERROR(SUM(
_xlfn._xlws.FILTER(Table_Main[Hoa hồng],
(Table_Main[Ngày lên đơn] &gt;= D2)*
(Table_Main[Ngày lên đơn] &lt; E2)
)),0)
+IFERROR(
SUM(_xlfn._xlws.FILTER(Table_KPI[Thưởng KPI],
(NOT(ISBLANK(Table_KPI[Nhân viên]))) *
(NOT(ISBLANK(Table_KPI[Tháng]))) *
(Table_KPI[Kỳ] = D2)
)),0)
+IFERROR(
SUM(_xlfn._xlws.FILTER(Table_KPI[Thưởng KPI],
(NOT(ISBLANK(Table_KPI[Nhân viên]))) *
(Table_KPI[Năm]  = YEAR(D2))*
(ISBLANK(Table_KPI[Tháng]))
)) / 12, 0)</f>
        <v>0</v>
      </c>
      <c r="E21" s="328" cm="1">
        <f t="array" ref="E21">-IFERROR(
SUM(_xlfn._xlws.FILTER(Table_ChiPhiNV[Tổng chi phí],
(NOT(ISBLANK(Table_ChiPhiNV[Tháng])))*
(Table_ChiPhiNV[Kỳ] = E$2)
)),0)
-IFERROR(
SUMPRODUCT(
_xlfn._xlws.FILTER(Table_ChiPhiNV[Tổng chi phí],
(ISBLANK(Table_ChiPhiNV[Tháng]))*
(Table_ChiPhiNV[Phân bổ từ] &lt; DATE(YEAR(E$2),MONTH(E$2)+1,1))*
(Table_ChiPhiNV[Phân bổ đến] &gt; E$2)
),
1/_xlfn._xlws.FILTER(ROUND((Table_ChiPhiNV[Phân bổ đến]-Table_ChiPhiNV[Phân bổ từ])/(365.25/12),0),
(ISBLANK(Table_ChiPhiNV[Tháng]))*
(Table_ChiPhiNV[Phân bổ từ] &lt; DATE(YEAR(E$2),MONTH(E$2)+1,1))*
(Table_ChiPhiNV[Phân bổ đến] &gt; E$2)
)
),0)
+IFERROR(SUM(
_xlfn._xlws.FILTER(Table_Main[Hoa hồng],
(Table_Main[Ngày lên đơn] &gt;= E2)*
(Table_Main[Ngày lên đơn] &lt; F2)
)),0)
+IFERROR(
SUM(_xlfn._xlws.FILTER(Table_KPI[Thưởng KPI],
(NOT(ISBLANK(Table_KPI[Nhân viên]))) *
(NOT(ISBLANK(Table_KPI[Tháng]))) *
(Table_KPI[Kỳ] = E2)
)),0)
+IFERROR(
SUM(_xlfn._xlws.FILTER(Table_KPI[Thưởng KPI],
(NOT(ISBLANK(Table_KPI[Nhân viên]))) *
(Table_KPI[Năm]  = YEAR(E2))*
(ISBLANK(Table_KPI[Tháng]))
)) / 12, 0)</f>
        <v>0</v>
      </c>
      <c r="F21" s="328" cm="1">
        <f t="array" ref="F21">-IFERROR(
SUM(_xlfn._xlws.FILTER(Table_ChiPhiNV[Tổng chi phí],
(NOT(ISBLANK(Table_ChiPhiNV[Tháng])))*
(Table_ChiPhiNV[Kỳ] = F$2)
)),0)
-IFERROR(
SUMPRODUCT(
_xlfn._xlws.FILTER(Table_ChiPhiNV[Tổng chi phí],
(ISBLANK(Table_ChiPhiNV[Tháng]))*
(Table_ChiPhiNV[Phân bổ từ] &lt; DATE(YEAR(F$2),MONTH(F$2)+1,1))*
(Table_ChiPhiNV[Phân bổ đến] &gt; F$2)
),
1/_xlfn._xlws.FILTER(ROUND((Table_ChiPhiNV[Phân bổ đến]-Table_ChiPhiNV[Phân bổ từ])/(365.25/12),0),
(ISBLANK(Table_ChiPhiNV[Tháng]))*
(Table_ChiPhiNV[Phân bổ từ] &lt; DATE(YEAR(F$2),MONTH(F$2)+1,1))*
(Table_ChiPhiNV[Phân bổ đến] &gt; F$2)
)
),0)
+IFERROR(SUM(
_xlfn._xlws.FILTER(Table_Main[Hoa hồng],
(Table_Main[Ngày lên đơn] &gt;= F2)*
(Table_Main[Ngày lên đơn] &lt; G2)
)),0)
+IFERROR(
SUM(_xlfn._xlws.FILTER(Table_KPI[Thưởng KPI],
(NOT(ISBLANK(Table_KPI[Nhân viên]))) *
(NOT(ISBLANK(Table_KPI[Tháng]))) *
(Table_KPI[Kỳ] = F2)
)),0)
+IFERROR(
SUM(_xlfn._xlws.FILTER(Table_KPI[Thưởng KPI],
(NOT(ISBLANK(Table_KPI[Nhân viên]))) *
(Table_KPI[Năm]  = YEAR(F2))*
(ISBLANK(Table_KPI[Tháng]))
)) / 12, 0)</f>
        <v>0</v>
      </c>
      <c r="G21" s="328" cm="1">
        <f t="array" ref="G21">-IFERROR(
SUM(_xlfn._xlws.FILTER(Table_ChiPhiNV[Tổng chi phí],
(NOT(ISBLANK(Table_ChiPhiNV[Tháng])))*
(Table_ChiPhiNV[Kỳ] = G$2)
)),0)
-IFERROR(
SUMPRODUCT(
_xlfn._xlws.FILTER(Table_ChiPhiNV[Tổng chi phí],
(ISBLANK(Table_ChiPhiNV[Tháng]))*
(Table_ChiPhiNV[Phân bổ từ] &lt; DATE(YEAR(G$2),MONTH(G$2)+1,1))*
(Table_ChiPhiNV[Phân bổ đến] &gt; G$2)
),
1/_xlfn._xlws.FILTER(ROUND((Table_ChiPhiNV[Phân bổ đến]-Table_ChiPhiNV[Phân bổ từ])/(365.25/12),0),
(ISBLANK(Table_ChiPhiNV[Tháng]))*
(Table_ChiPhiNV[Phân bổ từ] &lt; DATE(YEAR(G$2),MONTH(G$2)+1,1))*
(Table_ChiPhiNV[Phân bổ đến] &gt; G$2)
)
),0)
+IFERROR(SUM(
_xlfn._xlws.FILTER(Table_Main[Hoa hồng],
(Table_Main[Ngày lên đơn] &gt;= G2)*
(Table_Main[Ngày lên đơn] &lt; H2)
)),0)
+IFERROR(
SUM(_xlfn._xlws.FILTER(Table_KPI[Thưởng KPI],
(NOT(ISBLANK(Table_KPI[Nhân viên]))) *
(NOT(ISBLANK(Table_KPI[Tháng]))) *
(Table_KPI[Kỳ] = G2)
)),0)
+IFERROR(
SUM(_xlfn._xlws.FILTER(Table_KPI[Thưởng KPI],
(NOT(ISBLANK(Table_KPI[Nhân viên]))) *
(Table_KPI[Năm]  = YEAR(G2))*
(ISBLANK(Table_KPI[Tháng]))
)) / 12, 0)</f>
        <v>0</v>
      </c>
      <c r="H21" s="328" cm="1">
        <f t="array" ref="H21">-IFERROR(
SUM(_xlfn._xlws.FILTER(Table_ChiPhiNV[Tổng chi phí],
(NOT(ISBLANK(Table_ChiPhiNV[Tháng])))*
(Table_ChiPhiNV[Kỳ] = H$2)
)),0)
-IFERROR(
SUMPRODUCT(
_xlfn._xlws.FILTER(Table_ChiPhiNV[Tổng chi phí],
(ISBLANK(Table_ChiPhiNV[Tháng]))*
(Table_ChiPhiNV[Phân bổ từ] &lt; DATE(YEAR(H$2),MONTH(H$2)+1,1))*
(Table_ChiPhiNV[Phân bổ đến] &gt; H$2)
),
1/_xlfn._xlws.FILTER(ROUND((Table_ChiPhiNV[Phân bổ đến]-Table_ChiPhiNV[Phân bổ từ])/(365.25/12),0),
(ISBLANK(Table_ChiPhiNV[Tháng]))*
(Table_ChiPhiNV[Phân bổ từ] &lt; DATE(YEAR(H$2),MONTH(H$2)+1,1))*
(Table_ChiPhiNV[Phân bổ đến] &gt; H$2)
)
),0)
+IFERROR(SUM(
_xlfn._xlws.FILTER(Table_Main[Hoa hồng],
(Table_Main[Ngày lên đơn] &gt;= H2)*
(Table_Main[Ngày lên đơn] &lt; I2)
)),0)
+IFERROR(
SUM(_xlfn._xlws.FILTER(Table_KPI[Thưởng KPI],
(NOT(ISBLANK(Table_KPI[Nhân viên]))) *
(NOT(ISBLANK(Table_KPI[Tháng]))) *
(Table_KPI[Kỳ] = H2)
)),0)
+IFERROR(
SUM(_xlfn._xlws.FILTER(Table_KPI[Thưởng KPI],
(NOT(ISBLANK(Table_KPI[Nhân viên]))) *
(Table_KPI[Năm]  = YEAR(H2))*
(ISBLANK(Table_KPI[Tháng]))
)) / 12, 0)</f>
        <v>0</v>
      </c>
      <c r="I21" s="328" cm="1">
        <f t="array" ref="I21">-IFERROR(
SUM(_xlfn._xlws.FILTER(Table_ChiPhiNV[Tổng chi phí],
(NOT(ISBLANK(Table_ChiPhiNV[Tháng])))*
(Table_ChiPhiNV[Kỳ] = I$2)
)),0)
-IFERROR(
SUMPRODUCT(
_xlfn._xlws.FILTER(Table_ChiPhiNV[Tổng chi phí],
(ISBLANK(Table_ChiPhiNV[Tháng]))*
(Table_ChiPhiNV[Phân bổ từ] &lt; DATE(YEAR(I$2),MONTH(I$2)+1,1))*
(Table_ChiPhiNV[Phân bổ đến] &gt; I$2)
),
1/_xlfn._xlws.FILTER(ROUND((Table_ChiPhiNV[Phân bổ đến]-Table_ChiPhiNV[Phân bổ từ])/(365.25/12),0),
(ISBLANK(Table_ChiPhiNV[Tháng]))*
(Table_ChiPhiNV[Phân bổ từ] &lt; DATE(YEAR(I$2),MONTH(I$2)+1,1))*
(Table_ChiPhiNV[Phân bổ đến] &gt; I$2)
)
),0)
+IFERROR(SUM(
_xlfn._xlws.FILTER(Table_Main[Hoa hồng],
(Table_Main[Ngày lên đơn] &gt;= I2)*
(Table_Main[Ngày lên đơn] &lt; J2)
)),0)
+IFERROR(
SUM(_xlfn._xlws.FILTER(Table_KPI[Thưởng KPI],
(NOT(ISBLANK(Table_KPI[Nhân viên]))) *
(NOT(ISBLANK(Table_KPI[Tháng]))) *
(Table_KPI[Kỳ] = I2)
)),0)
+IFERROR(
SUM(_xlfn._xlws.FILTER(Table_KPI[Thưởng KPI],
(NOT(ISBLANK(Table_KPI[Nhân viên]))) *
(Table_KPI[Năm]  = YEAR(I2))*
(ISBLANK(Table_KPI[Tháng]))
)) / 12, 0)</f>
        <v>0</v>
      </c>
      <c r="J21" s="328" cm="1">
        <f t="array" ref="J21">-IFERROR(
SUM(_xlfn._xlws.FILTER(Table_ChiPhiNV[Tổng chi phí],
(NOT(ISBLANK(Table_ChiPhiNV[Tháng])))*
(Table_ChiPhiNV[Kỳ] = J$2)
)),0)
-IFERROR(
SUMPRODUCT(
_xlfn._xlws.FILTER(Table_ChiPhiNV[Tổng chi phí],
(ISBLANK(Table_ChiPhiNV[Tháng]))*
(Table_ChiPhiNV[Phân bổ từ] &lt; DATE(YEAR(J$2),MONTH(J$2)+1,1))*
(Table_ChiPhiNV[Phân bổ đến] &gt; J$2)
),
1/_xlfn._xlws.FILTER(ROUND((Table_ChiPhiNV[Phân bổ đến]-Table_ChiPhiNV[Phân bổ từ])/(365.25/12),0),
(ISBLANK(Table_ChiPhiNV[Tháng]))*
(Table_ChiPhiNV[Phân bổ từ] &lt; DATE(YEAR(J$2),MONTH(J$2)+1,1))*
(Table_ChiPhiNV[Phân bổ đến] &gt; J$2)
)
),0)
+IFERROR(SUM(
_xlfn._xlws.FILTER(Table_Main[Hoa hồng],
(Table_Main[Ngày lên đơn] &gt;= J2)*
(Table_Main[Ngày lên đơn] &lt; K2)
)),0)
+IFERROR(
SUM(_xlfn._xlws.FILTER(Table_KPI[Thưởng KPI],
(NOT(ISBLANK(Table_KPI[Nhân viên]))) *
(NOT(ISBLANK(Table_KPI[Tháng]))) *
(Table_KPI[Kỳ] = J2)
)),0)
+IFERROR(
SUM(_xlfn._xlws.FILTER(Table_KPI[Thưởng KPI],
(NOT(ISBLANK(Table_KPI[Nhân viên]))) *
(Table_KPI[Năm]  = YEAR(J2))*
(ISBLANK(Table_KPI[Tháng]))
)) / 12, 0)</f>
        <v>0</v>
      </c>
      <c r="K21" s="328" cm="1">
        <f t="array" ref="K21">-IFERROR(
SUM(_xlfn._xlws.FILTER(Table_ChiPhiNV[Tổng chi phí],
(NOT(ISBLANK(Table_ChiPhiNV[Tháng])))*
(Table_ChiPhiNV[Kỳ] = K$2)
)),0)
-IFERROR(
SUMPRODUCT(
_xlfn._xlws.FILTER(Table_ChiPhiNV[Tổng chi phí],
(ISBLANK(Table_ChiPhiNV[Tháng]))*
(Table_ChiPhiNV[Phân bổ từ] &lt; DATE(YEAR(K$2),MONTH(K$2)+1,1))*
(Table_ChiPhiNV[Phân bổ đến] &gt; K$2)
),
1/_xlfn._xlws.FILTER(ROUND((Table_ChiPhiNV[Phân bổ đến]-Table_ChiPhiNV[Phân bổ từ])/(365.25/12),0),
(ISBLANK(Table_ChiPhiNV[Tháng]))*
(Table_ChiPhiNV[Phân bổ từ] &lt; DATE(YEAR(K$2),MONTH(K$2)+1,1))*
(Table_ChiPhiNV[Phân bổ đến] &gt; K$2)
)
),0)
+IFERROR(SUM(
_xlfn._xlws.FILTER(Table_Main[Hoa hồng],
(Table_Main[Ngày lên đơn] &gt;= K2)*
(Table_Main[Ngày lên đơn] &lt; L2)
)),0)
+IFERROR(
SUM(_xlfn._xlws.FILTER(Table_KPI[Thưởng KPI],
(NOT(ISBLANK(Table_KPI[Nhân viên]))) *
(NOT(ISBLANK(Table_KPI[Tháng]))) *
(Table_KPI[Kỳ] = K2)
)),0)
+IFERROR(
SUM(_xlfn._xlws.FILTER(Table_KPI[Thưởng KPI],
(NOT(ISBLANK(Table_KPI[Nhân viên]))) *
(Table_KPI[Năm]  = YEAR(K2))*
(ISBLANK(Table_KPI[Tháng]))
)) / 12, 0)</f>
        <v>0</v>
      </c>
      <c r="L21" s="328" cm="1">
        <f t="array" ref="L21">-IFERROR(
SUM(_xlfn._xlws.FILTER(Table_ChiPhiNV[Tổng chi phí],
(NOT(ISBLANK(Table_ChiPhiNV[Tháng])))*
(Table_ChiPhiNV[Kỳ] = L$2)
)),0)
-IFERROR(
SUMPRODUCT(
_xlfn._xlws.FILTER(Table_ChiPhiNV[Tổng chi phí],
(ISBLANK(Table_ChiPhiNV[Tháng]))*
(Table_ChiPhiNV[Phân bổ từ] &lt; DATE(YEAR(L$2),MONTH(L$2)+1,1))*
(Table_ChiPhiNV[Phân bổ đến] &gt; L$2)
),
1/_xlfn._xlws.FILTER(ROUND((Table_ChiPhiNV[Phân bổ đến]-Table_ChiPhiNV[Phân bổ từ])/(365.25/12),0),
(ISBLANK(Table_ChiPhiNV[Tháng]))*
(Table_ChiPhiNV[Phân bổ từ] &lt; DATE(YEAR(L$2),MONTH(L$2)+1,1))*
(Table_ChiPhiNV[Phân bổ đến] &gt; L$2)
)
),0)
+IFERROR(SUM(
_xlfn._xlws.FILTER(Table_Main[Hoa hồng],
(Table_Main[Ngày lên đơn] &gt;= L2)*
(Table_Main[Ngày lên đơn] &lt; M2)
)),0)
+IFERROR(
SUM(_xlfn._xlws.FILTER(Table_KPI[Thưởng KPI],
(NOT(ISBLANK(Table_KPI[Nhân viên]))) *
(NOT(ISBLANK(Table_KPI[Tháng]))) *
(Table_KPI[Kỳ] = L2)
)),0)
+IFERROR(
SUM(_xlfn._xlws.FILTER(Table_KPI[Thưởng KPI],
(NOT(ISBLANK(Table_KPI[Nhân viên]))) *
(Table_KPI[Năm]  = YEAR(L2))*
(ISBLANK(Table_KPI[Tháng]))
)) / 12, 0)</f>
        <v>0</v>
      </c>
      <c r="M21" s="328" cm="1">
        <f t="array" ref="M21">-IFERROR(
SUM(_xlfn._xlws.FILTER(Table_ChiPhiNV[Tổng chi phí],
(NOT(ISBLANK(Table_ChiPhiNV[Tháng])))*
(Table_ChiPhiNV[Kỳ] = M$2)
)),0)
-IFERROR(
SUMPRODUCT(
_xlfn._xlws.FILTER(Table_ChiPhiNV[Tổng chi phí],
(ISBLANK(Table_ChiPhiNV[Tháng]))*
(Table_ChiPhiNV[Phân bổ từ] &lt; DATE(YEAR(M$2),MONTH(M$2)+1,1))*
(Table_ChiPhiNV[Phân bổ đến] &gt; M$2)
),
1/_xlfn._xlws.FILTER(ROUND((Table_ChiPhiNV[Phân bổ đến]-Table_ChiPhiNV[Phân bổ từ])/(365.25/12),0),
(ISBLANK(Table_ChiPhiNV[Tháng]))*
(Table_ChiPhiNV[Phân bổ từ] &lt; DATE(YEAR(M$2),MONTH(M$2)+1,1))*
(Table_ChiPhiNV[Phân bổ đến] &gt; M$2)
)
),0)
+IFERROR(SUM(
_xlfn._xlws.FILTER(Table_Main[Hoa hồng],
(Table_Main[Ngày lên đơn] &gt;= M2)*
(Table_Main[Ngày lên đơn] &lt; N2)
)),0)
+IFERROR(
SUM(_xlfn._xlws.FILTER(Table_KPI[Thưởng KPI],
(NOT(ISBLANK(Table_KPI[Nhân viên]))) *
(NOT(ISBLANK(Table_KPI[Tháng]))) *
(Table_KPI[Kỳ] = M2)
)),0)
+IFERROR(
SUM(_xlfn._xlws.FILTER(Table_KPI[Thưởng KPI],
(NOT(ISBLANK(Table_KPI[Nhân viên]))) *
(Table_KPI[Năm]  = YEAR(M2))*
(ISBLANK(Table_KPI[Tháng]))
)) / 12, 0)</f>
        <v>0</v>
      </c>
      <c r="N21" s="328" cm="1">
        <f t="array" ref="N21">-IFERROR(
SUM(_xlfn._xlws.FILTER(Table_ChiPhiNV[Tổng chi phí],
(NOT(ISBLANK(Table_ChiPhiNV[Tháng])))*
(Table_ChiPhiNV[Kỳ] = N$2)
)),0)
-IFERROR(
SUMPRODUCT(
_xlfn._xlws.FILTER(Table_ChiPhiNV[Tổng chi phí],
(ISBLANK(Table_ChiPhiNV[Tháng]))*
(Table_ChiPhiNV[Phân bổ từ] &lt; DATE(YEAR(N$2),MONTH(N$2)+1,1))*
(Table_ChiPhiNV[Phân bổ đến] &gt; N$2)
),
1/_xlfn._xlws.FILTER(ROUND((Table_ChiPhiNV[Phân bổ đến]-Table_ChiPhiNV[Phân bổ từ])/(365.25/12),0),
(ISBLANK(Table_ChiPhiNV[Tháng]))*
(Table_ChiPhiNV[Phân bổ từ] &lt; DATE(YEAR(N$2),MONTH(N$2)+1,1))*
(Table_ChiPhiNV[Phân bổ đến] &gt; N$2)
)
),0)
+IFERROR(SUM(
_xlfn._xlws.FILTER(Table_Main[Hoa hồng],
(Table_Main[Ngày lên đơn] &gt;= N2)*
(Table_Main[Ngày lên đơn] &lt; O2)
)),0)
+IFERROR(
SUM(_xlfn._xlws.FILTER(Table_KPI[Thưởng KPI],
(NOT(ISBLANK(Table_KPI[Nhân viên]))) *
(NOT(ISBLANK(Table_KPI[Tháng]))) *
(Table_KPI[Kỳ] = N2)
)),0)
+IFERROR(
SUM(_xlfn._xlws.FILTER(Table_KPI[Thưởng KPI],
(NOT(ISBLANK(Table_KPI[Nhân viên]))) *
(Table_KPI[Năm]  = YEAR(N2))*
(ISBLANK(Table_KPI[Tháng]))
)) / 12, 0)</f>
        <v>0</v>
      </c>
      <c r="O21" s="328" cm="1">
        <f t="array" ref="O21">-IFERROR(
SUM(_xlfn._xlws.FILTER(Table_ChiPhiNV[Tổng chi phí],
(NOT(ISBLANK(Table_ChiPhiNV[Tháng])))*
(Table_ChiPhiNV[Kỳ] = O$2)
)),0)
-IFERROR(
SUMPRODUCT(
_xlfn._xlws.FILTER(Table_ChiPhiNV[Tổng chi phí],
(ISBLANK(Table_ChiPhiNV[Tháng]))*
(Table_ChiPhiNV[Phân bổ từ] &lt; DATE(YEAR(O$2),MONTH(O$2)+1,1))*
(Table_ChiPhiNV[Phân bổ đến] &gt; O$2)
),
1/_xlfn._xlws.FILTER(ROUND((Table_ChiPhiNV[Phân bổ đến]-Table_ChiPhiNV[Phân bổ từ])/(365.25/12),0),
(ISBLANK(Table_ChiPhiNV[Tháng]))*
(Table_ChiPhiNV[Phân bổ từ] &lt; DATE(YEAR(O$2),MONTH(O$2)+1,1))*
(Table_ChiPhiNV[Phân bổ đến] &gt; O$2)
)
),0)
+IFERROR(SUM(
_xlfn._xlws.FILTER(Table_Main[Hoa hồng],
(Table_Main[Ngày lên đơn] &gt;= O2)*
(Table_Main[Ngày lên đơn] &lt; P2)
)),0)
+IFERROR(
SUM(_xlfn._xlws.FILTER(Table_KPI[Thưởng KPI],
(NOT(ISBLANK(Table_KPI[Nhân viên]))) *
(NOT(ISBLANK(Table_KPI[Tháng]))) *
(Table_KPI[Kỳ] = O2)
)),0)
+IFERROR(
SUM(_xlfn._xlws.FILTER(Table_KPI[Thưởng KPI],
(NOT(ISBLANK(Table_KPI[Nhân viên]))) *
(Table_KPI[Năm]  = YEAR(O2))*
(ISBLANK(Table_KPI[Tháng]))
)) / 12, 0)</f>
        <v>0</v>
      </c>
      <c r="P21" s="323"/>
      <c r="Q21" s="240"/>
      <c r="R21" s="73" t="s">
        <v>292</v>
      </c>
      <c r="S21" s="328" cm="1">
        <f t="array" ref="S21" xml:space="preserve">
-IFERROR(
SUM(
_xlfn._xlws.FILTER(Table_ChiPhiNV[Tổng chi phí],
(NOT(ISBLANK(Table_ChiPhiNV[Tháng])))*
(Table_ChiPhiNV[Năm] = S$1)
)),
0)
-IFERROR(
SUMPRODUCT(
_xlfn._xlws.FILTER(Table_ChiPhiNV[Tổng chi phí],
(ISBLANK(Table_ChiPhiNV[Tháng]))*
(Table_ChiPhiNV[Phân bổ từ] &lt; DATE(S$1+1,1,1))*
(Table_ChiPhiNV[Phân bổ đến] &gt; DATE(S$1,1,1))
),
_xlfn._xlws.FILTER(
ROUND(
(
IF(
DATE(S$1+1,1,1)-1 &gt;
Table_ChiPhiNV[Phân bổ đến],
Table_ChiPhiNV[Phân bổ đến],
DATE(S$1+1,1,1)-1
)
-IF(
DATE(S$1,1,1) &gt;
Table_ChiPhiNV[Phân bổ từ],
DATE(S$1,1,1),
Table_ChiPhiNV[Phân bổ từ]
)
)/(365.25/12),
0),
(ISBLANK(Table_ChiPhiNV[Tháng]))*
(Table_ChiPhiNV[Phân bổ từ] &lt; DATE(S$1+1,1,1))*
(Table_ChiPhiNV[Phân bổ đến] &gt; DATE(S$1,1,1))
),
1/_xlfn._xlws.FILTER(
ROUND(
(Table_ChiPhiNV[Phân bổ đến]-Table_ChiPhiNV[Phân bổ từ])
/(365.25/12),
0),
(ISBLANK(Table_ChiPhiNV[Tháng]))*
(Table_ChiPhiNV[Phân bổ từ] &lt; DATE(S$1+1,1,1))*
(Table_ChiPhiNV[Phân bổ đến] &gt; DATE(S$1,1,1))
)
),
0)
+IFERROR(SUM(
_xlfn._xlws.FILTER(Table_Main[Hoa hồng],
(Table_Main[Ngày lên đơn] &gt;= DATE(S$1,1,1))*
(Table_Main[Ngày lên đơn] &lt; DATE(S$1+1,1,1))
)),0)
+IFERROR(
SUM(_xlfn._xlws.FILTER(Table_KPI[Thưởng KPI],
(NOT(ISBLANK(Table_KPI[Nhân viên])))*
(Table_KPI[Năm] = S1)
)),0)</f>
        <v>0</v>
      </c>
      <c r="T21" s="240"/>
      <c r="U21" s="73" t="s">
        <v>292</v>
      </c>
      <c r="V21" s="328" cm="1">
        <f t="array" ref="V21">-IFERROR(
SUM(_xlfn._xlws.FILTER(Table_ChiPhiNV[Tổng chi phí],
(NOT(ISBLANK(Table_ChiPhiNV[Tháng])))*
(Table_ChiPhiNV[Kỳ] = V$1)
)),0)
-IFERROR(
SUMPRODUCT(
_xlfn._xlws.FILTER(Table_ChiPhiNV[Tổng chi phí],
(ISBLANK(Table_ChiPhiNV[Tháng]))*
(Table_ChiPhiNV[Phân bổ từ] &lt; DATE(YEAR(V$1),MONTH(V$1)+1,1))*
(Table_ChiPhiNV[Phân bổ đến] &gt; V$1)
),
1/_xlfn._xlws.FILTER(ROUND((Table_ChiPhiNV[Phân bổ đến]-Table_ChiPhiNV[Phân bổ từ])/(365.25/12),0),
(ISBLANK(Table_ChiPhiNV[Tháng]))*
(Table_ChiPhiNV[Phân bổ từ] &lt; DATE(YEAR(V$1),MONTH(V$1)+1,1))*
(Table_ChiPhiNV[Phân bổ đến] &gt; V$1)
)
),0)
+IFERROR(SUM(
_xlfn._xlws.FILTER(Table_Main[Hoa hồng],
(Table_Main[Ngày lên đơn] &gt;= V$1)*
(Table_Main[Ngày lên đơn] &lt; DATE(YEAR(V$1),MONTH(V$1)+1,1))
)),0)
+IFERROR(
SUM(_xlfn._xlws.FILTER(Table_KPI[Thưởng KPI],
(NOT(ISBLANK(Table_KPI[Nhân viên]))) *
(NOT(ISBLANK(Table_KPI[Tháng]))) *
(Table_KPI[Kỳ] = V1)
)),0)
+IFERROR(
SUM(_xlfn._xlws.FILTER(Table_KPI[Thưởng KPI],
(NOT(ISBLANK(Table_KPI[Nhân viên]))) *
(Table_KPI[Năm]  = YEAR(V1))*
(ISBLANK(Table_KPI[Tháng]))
)) / 12, 0)</f>
        <v>0</v>
      </c>
    </row>
    <row r="22" spans="2:22" ht="18" customHeight="1" outlineLevel="2" x14ac:dyDescent="0.3">
      <c r="B22" s="73" t="s">
        <v>293</v>
      </c>
      <c r="C22" s="328" cm="1">
        <f t="array" ref="C22">-IFERROR(
SUM(_xlfn._xlws.FILTER(Table_TonKho[Chi phí ghi nhận],
(Table_TonKho[Năm] = C$2) *
(Table_TonKho[Chức năng] = "Văn phòng")
)),0)
-IFERROR(
SUM(
_xlfn._xlws.FILTER(Table_ChiPhiKD[Giá trị]-Table_ChiPhiKD[Phân bổ sản xuất],
(Table_ChiPhiKD[Năm] = C$2)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22" s="328" cm="1">
        <f t="array" ref="D22">-IFERROR(
SUM(_xlfn._xlws.FILTER(Table_TonKho[Chi phí ghi nhận],
(Table_TonKho[Kỳ] = D$2) *
(Table_TonKho[Chức năng] = "Văn phòng")
)),0)
-IFERROR(
SUM(
_xlfn._xlws.FILTER(Table_ChiPhiKD[Giá trị]-Table_ChiPhiKD[Phân bổ sản xuất],
(Table_ChiPhiKD[Kỳ] = D$2)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DATE(YEAR(D$2),MONTH(D$2)+1,1))*
(Table_ChiPhiKD[Phân bổ đến] &gt; D$2)*
(VLOOKUP(Table_ChiPhiKD[Nhóm chi phí],Table_ChiPhiKD_PhanNhom[],Sheet_ChiPhiKD!$J$2,0) = "Chưa phân bổ" )),
1/_xlfn._xlws.FILTER(ROUND((Table_ChiPhiKD[Phân bổ đến]-Table_ChiPhiKD[Phân bổ từ])/(365.25/12),0),
(ISBLANK(Table_ChiPhiKD[Tháng])) *
(Table_ChiPhiKD[Phân bổ từ] &lt; DATE(YEAR(D$2),MONTH(D$2)+1,1))*
(Table_ChiPhiKD[Phân bổ đến] &gt; D$2)*
(VLOOKUP(Table_ChiPhiKD[Nhóm chi phí],Table_ChiPhiKD_PhanNhom[],Sheet_ChiPhiKD!$J$2,0) = "Chưa phân bổ" ))
), 0)</f>
        <v>0</v>
      </c>
      <c r="E22" s="328" cm="1">
        <f t="array" ref="E22">-IFERROR(
SUM(_xlfn._xlws.FILTER(Table_TonKho[Chi phí ghi nhận],
(Table_TonKho[Kỳ] = E$2) *
(Table_TonKho[Chức năng] = "Văn phòng")
)),0)
-IFERROR(
SUM(
_xlfn._xlws.FILTER(Table_ChiPhiKD[Giá trị]-Table_ChiPhiKD[Phân bổ sản xuất],
(Table_ChiPhiKD[Kỳ] = E$2)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DATE(YEAR(E$2),MONTH(E$2)+1,1))*
(Table_ChiPhiKD[Phân bổ đến] &gt; E$2)*
(VLOOKUP(Table_ChiPhiKD[Nhóm chi phí],Table_ChiPhiKD_PhanNhom[],Sheet_ChiPhiKD!$J$2,0) = "Chưa phân bổ" )),
1/_xlfn._xlws.FILTER(ROUND((Table_ChiPhiKD[Phân bổ đến]-Table_ChiPhiKD[Phân bổ từ])/(365.25/12),0),
(ISBLANK(Table_ChiPhiKD[Tháng])) *
(Table_ChiPhiKD[Phân bổ từ] &lt; DATE(YEAR(E$2),MONTH(E$2)+1,1))*
(Table_ChiPhiKD[Phân bổ đến] &gt; E$2)*
(VLOOKUP(Table_ChiPhiKD[Nhóm chi phí],Table_ChiPhiKD_PhanNhom[],Sheet_ChiPhiKD!$J$2,0) = "Chưa phân bổ" ))
), 0)</f>
        <v>0</v>
      </c>
      <c r="F22" s="328" cm="1">
        <f t="array" ref="F22">-IFERROR(
SUM(_xlfn._xlws.FILTER(Table_TonKho[Chi phí ghi nhận],
(Table_TonKho[Kỳ] = F$2) *
(Table_TonKho[Chức năng] = "Văn phòng")
)),0)
-IFERROR(
SUM(
_xlfn._xlws.FILTER(Table_ChiPhiKD[Giá trị]-Table_ChiPhiKD[Phân bổ sản xuất],
(Table_ChiPhiKD[Kỳ] = F$2)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DATE(YEAR(F$2),MONTH(F$2)+1,1))*
(Table_ChiPhiKD[Phân bổ đến] &gt; F$2)*
(VLOOKUP(Table_ChiPhiKD[Nhóm chi phí],Table_ChiPhiKD_PhanNhom[],Sheet_ChiPhiKD!$J$2,0) = "Chưa phân bổ" )),
1/_xlfn._xlws.FILTER(ROUND((Table_ChiPhiKD[Phân bổ đến]-Table_ChiPhiKD[Phân bổ từ])/(365.25/12),0),
(ISBLANK(Table_ChiPhiKD[Tháng])) *
(Table_ChiPhiKD[Phân bổ từ] &lt; DATE(YEAR(F$2),MONTH(F$2)+1,1))*
(Table_ChiPhiKD[Phân bổ đến] &gt; F$2)*
(VLOOKUP(Table_ChiPhiKD[Nhóm chi phí],Table_ChiPhiKD_PhanNhom[],Sheet_ChiPhiKD!$J$2,0) = "Chưa phân bổ" ))
), 0)</f>
        <v>0</v>
      </c>
      <c r="G22" s="328" cm="1">
        <f t="array" ref="G22">-IFERROR(
SUM(_xlfn._xlws.FILTER(Table_TonKho[Chi phí ghi nhận],
(Table_TonKho[Kỳ] = G$2) *
(Table_TonKho[Chức năng] = "Văn phòng")
)),0)
-IFERROR(
SUM(
_xlfn._xlws.FILTER(Table_ChiPhiKD[Giá trị]-Table_ChiPhiKD[Phân bổ sản xuất],
(Table_ChiPhiKD[Kỳ] = G$2)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DATE(YEAR(G$2),MONTH(G$2)+1,1))*
(Table_ChiPhiKD[Phân bổ đến] &gt; G$2)*
(VLOOKUP(Table_ChiPhiKD[Nhóm chi phí],Table_ChiPhiKD_PhanNhom[],Sheet_ChiPhiKD!$J$2,0) = "Chưa phân bổ" )),
1/_xlfn._xlws.FILTER(ROUND((Table_ChiPhiKD[Phân bổ đến]-Table_ChiPhiKD[Phân bổ từ])/(365.25/12),0),
(ISBLANK(Table_ChiPhiKD[Tháng])) *
(Table_ChiPhiKD[Phân bổ từ] &lt; DATE(YEAR(G$2),MONTH(G$2)+1,1))*
(Table_ChiPhiKD[Phân bổ đến] &gt; G$2)*
(VLOOKUP(Table_ChiPhiKD[Nhóm chi phí],Table_ChiPhiKD_PhanNhom[],Sheet_ChiPhiKD!$J$2,0) = "Chưa phân bổ" ))
), 0)</f>
        <v>0</v>
      </c>
      <c r="H22" s="328" cm="1">
        <f t="array" ref="H22">-IFERROR(
SUM(_xlfn._xlws.FILTER(Table_TonKho[Chi phí ghi nhận],
(Table_TonKho[Kỳ] = H$2) *
(Table_TonKho[Chức năng] = "Văn phòng")
)),0)
-IFERROR(
SUM(
_xlfn._xlws.FILTER(Table_ChiPhiKD[Giá trị]-Table_ChiPhiKD[Phân bổ sản xuất],
(Table_ChiPhiKD[Kỳ] = H$2)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DATE(YEAR(H$2),MONTH(H$2)+1,1))*
(Table_ChiPhiKD[Phân bổ đến] &gt; H$2)*
(VLOOKUP(Table_ChiPhiKD[Nhóm chi phí],Table_ChiPhiKD_PhanNhom[],Sheet_ChiPhiKD!$J$2,0) = "Chưa phân bổ" )),
1/_xlfn._xlws.FILTER(ROUND((Table_ChiPhiKD[Phân bổ đến]-Table_ChiPhiKD[Phân bổ từ])/(365.25/12),0),
(ISBLANK(Table_ChiPhiKD[Tháng])) *
(Table_ChiPhiKD[Phân bổ từ] &lt; DATE(YEAR(H$2),MONTH(H$2)+1,1))*
(Table_ChiPhiKD[Phân bổ đến] &gt; H$2)*
(VLOOKUP(Table_ChiPhiKD[Nhóm chi phí],Table_ChiPhiKD_PhanNhom[],Sheet_ChiPhiKD!$J$2,0) = "Chưa phân bổ" ))
), 0)</f>
        <v>0</v>
      </c>
      <c r="I22" s="328" cm="1">
        <f t="array" ref="I22">-IFERROR(
SUM(_xlfn._xlws.FILTER(Table_TonKho[Chi phí ghi nhận],
(Table_TonKho[Kỳ] = I$2) *
(Table_TonKho[Chức năng] = "Văn phòng")
)),0)
-IFERROR(
SUM(
_xlfn._xlws.FILTER(Table_ChiPhiKD[Giá trị]-Table_ChiPhiKD[Phân bổ sản xuất],
(Table_ChiPhiKD[Kỳ] = I$2)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DATE(YEAR(I$2),MONTH(I$2)+1,1))*
(Table_ChiPhiKD[Phân bổ đến] &gt; I$2)*
(VLOOKUP(Table_ChiPhiKD[Nhóm chi phí],Table_ChiPhiKD_PhanNhom[],Sheet_ChiPhiKD!$J$2,0) = "Chưa phân bổ" )),
1/_xlfn._xlws.FILTER(ROUND((Table_ChiPhiKD[Phân bổ đến]-Table_ChiPhiKD[Phân bổ từ])/(365.25/12),0),
(ISBLANK(Table_ChiPhiKD[Tháng])) *
(Table_ChiPhiKD[Phân bổ từ] &lt; DATE(YEAR(I$2),MONTH(I$2)+1,1))*
(Table_ChiPhiKD[Phân bổ đến] &gt; I$2)*
(VLOOKUP(Table_ChiPhiKD[Nhóm chi phí],Table_ChiPhiKD_PhanNhom[],Sheet_ChiPhiKD!$J$2,0) = "Chưa phân bổ" ))
), 0)</f>
        <v>0</v>
      </c>
      <c r="J22" s="328" cm="1">
        <f t="array" ref="J22">-IFERROR(
SUM(_xlfn._xlws.FILTER(Table_TonKho[Chi phí ghi nhận],
(Table_TonKho[Kỳ] = J$2) *
(Table_TonKho[Chức năng] = "Văn phòng")
)),0)
-IFERROR(
SUM(
_xlfn._xlws.FILTER(Table_ChiPhiKD[Giá trị]-Table_ChiPhiKD[Phân bổ sản xuất],
(Table_ChiPhiKD[Kỳ] = J$2)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DATE(YEAR(J$2),MONTH(J$2)+1,1))*
(Table_ChiPhiKD[Phân bổ đến] &gt; J$2)*
(VLOOKUP(Table_ChiPhiKD[Nhóm chi phí],Table_ChiPhiKD_PhanNhom[],Sheet_ChiPhiKD!$J$2,0) = "Chưa phân bổ" )),
1/_xlfn._xlws.FILTER(ROUND((Table_ChiPhiKD[Phân bổ đến]-Table_ChiPhiKD[Phân bổ từ])/(365.25/12),0),
(ISBLANK(Table_ChiPhiKD[Tháng])) *
(Table_ChiPhiKD[Phân bổ từ] &lt; DATE(YEAR(J$2),MONTH(J$2)+1,1))*
(Table_ChiPhiKD[Phân bổ đến] &gt; J$2)*
(VLOOKUP(Table_ChiPhiKD[Nhóm chi phí],Table_ChiPhiKD_PhanNhom[],Sheet_ChiPhiKD!$J$2,0) = "Chưa phân bổ" ))
), 0)</f>
        <v>0</v>
      </c>
      <c r="K22" s="328" cm="1">
        <f t="array" ref="K22">-IFERROR(
SUM(_xlfn._xlws.FILTER(Table_TonKho[Chi phí ghi nhận],
(Table_TonKho[Kỳ] = K$2) *
(Table_TonKho[Chức năng] = "Văn phòng")
)),0)
-IFERROR(
SUM(
_xlfn._xlws.FILTER(Table_ChiPhiKD[Giá trị]-Table_ChiPhiKD[Phân bổ sản xuất],
(Table_ChiPhiKD[Kỳ] = K$2)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DATE(YEAR(K$2),MONTH(K$2)+1,1))*
(Table_ChiPhiKD[Phân bổ đến] &gt; K$2)*
(VLOOKUP(Table_ChiPhiKD[Nhóm chi phí],Table_ChiPhiKD_PhanNhom[],Sheet_ChiPhiKD!$J$2,0) = "Chưa phân bổ" )),
1/_xlfn._xlws.FILTER(ROUND((Table_ChiPhiKD[Phân bổ đến]-Table_ChiPhiKD[Phân bổ từ])/(365.25/12),0),
(ISBLANK(Table_ChiPhiKD[Tháng])) *
(Table_ChiPhiKD[Phân bổ từ] &lt; DATE(YEAR(K$2),MONTH(K$2)+1,1))*
(Table_ChiPhiKD[Phân bổ đến] &gt; K$2)*
(VLOOKUP(Table_ChiPhiKD[Nhóm chi phí],Table_ChiPhiKD_PhanNhom[],Sheet_ChiPhiKD!$J$2,0) = "Chưa phân bổ" ))
), 0)</f>
        <v>0</v>
      </c>
      <c r="L22" s="328" cm="1">
        <f t="array" ref="L22">-IFERROR(
SUM(_xlfn._xlws.FILTER(Table_TonKho[Chi phí ghi nhận],
(Table_TonKho[Kỳ] = L$2) *
(Table_TonKho[Chức năng] = "Văn phòng")
)),0)
-IFERROR(
SUM(
_xlfn._xlws.FILTER(Table_ChiPhiKD[Giá trị]-Table_ChiPhiKD[Phân bổ sản xuất],
(Table_ChiPhiKD[Kỳ] = L$2)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DATE(YEAR(L$2),MONTH(L$2)+1,1))*
(Table_ChiPhiKD[Phân bổ đến] &gt; L$2)*
(VLOOKUP(Table_ChiPhiKD[Nhóm chi phí],Table_ChiPhiKD_PhanNhom[],Sheet_ChiPhiKD!$J$2,0) = "Chưa phân bổ" )),
1/_xlfn._xlws.FILTER(ROUND((Table_ChiPhiKD[Phân bổ đến]-Table_ChiPhiKD[Phân bổ từ])/(365.25/12),0),
(ISBLANK(Table_ChiPhiKD[Tháng])) *
(Table_ChiPhiKD[Phân bổ từ] &lt; DATE(YEAR(L$2),MONTH(L$2)+1,1))*
(Table_ChiPhiKD[Phân bổ đến] &gt; L$2)*
(VLOOKUP(Table_ChiPhiKD[Nhóm chi phí],Table_ChiPhiKD_PhanNhom[],Sheet_ChiPhiKD!$J$2,0) = "Chưa phân bổ" ))
), 0)</f>
        <v>0</v>
      </c>
      <c r="M22" s="328" cm="1">
        <f t="array" ref="M22">-IFERROR(
SUM(_xlfn._xlws.FILTER(Table_TonKho[Chi phí ghi nhận],
(Table_TonKho[Kỳ] = M$2) *
(Table_TonKho[Chức năng] = "Văn phòng")
)),0)
-IFERROR(
SUM(
_xlfn._xlws.FILTER(Table_ChiPhiKD[Giá trị]-Table_ChiPhiKD[Phân bổ sản xuất],
(Table_ChiPhiKD[Kỳ] = M$2)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DATE(YEAR(M$2),MONTH(M$2)+1,1))*
(Table_ChiPhiKD[Phân bổ đến] &gt; M$2)*
(VLOOKUP(Table_ChiPhiKD[Nhóm chi phí],Table_ChiPhiKD_PhanNhom[],Sheet_ChiPhiKD!$J$2,0) = "Chưa phân bổ" )),
1/_xlfn._xlws.FILTER(ROUND((Table_ChiPhiKD[Phân bổ đến]-Table_ChiPhiKD[Phân bổ từ])/(365.25/12),0),
(ISBLANK(Table_ChiPhiKD[Tháng])) *
(Table_ChiPhiKD[Phân bổ từ] &lt; DATE(YEAR(M$2),MONTH(M$2)+1,1))*
(Table_ChiPhiKD[Phân bổ đến] &gt; M$2)*
(VLOOKUP(Table_ChiPhiKD[Nhóm chi phí],Table_ChiPhiKD_PhanNhom[],Sheet_ChiPhiKD!$J$2,0) = "Chưa phân bổ" ))
), 0)</f>
        <v>0</v>
      </c>
      <c r="N22" s="328" cm="1">
        <f t="array" ref="N22">-IFERROR(
SUM(_xlfn._xlws.FILTER(Table_TonKho[Chi phí ghi nhận],
(Table_TonKho[Kỳ] = N$2) *
(Table_TonKho[Chức năng] = "Văn phòng")
)),0)
-IFERROR(
SUM(
_xlfn._xlws.FILTER(Table_ChiPhiKD[Giá trị]-Table_ChiPhiKD[Phân bổ sản xuất],
(Table_ChiPhiKD[Kỳ] = N$2)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DATE(YEAR(N$2),MONTH(N$2)+1,1))*
(Table_ChiPhiKD[Phân bổ đến] &gt; N$2)*
(VLOOKUP(Table_ChiPhiKD[Nhóm chi phí],Table_ChiPhiKD_PhanNhom[],Sheet_ChiPhiKD!$J$2,0) = "Chưa phân bổ" )),
1/_xlfn._xlws.FILTER(ROUND((Table_ChiPhiKD[Phân bổ đến]-Table_ChiPhiKD[Phân bổ từ])/(365.25/12),0),
(ISBLANK(Table_ChiPhiKD[Tháng])) *
(Table_ChiPhiKD[Phân bổ từ] &lt; DATE(YEAR(N$2),MONTH(N$2)+1,1))*
(Table_ChiPhiKD[Phân bổ đến] &gt; N$2)*
(VLOOKUP(Table_ChiPhiKD[Nhóm chi phí],Table_ChiPhiKD_PhanNhom[],Sheet_ChiPhiKD!$J$2,0) = "Chưa phân bổ" ))
), 0)</f>
        <v>0</v>
      </c>
      <c r="O22" s="328" cm="1">
        <f t="array" ref="O22">-IFERROR(
SUM(_xlfn._xlws.FILTER(Table_TonKho[Chi phí ghi nhận],
(Table_TonKho[Kỳ] = O$2) *
(Table_TonKho[Chức năng] = "Văn phòng")
)),0)
-IFERROR(
SUM(
_xlfn._xlws.FILTER(Table_ChiPhiKD[Giá trị]-Table_ChiPhiKD[Phân bổ sản xuất],
(Table_ChiPhiKD[Kỳ] = O$2)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DATE(YEAR(O$2),MONTH(O$2)+1,1))*
(Table_ChiPhiKD[Phân bổ đến] &gt; O$2)*
(VLOOKUP(Table_ChiPhiKD[Nhóm chi phí],Table_ChiPhiKD_PhanNhom[],Sheet_ChiPhiKD!$J$2,0) = "Chưa phân bổ" )),
1/_xlfn._xlws.FILTER(ROUND((Table_ChiPhiKD[Phân bổ đến]-Table_ChiPhiKD[Phân bổ từ])/(365.25/12),0),
(ISBLANK(Table_ChiPhiKD[Tháng])) *
(Table_ChiPhiKD[Phân bổ từ] &lt; DATE(YEAR(O$2),MONTH(O$2)+1,1))*
(Table_ChiPhiKD[Phân bổ đến] &gt; O$2)*
(VLOOKUP(Table_ChiPhiKD[Nhóm chi phí],Table_ChiPhiKD_PhanNhom[],Sheet_ChiPhiKD!$J$2,0) = "Chưa phân bổ" ))
), 0)</f>
        <v>0</v>
      </c>
      <c r="P22" s="323"/>
      <c r="Q22" s="240"/>
      <c r="R22" s="73" t="s">
        <v>293</v>
      </c>
      <c r="S22" s="328" cm="1">
        <f t="array" ref="S22">-IFERROR(
SUM(_xlfn._xlws.FILTER(Table_TonKho[Chi phí ghi nhận],
(Table_TonKho[Năm] = S$1) *
(Table_TonKho[Chức năng] = "Văn phòng")
)),0)
-IFERROR(
SUM(
_xlfn._xlws.FILTER(Table_ChiPhiKD[Giá trị]-Table_ChiPhiKD[Phân bổ sản xuất],
(Table_ChiPhiKD[Năm] = S$1)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22" s="240"/>
      <c r="U22" s="73" t="s">
        <v>293</v>
      </c>
      <c r="V22" s="328" cm="1">
        <f t="array" ref="V22">-IFERROR(
SUM(_xlfn._xlws.FILTER(Table_TonKho[Chi phí ghi nhận],
(Table_TonKho[Kỳ] = V$1) *
(Table_TonKho[Chức năng] = "Văn phòng")
)),0)
-IFERROR(
SUM(
_xlfn._xlws.FILTER(Table_ChiPhiKD[Giá trị]-Table_ChiPhiKD[Phân bổ sản xuất],
(Table_ChiPhiKD[Kỳ] = V$1)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DATE(YEAR(V$1),MONTH(V$1)+1,1))*
(Table_ChiPhiKD[Phân bổ đến] &gt; V$1)*
(VLOOKUP(Table_ChiPhiKD[Nhóm chi phí],Table_ChiPhiKD_PhanNhom[],Sheet_ChiPhiKD!$J$2,0) = "Chưa phân bổ" )),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phí],Table_ChiPhiKD_PhanNhom[],Sheet_ChiPhiKD!$J$2,0) = "Chưa phân bổ" ))
), 0)</f>
        <v>0</v>
      </c>
    </row>
    <row r="23" spans="2:22" ht="18" customHeight="1" outlineLevel="2" x14ac:dyDescent="0.3">
      <c r="B23" s="73" t="s">
        <v>353</v>
      </c>
      <c r="C23" s="328" cm="1">
        <f t="array" ref="C23" xml:space="preserve">
-IFERROR(
SUM(
_xlfn._xlws.FILTER(Table_ChiPhiKD[Giá trị],
(NOT(ISBLANK(Table_ChiPhiKD[Tháng])))*
(Table_ChiPhiKD[Nhóm chi phí] = "Chi phí Kênh phân phối") *
(Table_ChiPhiKD[Năm] = C$2)
)),
0)
- IFERROR(
SUMPRODUCT(
_xlfn._xlws.FILTER(Table_ChiPhiKD[Giá trị],
(ISBLANK(Table_ChiPhiKD[Tháng])) *
(Table_ChiPhiKD[Nhóm chi phí] = "Chi phí Kênh phân phối")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Kênh phân phối") *
(Table_ChiPhiKD[Phân bổ từ] &lt; DATE(C$2+1,1,1))*
(Table_ChiPhiKD[Phân bổ đến] &gt; DATE(C$2,1,1))
),
1/_xlfn._xlws.FILTER(
ROUND(
(Table_ChiPhiKD[Phân bổ đến]-Table_ChiPhiKD[Phân bổ từ])
/(365.25/12),
0),
(ISBLANK(Table_ChiPhiKD[Tháng])) *
(Table_ChiPhiKD[Nhóm chi phí] = "Chi phí Kênh phân phối") *
(Table_ChiPhiKD[Phân bổ từ] &lt; DATE(C$2+1,1,1))*
(Table_ChiPhiKD[Phân bổ đến] &gt; DATE(C$2,1,1))
)
),
0)</f>
        <v>0</v>
      </c>
      <c r="D23" s="330" cm="1">
        <f t="array" ref="D23" xml:space="preserve">
-IFERROR(
SUM(
_xlfn._xlws.FILTER(Table_ChiPhiKD[Giá trị],
(NOT(ISBLANK(Table_ChiPhiKD[Tháng])))*
(Table_ChiPhiKD[Nhóm chi phí] = "Chi phí Kênh phân phối") *
(Table_ChiPhiKD[Kỳ] = D$2)
)),
0)
- IFERROR(
SUMPRODUCT(
_xlfn._xlws.FILTER(Table_ChiPhiKD[Giá trị],
(ISBLANK(Table_ChiPhiKD[Tháng])) *
(Table_ChiPhiKD[Nhóm chi phí] = "Chi phí Kênh phân phối") *
(Table_ChiPhiKD[Phân bổ từ] &lt; DATE(YEAR(D$2),MONTH(D$2)+1,1))*
(Table_ChiPhiKD[Phân bổ đến] &gt; D$2)
),
1/_xlfn._xlws.FILTER(
ROUND(
(Table_ChiPhiKD[Phân bổ đến]-Table_ChiPhiKD[Phân bổ từ])
/(365.25/12),
0),
(ISBLANK(Table_ChiPhiKD[Tháng])) *
(Table_ChiPhiKD[Nhóm chi phí] = "Chi phí Kênh phân phối") *
(Table_ChiPhiKD[Phân bổ từ] &lt; DATE(YEAR(D$2),MONTH(D$2)+1,1))*
(Table_ChiPhiKD[Phân bổ đến] &gt; D$2)
)
),
0)</f>
        <v>0</v>
      </c>
      <c r="E23" s="330" cm="1">
        <f t="array" ref="E23" xml:space="preserve">
-IFERROR(
SUM(
_xlfn._xlws.FILTER(Table_ChiPhiKD[Giá trị],
(NOT(ISBLANK(Table_ChiPhiKD[Tháng])))*
(Table_ChiPhiKD[Nhóm chi phí] = "Chi phí Kênh phân phối") *
(Table_ChiPhiKD[Kỳ] = E$2)
)),
0)
- IFERROR(
SUMPRODUCT(
_xlfn._xlws.FILTER(Table_ChiPhiKD[Giá trị],
(ISBLANK(Table_ChiPhiKD[Tháng])) *
(Table_ChiPhiKD[Nhóm chi phí] = "Chi phí Kênh phân phối") *
(Table_ChiPhiKD[Phân bổ từ] &lt; DATE(YEAR(E$2),MONTH(E$2)+1,1))*
(Table_ChiPhiKD[Phân bổ đến] &gt; E$2)
),
1/_xlfn._xlws.FILTER(
ROUND(
(Table_ChiPhiKD[Phân bổ đến]-Table_ChiPhiKD[Phân bổ từ])
/(365.25/12),
0),
(ISBLANK(Table_ChiPhiKD[Tháng])) *
(Table_ChiPhiKD[Nhóm chi phí] = "Chi phí Kênh phân phối") *
(Table_ChiPhiKD[Phân bổ từ] &lt; DATE(YEAR(E$2),MONTH(E$2)+1,1))*
(Table_ChiPhiKD[Phân bổ đến] &gt; E$2)
)
),
0)</f>
        <v>0</v>
      </c>
      <c r="F23" s="330" cm="1">
        <f t="array" ref="F23" xml:space="preserve">
-IFERROR(
SUM(
_xlfn._xlws.FILTER(Table_ChiPhiKD[Giá trị],
(NOT(ISBLANK(Table_ChiPhiKD[Tháng])))*
(Table_ChiPhiKD[Nhóm chi phí] = "Chi phí Kênh phân phối") *
(Table_ChiPhiKD[Kỳ] = F$2)
)),
0)
- IFERROR(
SUMPRODUCT(
_xlfn._xlws.FILTER(Table_ChiPhiKD[Giá trị],
(ISBLANK(Table_ChiPhiKD[Tháng])) *
(Table_ChiPhiKD[Nhóm chi phí] = "Chi phí Kênh phân phối") *
(Table_ChiPhiKD[Phân bổ từ] &lt; DATE(YEAR(F$2),MONTH(F$2)+1,1))*
(Table_ChiPhiKD[Phân bổ đến] &gt; F$2)
),
1/_xlfn._xlws.FILTER(
ROUND(
(Table_ChiPhiKD[Phân bổ đến]-Table_ChiPhiKD[Phân bổ từ])
/(365.25/12),
0),
(ISBLANK(Table_ChiPhiKD[Tháng])) *
(Table_ChiPhiKD[Nhóm chi phí] = "Chi phí Kênh phân phối") *
(Table_ChiPhiKD[Phân bổ từ] &lt; DATE(YEAR(F$2),MONTH(F$2)+1,1))*
(Table_ChiPhiKD[Phân bổ đến] &gt; F$2)
)
),
0)</f>
        <v>0</v>
      </c>
      <c r="G23" s="330" cm="1">
        <f t="array" ref="G23" xml:space="preserve">
-IFERROR(
SUM(
_xlfn._xlws.FILTER(Table_ChiPhiKD[Giá trị],
(NOT(ISBLANK(Table_ChiPhiKD[Tháng])))*
(Table_ChiPhiKD[Nhóm chi phí] = "Chi phí Kênh phân phối") *
(Table_ChiPhiKD[Kỳ] = G$2)
)),
0)
- IFERROR(
SUMPRODUCT(
_xlfn._xlws.FILTER(Table_ChiPhiKD[Giá trị],
(ISBLANK(Table_ChiPhiKD[Tháng])) *
(Table_ChiPhiKD[Nhóm chi phí] = "Chi phí Kênh phân phối") *
(Table_ChiPhiKD[Phân bổ từ] &lt; DATE(YEAR(G$2),MONTH(G$2)+1,1))*
(Table_ChiPhiKD[Phân bổ đến] &gt; G$2)
),
1/_xlfn._xlws.FILTER(
ROUND(
(Table_ChiPhiKD[Phân bổ đến]-Table_ChiPhiKD[Phân bổ từ])
/(365.25/12),
0),
(ISBLANK(Table_ChiPhiKD[Tháng])) *
(Table_ChiPhiKD[Nhóm chi phí] = "Chi phí Kênh phân phối") *
(Table_ChiPhiKD[Phân bổ từ] &lt; DATE(YEAR(G$2),MONTH(G$2)+1,1))*
(Table_ChiPhiKD[Phân bổ đến] &gt; G$2)
)
),
0)</f>
        <v>0</v>
      </c>
      <c r="H23" s="330" cm="1">
        <f t="array" ref="H23" xml:space="preserve">
-IFERROR(
SUM(
_xlfn._xlws.FILTER(Table_ChiPhiKD[Giá trị],
(NOT(ISBLANK(Table_ChiPhiKD[Tháng])))*
(Table_ChiPhiKD[Nhóm chi phí] = "Chi phí Kênh phân phối") *
(Table_ChiPhiKD[Kỳ] = H$2)
)),
0)
- IFERROR(
SUMPRODUCT(
_xlfn._xlws.FILTER(Table_ChiPhiKD[Giá trị],
(ISBLANK(Table_ChiPhiKD[Tháng])) *
(Table_ChiPhiKD[Nhóm chi phí] = "Chi phí Kênh phân phối") *
(Table_ChiPhiKD[Phân bổ từ] &lt; DATE(YEAR(H$2),MONTH(H$2)+1,1))*
(Table_ChiPhiKD[Phân bổ đến] &gt; H$2)
),
1/_xlfn._xlws.FILTER(
ROUND(
(Table_ChiPhiKD[Phân bổ đến]-Table_ChiPhiKD[Phân bổ từ])
/(365.25/12),
0),
(ISBLANK(Table_ChiPhiKD[Tháng])) *
(Table_ChiPhiKD[Nhóm chi phí] = "Chi phí Kênh phân phối") *
(Table_ChiPhiKD[Phân bổ từ] &lt; DATE(YEAR(H$2),MONTH(H$2)+1,1))*
(Table_ChiPhiKD[Phân bổ đến] &gt; H$2)
)
),
0)</f>
        <v>0</v>
      </c>
      <c r="I23" s="330" cm="1">
        <f t="array" ref="I23" xml:space="preserve">
-IFERROR(
SUM(
_xlfn._xlws.FILTER(Table_ChiPhiKD[Giá trị],
(NOT(ISBLANK(Table_ChiPhiKD[Tháng])))*
(Table_ChiPhiKD[Nhóm chi phí] = "Chi phí Kênh phân phối") *
(Table_ChiPhiKD[Kỳ] = I$2)
)),
0)
- IFERROR(
SUMPRODUCT(
_xlfn._xlws.FILTER(Table_ChiPhiKD[Giá trị],
(ISBLANK(Table_ChiPhiKD[Tháng])) *
(Table_ChiPhiKD[Nhóm chi phí] = "Chi phí Kênh phân phối") *
(Table_ChiPhiKD[Phân bổ từ] &lt; DATE(YEAR(I$2),MONTH(I$2)+1,1))*
(Table_ChiPhiKD[Phân bổ đến] &gt; I$2)
),
1/_xlfn._xlws.FILTER(
ROUND(
(Table_ChiPhiKD[Phân bổ đến]-Table_ChiPhiKD[Phân bổ từ])
/(365.25/12),
0),
(ISBLANK(Table_ChiPhiKD[Tháng])) *
(Table_ChiPhiKD[Nhóm chi phí] = "Chi phí Kênh phân phối") *
(Table_ChiPhiKD[Phân bổ từ] &lt; DATE(YEAR(I$2),MONTH(I$2)+1,1))*
(Table_ChiPhiKD[Phân bổ đến] &gt; I$2)
)
),
0)</f>
        <v>0</v>
      </c>
      <c r="J23" s="330" cm="1">
        <f t="array" ref="J23" xml:space="preserve">
-IFERROR(
SUM(
_xlfn._xlws.FILTER(Table_ChiPhiKD[Giá trị],
(NOT(ISBLANK(Table_ChiPhiKD[Tháng])))*
(Table_ChiPhiKD[Nhóm chi phí] = "Chi phí Kênh phân phối") *
(Table_ChiPhiKD[Kỳ] = J$2)
)),
0)
- IFERROR(
SUMPRODUCT(
_xlfn._xlws.FILTER(Table_ChiPhiKD[Giá trị],
(ISBLANK(Table_ChiPhiKD[Tháng])) *
(Table_ChiPhiKD[Nhóm chi phí] = "Chi phí Kênh phân phối") *
(Table_ChiPhiKD[Phân bổ từ] &lt; DATE(YEAR(J$2),MONTH(J$2)+1,1))*
(Table_ChiPhiKD[Phân bổ đến] &gt; J$2)
),
1/_xlfn._xlws.FILTER(
ROUND(
(Table_ChiPhiKD[Phân bổ đến]-Table_ChiPhiKD[Phân bổ từ])
/(365.25/12),
0),
(ISBLANK(Table_ChiPhiKD[Tháng])) *
(Table_ChiPhiKD[Nhóm chi phí] = "Chi phí Kênh phân phối") *
(Table_ChiPhiKD[Phân bổ từ] &lt; DATE(YEAR(J$2),MONTH(J$2)+1,1))*
(Table_ChiPhiKD[Phân bổ đến] &gt; J$2)
)
),
0)</f>
        <v>0</v>
      </c>
      <c r="K23" s="330" cm="1">
        <f t="array" ref="K23" xml:space="preserve">
-IFERROR(
SUM(
_xlfn._xlws.FILTER(Table_ChiPhiKD[Giá trị],
(NOT(ISBLANK(Table_ChiPhiKD[Tháng])))*
(Table_ChiPhiKD[Nhóm chi phí] = "Chi phí Kênh phân phối") *
(Table_ChiPhiKD[Kỳ] = K$2)
)),
0)
- IFERROR(
SUMPRODUCT(
_xlfn._xlws.FILTER(Table_ChiPhiKD[Giá trị],
(ISBLANK(Table_ChiPhiKD[Tháng])) *
(Table_ChiPhiKD[Nhóm chi phí] = "Chi phí Kênh phân phối") *
(Table_ChiPhiKD[Phân bổ từ] &lt; DATE(YEAR(K$2),MONTH(K$2)+1,1))*
(Table_ChiPhiKD[Phân bổ đến] &gt; K$2)
),
1/_xlfn._xlws.FILTER(
ROUND(
(Table_ChiPhiKD[Phân bổ đến]-Table_ChiPhiKD[Phân bổ từ])
/(365.25/12),
0),
(ISBLANK(Table_ChiPhiKD[Tháng])) *
(Table_ChiPhiKD[Nhóm chi phí] = "Chi phí Kênh phân phối") *
(Table_ChiPhiKD[Phân bổ từ] &lt; DATE(YEAR(K$2),MONTH(K$2)+1,1))*
(Table_ChiPhiKD[Phân bổ đến] &gt; K$2)
)
),
0)</f>
        <v>0</v>
      </c>
      <c r="L23" s="330" cm="1">
        <f t="array" ref="L23" xml:space="preserve">
-IFERROR(
SUM(
_xlfn._xlws.FILTER(Table_ChiPhiKD[Giá trị],
(NOT(ISBLANK(Table_ChiPhiKD[Tháng])))*
(Table_ChiPhiKD[Nhóm chi phí] = "Chi phí Kênh phân phối") *
(Table_ChiPhiKD[Kỳ] = L$2)
)),
0)
- IFERROR(
SUMPRODUCT(
_xlfn._xlws.FILTER(Table_ChiPhiKD[Giá trị],
(ISBLANK(Table_ChiPhiKD[Tháng])) *
(Table_ChiPhiKD[Nhóm chi phí] = "Chi phí Kênh phân phối") *
(Table_ChiPhiKD[Phân bổ từ] &lt; DATE(YEAR(L$2),MONTH(L$2)+1,1))*
(Table_ChiPhiKD[Phân bổ đến] &gt; L$2)
),
1/_xlfn._xlws.FILTER(
ROUND(
(Table_ChiPhiKD[Phân bổ đến]-Table_ChiPhiKD[Phân bổ từ])
/(365.25/12),
0),
(ISBLANK(Table_ChiPhiKD[Tháng])) *
(Table_ChiPhiKD[Nhóm chi phí] = "Chi phí Kênh phân phối") *
(Table_ChiPhiKD[Phân bổ từ] &lt; DATE(YEAR(L$2),MONTH(L$2)+1,1))*
(Table_ChiPhiKD[Phân bổ đến] &gt; L$2)
)
),
0)</f>
        <v>0</v>
      </c>
      <c r="M23" s="330" cm="1">
        <f t="array" ref="M23" xml:space="preserve">
-IFERROR(
SUM(
_xlfn._xlws.FILTER(Table_ChiPhiKD[Giá trị],
(NOT(ISBLANK(Table_ChiPhiKD[Tháng])))*
(Table_ChiPhiKD[Nhóm chi phí] = "Chi phí Kênh phân phối") *
(Table_ChiPhiKD[Kỳ] = M$2)
)),
0)
- IFERROR(
SUMPRODUCT(
_xlfn._xlws.FILTER(Table_ChiPhiKD[Giá trị],
(ISBLANK(Table_ChiPhiKD[Tháng])) *
(Table_ChiPhiKD[Nhóm chi phí] = "Chi phí Kênh phân phối") *
(Table_ChiPhiKD[Phân bổ từ] &lt; DATE(YEAR(M$2),MONTH(M$2)+1,1))*
(Table_ChiPhiKD[Phân bổ đến] &gt; M$2)
),
1/_xlfn._xlws.FILTER(
ROUND(
(Table_ChiPhiKD[Phân bổ đến]-Table_ChiPhiKD[Phân bổ từ])
/(365.25/12),
0),
(ISBLANK(Table_ChiPhiKD[Tháng])) *
(Table_ChiPhiKD[Nhóm chi phí] = "Chi phí Kênh phân phối") *
(Table_ChiPhiKD[Phân bổ từ] &lt; DATE(YEAR(M$2),MONTH(M$2)+1,1))*
(Table_ChiPhiKD[Phân bổ đến] &gt; M$2)
)
),
0)</f>
        <v>0</v>
      </c>
      <c r="N23" s="330" cm="1">
        <f t="array" ref="N23" xml:space="preserve">
-IFERROR(
SUM(
_xlfn._xlws.FILTER(Table_ChiPhiKD[Giá trị],
(NOT(ISBLANK(Table_ChiPhiKD[Tháng])))*
(Table_ChiPhiKD[Nhóm chi phí] = "Chi phí Kênh phân phối") *
(Table_ChiPhiKD[Kỳ] = N$2)
)),
0)
- IFERROR(
SUMPRODUCT(
_xlfn._xlws.FILTER(Table_ChiPhiKD[Giá trị],
(ISBLANK(Table_ChiPhiKD[Tháng])) *
(Table_ChiPhiKD[Nhóm chi phí] = "Chi phí Kênh phân phối") *
(Table_ChiPhiKD[Phân bổ từ] &lt; DATE(YEAR(N$2),MONTH(N$2)+1,1))*
(Table_ChiPhiKD[Phân bổ đến] &gt; N$2)
),
1/_xlfn._xlws.FILTER(
ROUND(
(Table_ChiPhiKD[Phân bổ đến]-Table_ChiPhiKD[Phân bổ từ])
/(365.25/12),
0),
(ISBLANK(Table_ChiPhiKD[Tháng])) *
(Table_ChiPhiKD[Nhóm chi phí] = "Chi phí Kênh phân phối") *
(Table_ChiPhiKD[Phân bổ từ] &lt; DATE(YEAR(N$2),MONTH(N$2)+1,1))*
(Table_ChiPhiKD[Phân bổ đến] &gt; N$2)
)
),
0)</f>
        <v>0</v>
      </c>
      <c r="O23" s="330" cm="1">
        <f t="array" ref="O23" xml:space="preserve">
-IFERROR(
SUM(
_xlfn._xlws.FILTER(Table_ChiPhiKD[Giá trị],
(NOT(ISBLANK(Table_ChiPhiKD[Tháng])))*
(Table_ChiPhiKD[Nhóm chi phí] = "Chi phí Kênh phân phối") *
(Table_ChiPhiKD[Kỳ] = O$2)
)),
0)
- IFERROR(
SUMPRODUCT(
_xlfn._xlws.FILTER(Table_ChiPhiKD[Giá trị],
(ISBLANK(Table_ChiPhiKD[Tháng])) *
(Table_ChiPhiKD[Nhóm chi phí] = "Chi phí Kênh phân phối") *
(Table_ChiPhiKD[Phân bổ từ] &lt; DATE(YEAR(O$2),MONTH(O$2)+1,1))*
(Table_ChiPhiKD[Phân bổ đến] &gt; O$2)
),
1/_xlfn._xlws.FILTER(
ROUND(
(Table_ChiPhiKD[Phân bổ đến]-Table_ChiPhiKD[Phân bổ từ])
/(365.25/12),
0),
(ISBLANK(Table_ChiPhiKD[Tháng])) *
(Table_ChiPhiKD[Nhóm chi phí] = "Chi phí Kênh phân phối") *
(Table_ChiPhiKD[Phân bổ từ] &lt; DATE(YEAR(O$2),MONTH(O$2)+1,1))*
(Table_ChiPhiKD[Phân bổ đến] &gt; O$2)
)
),
0)</f>
        <v>0</v>
      </c>
      <c r="P23" s="323"/>
      <c r="Q23" s="240"/>
      <c r="R23" s="73" t="s">
        <v>353</v>
      </c>
      <c r="S23" s="328" cm="1">
        <f t="array" ref="S23" xml:space="preserve">
-IFERROR(
SUM(
_xlfn._xlws.FILTER(Table_ChiPhiKD[Giá trị],
(NOT(ISBLANK(Table_ChiPhiKD[Tháng])))*
(Table_ChiPhiKD[Nhóm chi phí] = "Chi phí Kênh phân phối") *
(Table_ChiPhiKD[Năm] = S$1)
)),
0)
- IFERROR(
SUMPRODUCT(
_xlfn._xlws.FILTER(Table_ChiPhiKD[Giá trị],
(ISBLANK(Table_ChiPhiKD[Tháng])) *
(Table_ChiPhiKD[Nhóm chi phí] = "Chi phí Kênh phân phối")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Kênh phân phối") *
(Table_ChiPhiKD[Phân bổ từ] &lt; DATE(S$1+1,1,1))*
(Table_ChiPhiKD[Phân bổ đến] &gt; DATE(S$1,1,1))
),
1/_xlfn._xlws.FILTER(
ROUND(
(Table_ChiPhiKD[Phân bổ đến]-Table_ChiPhiKD[Phân bổ từ])
/(365.25/12),
0),
(ISBLANK(Table_ChiPhiKD[Tháng])) *
(Table_ChiPhiKD[Nhóm chi phí] = "Chi phí Kênh phân phối") *
(Table_ChiPhiKD[Phân bổ từ] &lt; DATE(S$1+1,1,1))*
(Table_ChiPhiKD[Phân bổ đến] &gt; DATE(S$1,1,1))
)
),
0)</f>
        <v>0</v>
      </c>
      <c r="T23" s="240"/>
      <c r="U23" s="73" t="s">
        <v>353</v>
      </c>
      <c r="V23" s="330" cm="1">
        <f t="array" ref="V23" xml:space="preserve">
-IFERROR(
SUM(
_xlfn._xlws.FILTER(Table_ChiPhiKD[Giá trị],
(NOT(ISBLANK(Table_ChiPhiKD[Tháng])))*
(Table_ChiPhiKD[Nhóm chi phí] = "Chi phí Kênh phân phối") *
(Table_ChiPhiKD[Kỳ] = V$1)
)),
0)
- IFERROR(
SUMPRODUCT(
_xlfn._xlws.FILTER(Table_ChiPhiKD[Giá trị],
(ISBLANK(Table_ChiPhiKD[Tháng])) *
(Table_ChiPhiKD[Nhóm chi phí] = "Chi phí Kênh phân phối") *
(Table_ChiPhiKD[Phân bổ từ] &lt; DATE(YEAR(V$1),MONTH(V$1)+1,1))*
(Table_ChiPhiKD[Phân bổ đến] &gt; V$1)
),
1/_xlfn._xlws.FILTER(
ROUND(
(Table_ChiPhiKD[Phân bổ đến]-Table_ChiPhiKD[Phân bổ từ])
/(365.25/12),
0),
(ISBLANK(Table_ChiPhiKD[Tháng])) *
(Table_ChiPhiKD[Nhóm chi phí] = "Chi phí Kênh phân phối") *
(Table_ChiPhiKD[Phân bổ từ] &lt; DATE(YEAR(V$1),MONTH(V$1)+1,1))*
(Table_ChiPhiKD[Phân bổ đến] &gt; V$1)
)
),
0)</f>
        <v>0</v>
      </c>
    </row>
    <row r="24" spans="2:22" ht="18" customHeight="1" outlineLevel="2" x14ac:dyDescent="0.3">
      <c r="B24" s="73" t="s">
        <v>294</v>
      </c>
      <c r="C24" s="328" cm="1">
        <f t="array" ref="C24" xml:space="preserve">
-IFERROR(
SUM(
_xlfn._xlws.FILTER(Table_ChiPhiKD[Giá trị],
(NOT(ISBLANK(Table_ChiPhiKD[Tháng])))*
(Table_ChiPhiKD[Nhóm chi phí] = "Chi phí Marketing") *
(Table_ChiPhiKD[Năm] = C$2)
)),
0)
- IFERROR(
SUMPRODUCT(
_xlfn._xlws.FILTER(Table_ChiPhiKD[Giá trị],
(ISBLANK(Table_ChiPhiKD[Tháng])) *
(Table_ChiPhiKD[Nhóm chi phí] = "Chi phí Marketing")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Marketing") *
(Table_ChiPhiKD[Phân bổ từ] &lt; DATE(C$2+1,1,1))*
(Table_ChiPhiKD[Phân bổ đến] &gt; DATE(C$2,1,1))
),
1/_xlfn._xlws.FILTER(
ROUND(
(Table_ChiPhiKD[Phân bổ đến]-Table_ChiPhiKD[Phân bổ từ])
/(365.25/12),
0),
(ISBLANK(Table_ChiPhiKD[Tháng])) *
(Table_ChiPhiKD[Nhóm chi phí] = "Chi phí Marketing") *
(Table_ChiPhiKD[Phân bổ từ] &lt; DATE(C$2+1,1,1))*
(Table_ChiPhiKD[Phân bổ đến] &gt; DATE(C$2,1,1))
)
),
0)
-IFERROR(
SUM(
_xlfn._xlws.FILTER(Table_ChiPhiKD[Giá trị],
(NOT(ISBLANK(Table_ChiPhiKD[Tháng])))*
(Table_ChiPhiKD[Nhóm chi phí] = "Chi phí Đối ngoại") *
(Table_ChiPhiKD[Năm] = C$2)
)),
0)
- IFERROR(
SUMPRODUCT(
_xlfn._xlws.FILTER(Table_ChiPhiKD[Giá trị],
(ISBLANK(Table_ChiPhiKD[Tháng])) *
(Table_ChiPhiKD[Nhóm chi phí] = "Chi phí Đối ngoại")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Đối ngoại") *
(Table_ChiPhiKD[Phân bổ từ] &lt; DATE(C$2+1,1,1))*
(Table_ChiPhiKD[Phân bổ đến] &gt; DATE(C$2,1,1))
),
1/_xlfn._xlws.FILTER(
ROUND(
(Table_ChiPhiKD[Phân bổ đến]-Table_ChiPhiKD[Phân bổ từ])
/(365.25/12),
0),
(ISBLANK(Table_ChiPhiKD[Tháng])) *
(Table_ChiPhiKD[Nhóm chi phí] = "Chi phí Đối ngoại") *
(Table_ChiPhiKD[Phân bổ từ] &lt; DATE(C$2+1,1,1))*
(Table_ChiPhiKD[Phân bổ đến] &gt; DATE(C$2,1,1))
)
),
0)</f>
        <v>0</v>
      </c>
      <c r="D24" s="328" cm="1">
        <f t="array" ref="D24" xml:space="preserve">
-IFERROR(
SUM(
_xlfn._xlws.FILTER(Table_ChiPhiKD[Giá trị],
(NOT(ISBLANK(Table_ChiPhiKD[Tháng])))*
(Table_ChiPhiKD[Nhóm chi phí] = "Chi phí Marketing") *
(Table_ChiPhiKD[Kỳ] = D$2)
)),
0)
- IFERROR(
SUMPRODUCT(
_xlfn._xlws.FILTER(Table_ChiPhiKD[Giá trị],
(ISBLANK(Table_ChiPhiKD[Tháng])) *
(Table_ChiPhiKD[Nhóm chi phí] = "Chi phí Marketing") *
(Table_ChiPhiKD[Phân bổ từ] &lt; DATE(YEAR(D$2),MONTH(D$2)+1,1))*
(Table_ChiPhiKD[Phân bổ đến] &gt; D$2)
),
1/_xlfn._xlws.FILTER(
ROUND(
(Table_ChiPhiKD[Phân bổ đến]-Table_ChiPhiKD[Phân bổ từ])
/(365.25/12),
0),
(ISBLANK(Table_ChiPhiKD[Tháng])) *
(Table_ChiPhiKD[Nhóm chi phí] = "Chi phí Marketing") *
(Table_ChiPhiKD[Phân bổ từ] &lt; DATE(YEAR(D$2),MONTH(D$2)+1,1))*
(Table_ChiPhiKD[Phân bổ đến] &gt; D$2)
)
),
0)
-IFERROR(
SUM(
_xlfn._xlws.FILTER(Table_ChiPhiKD[Giá trị],
(NOT(ISBLANK(Table_ChiPhiKD[Tháng])))*
(Table_ChiPhiKD[Nhóm chi phí] = "Chi phí Đối ngoại") *
(Table_ChiPhiKD[Kỳ] = D$2)
)),
0)
- IFERROR(
SUMPRODUCT(
_xlfn._xlws.FILTER(Table_ChiPhiKD[Giá trị],
(ISBLANK(Table_ChiPhiKD[Tháng])) *
(Table_ChiPhiKD[Nhóm chi phí] = "Chi phí Đối ngoại") *
(Table_ChiPhiKD[Phân bổ từ] &lt; DATE(YEAR(D$2),MONTH(D$2)+1,1))*
(Table_ChiPhiKD[Phân bổ đến] &gt; D$2)
),
1/_xlfn._xlws.FILTER(
ROUND(
(Table_ChiPhiKD[Phân bổ đến]-Table_ChiPhiKD[Phân bổ từ])
/(365.25/12),
0),
(ISBLANK(Table_ChiPhiKD[Tháng])) *
(Table_ChiPhiKD[Nhóm chi phí] = "Chi phí Đối ngoại") *
(Table_ChiPhiKD[Phân bổ từ] &lt; DATE(YEAR(D$2),MONTH(D$2)+1,1))*
(Table_ChiPhiKD[Phân bổ đến] &gt; D$2)
)
),
0)</f>
        <v>0</v>
      </c>
      <c r="E24" s="328" cm="1">
        <f t="array" ref="E24" xml:space="preserve">
-IFERROR(
SUM(
_xlfn._xlws.FILTER(Table_ChiPhiKD[Giá trị],
(NOT(ISBLANK(Table_ChiPhiKD[Tháng])))*
(Table_ChiPhiKD[Nhóm chi phí] = "Chi phí Marketing") *
(Table_ChiPhiKD[Kỳ] = E$2)
)),
0)
- IFERROR(
SUMPRODUCT(
_xlfn._xlws.FILTER(Table_ChiPhiKD[Giá trị],
(ISBLANK(Table_ChiPhiKD[Tháng])) *
(Table_ChiPhiKD[Nhóm chi phí] = "Chi phí Marketing") *
(Table_ChiPhiKD[Phân bổ từ] &lt; DATE(YEAR(E$2),MONTH(E$2)+1,1))*
(Table_ChiPhiKD[Phân bổ đến] &gt; E$2)
),
1/_xlfn._xlws.FILTER(
ROUND(
(Table_ChiPhiKD[Phân bổ đến]-Table_ChiPhiKD[Phân bổ từ])
/(365.25/12),
0),
(ISBLANK(Table_ChiPhiKD[Tháng])) *
(Table_ChiPhiKD[Nhóm chi phí] = "Chi phí Marketing") *
(Table_ChiPhiKD[Phân bổ từ] &lt; DATE(YEAR(E$2),MONTH(E$2)+1,1))*
(Table_ChiPhiKD[Phân bổ đến] &gt; E$2)
)
),
0)
-IFERROR(
SUM(
_xlfn._xlws.FILTER(Table_ChiPhiKD[Giá trị],
(NOT(ISBLANK(Table_ChiPhiKD[Tháng])))*
(Table_ChiPhiKD[Nhóm chi phí] = "Chi phí Đối ngoại") *
(Table_ChiPhiKD[Kỳ] = E$2)
)),
0)
- IFERROR(
SUMPRODUCT(
_xlfn._xlws.FILTER(Table_ChiPhiKD[Giá trị],
(ISBLANK(Table_ChiPhiKD[Tháng])) *
(Table_ChiPhiKD[Nhóm chi phí] = "Chi phí Đối ngoại") *
(Table_ChiPhiKD[Phân bổ từ] &lt; DATE(YEAR(E$2),MONTH(E$2)+1,1))*
(Table_ChiPhiKD[Phân bổ đến] &gt; E$2)
),
1/_xlfn._xlws.FILTER(
ROUND(
(Table_ChiPhiKD[Phân bổ đến]-Table_ChiPhiKD[Phân bổ từ])
/(365.25/12),
0),
(ISBLANK(Table_ChiPhiKD[Tháng])) *
(Table_ChiPhiKD[Nhóm chi phí] = "Chi phí Đối ngoại") *
(Table_ChiPhiKD[Phân bổ từ] &lt; DATE(YEAR(E$2),MONTH(E$2)+1,1))*
(Table_ChiPhiKD[Phân bổ đến] &gt; E$2)
)
),
0)</f>
        <v>0</v>
      </c>
      <c r="F24" s="328" cm="1">
        <f t="array" ref="F24" xml:space="preserve">
-IFERROR(
SUM(
_xlfn._xlws.FILTER(Table_ChiPhiKD[Giá trị],
(NOT(ISBLANK(Table_ChiPhiKD[Tháng])))*
(Table_ChiPhiKD[Nhóm chi phí] = "Chi phí Marketing") *
(Table_ChiPhiKD[Kỳ] = F$2)
)),
0)
- IFERROR(
SUMPRODUCT(
_xlfn._xlws.FILTER(Table_ChiPhiKD[Giá trị],
(ISBLANK(Table_ChiPhiKD[Tháng])) *
(Table_ChiPhiKD[Nhóm chi phí] = "Chi phí Marketing") *
(Table_ChiPhiKD[Phân bổ từ] &lt; DATE(YEAR(F$2),MONTH(F$2)+1,1))*
(Table_ChiPhiKD[Phân bổ đến] &gt; F$2)
),
1/_xlfn._xlws.FILTER(
ROUND(
(Table_ChiPhiKD[Phân bổ đến]-Table_ChiPhiKD[Phân bổ từ])
/(365.25/12),
0),
(ISBLANK(Table_ChiPhiKD[Tháng])) *
(Table_ChiPhiKD[Nhóm chi phí] = "Chi phí Marketing") *
(Table_ChiPhiKD[Phân bổ từ] &lt; DATE(YEAR(F$2),MONTH(F$2)+1,1))*
(Table_ChiPhiKD[Phân bổ đến] &gt; F$2)
)
),
0)
-IFERROR(
SUM(
_xlfn._xlws.FILTER(Table_ChiPhiKD[Giá trị],
(NOT(ISBLANK(Table_ChiPhiKD[Tháng])))*
(Table_ChiPhiKD[Nhóm chi phí] = "Chi phí Đối ngoại") *
(Table_ChiPhiKD[Kỳ] = F$2)
)),
0)
- IFERROR(
SUMPRODUCT(
_xlfn._xlws.FILTER(Table_ChiPhiKD[Giá trị],
(ISBLANK(Table_ChiPhiKD[Tháng])) *
(Table_ChiPhiKD[Nhóm chi phí] = "Chi phí Đối ngoại") *
(Table_ChiPhiKD[Phân bổ từ] &lt; DATE(YEAR(F$2),MONTH(F$2)+1,1))*
(Table_ChiPhiKD[Phân bổ đến] &gt; F$2)
),
1/_xlfn._xlws.FILTER(
ROUND(
(Table_ChiPhiKD[Phân bổ đến]-Table_ChiPhiKD[Phân bổ từ])
/(365.25/12),
0),
(ISBLANK(Table_ChiPhiKD[Tháng])) *
(Table_ChiPhiKD[Nhóm chi phí] = "Chi phí Đối ngoại") *
(Table_ChiPhiKD[Phân bổ từ] &lt; DATE(YEAR(F$2),MONTH(F$2)+1,1))*
(Table_ChiPhiKD[Phân bổ đến] &gt; F$2)
)
),
0)</f>
        <v>0</v>
      </c>
      <c r="G24" s="328" cm="1">
        <f t="array" ref="G24" xml:space="preserve">
-IFERROR(
SUM(
_xlfn._xlws.FILTER(Table_ChiPhiKD[Giá trị],
(NOT(ISBLANK(Table_ChiPhiKD[Tháng])))*
(Table_ChiPhiKD[Nhóm chi phí] = "Chi phí Marketing") *
(Table_ChiPhiKD[Kỳ] = G$2)
)),
0)
- IFERROR(
SUMPRODUCT(
_xlfn._xlws.FILTER(Table_ChiPhiKD[Giá trị],
(ISBLANK(Table_ChiPhiKD[Tháng])) *
(Table_ChiPhiKD[Nhóm chi phí] = "Chi phí Marketing") *
(Table_ChiPhiKD[Phân bổ từ] &lt; DATE(YEAR(G$2),MONTH(G$2)+1,1))*
(Table_ChiPhiKD[Phân bổ đến] &gt; G$2)
),
1/_xlfn._xlws.FILTER(
ROUND(
(Table_ChiPhiKD[Phân bổ đến]-Table_ChiPhiKD[Phân bổ từ])
/(365.25/12),
0),
(ISBLANK(Table_ChiPhiKD[Tháng])) *
(Table_ChiPhiKD[Nhóm chi phí] = "Chi phí Marketing") *
(Table_ChiPhiKD[Phân bổ từ] &lt; DATE(YEAR(G$2),MONTH(G$2)+1,1))*
(Table_ChiPhiKD[Phân bổ đến] &gt; G$2)
)
),
0)
-IFERROR(
SUM(
_xlfn._xlws.FILTER(Table_ChiPhiKD[Giá trị],
(NOT(ISBLANK(Table_ChiPhiKD[Tháng])))*
(Table_ChiPhiKD[Nhóm chi phí] = "Chi phí Đối ngoại") *
(Table_ChiPhiKD[Kỳ] = G$2)
)),
0)
- IFERROR(
SUMPRODUCT(
_xlfn._xlws.FILTER(Table_ChiPhiKD[Giá trị],
(ISBLANK(Table_ChiPhiKD[Tháng])) *
(Table_ChiPhiKD[Nhóm chi phí] = "Chi phí Đối ngoại") *
(Table_ChiPhiKD[Phân bổ từ] &lt; DATE(YEAR(G$2),MONTH(G$2)+1,1))*
(Table_ChiPhiKD[Phân bổ đến] &gt; G$2)
),
1/_xlfn._xlws.FILTER(
ROUND(
(Table_ChiPhiKD[Phân bổ đến]-Table_ChiPhiKD[Phân bổ từ])
/(365.25/12),
0),
(ISBLANK(Table_ChiPhiKD[Tháng])) *
(Table_ChiPhiKD[Nhóm chi phí] = "Chi phí Đối ngoại") *
(Table_ChiPhiKD[Phân bổ từ] &lt; DATE(YEAR(G$2),MONTH(G$2)+1,1))*
(Table_ChiPhiKD[Phân bổ đến] &gt; G$2)
)
),
0)</f>
        <v>0</v>
      </c>
      <c r="H24" s="328" cm="1">
        <f t="array" ref="H24" xml:space="preserve">
-IFERROR(
SUM(
_xlfn._xlws.FILTER(Table_ChiPhiKD[Giá trị],
(NOT(ISBLANK(Table_ChiPhiKD[Tháng])))*
(Table_ChiPhiKD[Nhóm chi phí] = "Chi phí Marketing") *
(Table_ChiPhiKD[Kỳ] = H$2)
)),
0)
- IFERROR(
SUMPRODUCT(
_xlfn._xlws.FILTER(Table_ChiPhiKD[Giá trị],
(ISBLANK(Table_ChiPhiKD[Tháng])) *
(Table_ChiPhiKD[Nhóm chi phí] = "Chi phí Marketing") *
(Table_ChiPhiKD[Phân bổ từ] &lt; DATE(YEAR(H$2),MONTH(H$2)+1,1))*
(Table_ChiPhiKD[Phân bổ đến] &gt; H$2)
),
1/_xlfn._xlws.FILTER(
ROUND(
(Table_ChiPhiKD[Phân bổ đến]-Table_ChiPhiKD[Phân bổ từ])
/(365.25/12),
0),
(ISBLANK(Table_ChiPhiKD[Tháng])) *
(Table_ChiPhiKD[Nhóm chi phí] = "Chi phí Marketing") *
(Table_ChiPhiKD[Phân bổ từ] &lt; DATE(YEAR(H$2),MONTH(H$2)+1,1))*
(Table_ChiPhiKD[Phân bổ đến] &gt; H$2)
)
),
0)
-IFERROR(
SUM(
_xlfn._xlws.FILTER(Table_ChiPhiKD[Giá trị],
(NOT(ISBLANK(Table_ChiPhiKD[Tháng])))*
(Table_ChiPhiKD[Nhóm chi phí] = "Chi phí Đối ngoại") *
(Table_ChiPhiKD[Kỳ] = H$2)
)),
0)
- IFERROR(
SUMPRODUCT(
_xlfn._xlws.FILTER(Table_ChiPhiKD[Giá trị],
(ISBLANK(Table_ChiPhiKD[Tháng])) *
(Table_ChiPhiKD[Nhóm chi phí] = "Chi phí Đối ngoại") *
(Table_ChiPhiKD[Phân bổ từ] &lt; DATE(YEAR(H$2),MONTH(H$2)+1,1))*
(Table_ChiPhiKD[Phân bổ đến] &gt; H$2)
),
1/_xlfn._xlws.FILTER(
ROUND(
(Table_ChiPhiKD[Phân bổ đến]-Table_ChiPhiKD[Phân bổ từ])
/(365.25/12),
0),
(ISBLANK(Table_ChiPhiKD[Tháng])) *
(Table_ChiPhiKD[Nhóm chi phí] = "Chi phí Đối ngoại") *
(Table_ChiPhiKD[Phân bổ từ] &lt; DATE(YEAR(H$2),MONTH(H$2)+1,1))*
(Table_ChiPhiKD[Phân bổ đến] &gt; H$2)
)
),
0)</f>
        <v>0</v>
      </c>
      <c r="I24" s="328" cm="1">
        <f t="array" ref="I24" xml:space="preserve">
-IFERROR(
SUM(
_xlfn._xlws.FILTER(Table_ChiPhiKD[Giá trị],
(NOT(ISBLANK(Table_ChiPhiKD[Tháng])))*
(Table_ChiPhiKD[Nhóm chi phí] = "Chi phí Marketing") *
(Table_ChiPhiKD[Kỳ] = I$2)
)),
0)
- IFERROR(
SUMPRODUCT(
_xlfn._xlws.FILTER(Table_ChiPhiKD[Giá trị],
(ISBLANK(Table_ChiPhiKD[Tháng])) *
(Table_ChiPhiKD[Nhóm chi phí] = "Chi phí Marketing") *
(Table_ChiPhiKD[Phân bổ từ] &lt; DATE(YEAR(I$2),MONTH(I$2)+1,1))*
(Table_ChiPhiKD[Phân bổ đến] &gt; I$2)
),
1/_xlfn._xlws.FILTER(
ROUND(
(Table_ChiPhiKD[Phân bổ đến]-Table_ChiPhiKD[Phân bổ từ])
/(365.25/12),
0),
(ISBLANK(Table_ChiPhiKD[Tháng])) *
(Table_ChiPhiKD[Nhóm chi phí] = "Chi phí Marketing") *
(Table_ChiPhiKD[Phân bổ từ] &lt; DATE(YEAR(I$2),MONTH(I$2)+1,1))*
(Table_ChiPhiKD[Phân bổ đến] &gt; I$2)
)
),
0)
-IFERROR(
SUM(
_xlfn._xlws.FILTER(Table_ChiPhiKD[Giá trị],
(NOT(ISBLANK(Table_ChiPhiKD[Tháng])))*
(Table_ChiPhiKD[Nhóm chi phí] = "Chi phí Đối ngoại") *
(Table_ChiPhiKD[Kỳ] = I$2)
)),
0)
- IFERROR(
SUMPRODUCT(
_xlfn._xlws.FILTER(Table_ChiPhiKD[Giá trị],
(ISBLANK(Table_ChiPhiKD[Tháng])) *
(Table_ChiPhiKD[Nhóm chi phí] = "Chi phí Đối ngoại") *
(Table_ChiPhiKD[Phân bổ từ] &lt; DATE(YEAR(I$2),MONTH(I$2)+1,1))*
(Table_ChiPhiKD[Phân bổ đến] &gt; I$2)
),
1/_xlfn._xlws.FILTER(
ROUND(
(Table_ChiPhiKD[Phân bổ đến]-Table_ChiPhiKD[Phân bổ từ])
/(365.25/12),
0),
(ISBLANK(Table_ChiPhiKD[Tháng])) *
(Table_ChiPhiKD[Nhóm chi phí] = "Chi phí Đối ngoại") *
(Table_ChiPhiKD[Phân bổ từ] &lt; DATE(YEAR(I$2),MONTH(I$2)+1,1))*
(Table_ChiPhiKD[Phân bổ đến] &gt; I$2)
)
),
0)</f>
        <v>0</v>
      </c>
      <c r="J24" s="328" cm="1">
        <f t="array" ref="J24" xml:space="preserve">
-IFERROR(
SUM(
_xlfn._xlws.FILTER(Table_ChiPhiKD[Giá trị],
(NOT(ISBLANK(Table_ChiPhiKD[Tháng])))*
(Table_ChiPhiKD[Nhóm chi phí] = "Chi phí Marketing") *
(Table_ChiPhiKD[Kỳ] = J$2)
)),
0)
- IFERROR(
SUMPRODUCT(
_xlfn._xlws.FILTER(Table_ChiPhiKD[Giá trị],
(ISBLANK(Table_ChiPhiKD[Tháng])) *
(Table_ChiPhiKD[Nhóm chi phí] = "Chi phí Marketing") *
(Table_ChiPhiKD[Phân bổ từ] &lt; DATE(YEAR(J$2),MONTH(J$2)+1,1))*
(Table_ChiPhiKD[Phân bổ đến] &gt; J$2)
),
1/_xlfn._xlws.FILTER(
ROUND(
(Table_ChiPhiKD[Phân bổ đến]-Table_ChiPhiKD[Phân bổ từ])
/(365.25/12),
0),
(ISBLANK(Table_ChiPhiKD[Tháng])) *
(Table_ChiPhiKD[Nhóm chi phí] = "Chi phí Marketing") *
(Table_ChiPhiKD[Phân bổ từ] &lt; DATE(YEAR(J$2),MONTH(J$2)+1,1))*
(Table_ChiPhiKD[Phân bổ đến] &gt; J$2)
)
),
0)
-IFERROR(
SUM(
_xlfn._xlws.FILTER(Table_ChiPhiKD[Giá trị],
(NOT(ISBLANK(Table_ChiPhiKD[Tháng])))*
(Table_ChiPhiKD[Nhóm chi phí] = "Chi phí Đối ngoại") *
(Table_ChiPhiKD[Kỳ] = J$2)
)),
0)
- IFERROR(
SUMPRODUCT(
_xlfn._xlws.FILTER(Table_ChiPhiKD[Giá trị],
(ISBLANK(Table_ChiPhiKD[Tháng])) *
(Table_ChiPhiKD[Nhóm chi phí] = "Chi phí Đối ngoại") *
(Table_ChiPhiKD[Phân bổ từ] &lt; DATE(YEAR(J$2),MONTH(J$2)+1,1))*
(Table_ChiPhiKD[Phân bổ đến] &gt; J$2)
),
1/_xlfn._xlws.FILTER(
ROUND(
(Table_ChiPhiKD[Phân bổ đến]-Table_ChiPhiKD[Phân bổ từ])
/(365.25/12),
0),
(ISBLANK(Table_ChiPhiKD[Tháng])) *
(Table_ChiPhiKD[Nhóm chi phí] = "Chi phí Đối ngoại") *
(Table_ChiPhiKD[Phân bổ từ] &lt; DATE(YEAR(J$2),MONTH(J$2)+1,1))*
(Table_ChiPhiKD[Phân bổ đến] &gt; J$2)
)
),
0)</f>
        <v>0</v>
      </c>
      <c r="K24" s="328" cm="1">
        <f t="array" ref="K24" xml:space="preserve">
-IFERROR(
SUM(
_xlfn._xlws.FILTER(Table_ChiPhiKD[Giá trị],
(NOT(ISBLANK(Table_ChiPhiKD[Tháng])))*
(Table_ChiPhiKD[Nhóm chi phí] = "Chi phí Marketing") *
(Table_ChiPhiKD[Kỳ] = K$2)
)),
0)
- IFERROR(
SUMPRODUCT(
_xlfn._xlws.FILTER(Table_ChiPhiKD[Giá trị],
(ISBLANK(Table_ChiPhiKD[Tháng])) *
(Table_ChiPhiKD[Nhóm chi phí] = "Chi phí Marketing") *
(Table_ChiPhiKD[Phân bổ từ] &lt; DATE(YEAR(K$2),MONTH(K$2)+1,1))*
(Table_ChiPhiKD[Phân bổ đến] &gt; K$2)
),
1/_xlfn._xlws.FILTER(
ROUND(
(Table_ChiPhiKD[Phân bổ đến]-Table_ChiPhiKD[Phân bổ từ])
/(365.25/12),
0),
(ISBLANK(Table_ChiPhiKD[Tháng])) *
(Table_ChiPhiKD[Nhóm chi phí] = "Chi phí Marketing") *
(Table_ChiPhiKD[Phân bổ từ] &lt; DATE(YEAR(K$2),MONTH(K$2)+1,1))*
(Table_ChiPhiKD[Phân bổ đến] &gt; K$2)
)
),
0)
-IFERROR(
SUM(
_xlfn._xlws.FILTER(Table_ChiPhiKD[Giá trị],
(NOT(ISBLANK(Table_ChiPhiKD[Tháng])))*
(Table_ChiPhiKD[Nhóm chi phí] = "Chi phí Đối ngoại") *
(Table_ChiPhiKD[Kỳ] = K$2)
)),
0)
- IFERROR(
SUMPRODUCT(
_xlfn._xlws.FILTER(Table_ChiPhiKD[Giá trị],
(ISBLANK(Table_ChiPhiKD[Tháng])) *
(Table_ChiPhiKD[Nhóm chi phí] = "Chi phí Đối ngoại") *
(Table_ChiPhiKD[Phân bổ từ] &lt; DATE(YEAR(K$2),MONTH(K$2)+1,1))*
(Table_ChiPhiKD[Phân bổ đến] &gt; K$2)
),
1/_xlfn._xlws.FILTER(
ROUND(
(Table_ChiPhiKD[Phân bổ đến]-Table_ChiPhiKD[Phân bổ từ])
/(365.25/12),
0),
(ISBLANK(Table_ChiPhiKD[Tháng])) *
(Table_ChiPhiKD[Nhóm chi phí] = "Chi phí Đối ngoại") *
(Table_ChiPhiKD[Phân bổ từ] &lt; DATE(YEAR(K$2),MONTH(K$2)+1,1))*
(Table_ChiPhiKD[Phân bổ đến] &gt; K$2)
)
),
0)</f>
        <v>0</v>
      </c>
      <c r="L24" s="328" cm="1">
        <f t="array" ref="L24" xml:space="preserve">
-IFERROR(
SUM(
_xlfn._xlws.FILTER(Table_ChiPhiKD[Giá trị],
(NOT(ISBLANK(Table_ChiPhiKD[Tháng])))*
(Table_ChiPhiKD[Nhóm chi phí] = "Chi phí Marketing") *
(Table_ChiPhiKD[Kỳ] = L$2)
)),
0)
- IFERROR(
SUMPRODUCT(
_xlfn._xlws.FILTER(Table_ChiPhiKD[Giá trị],
(ISBLANK(Table_ChiPhiKD[Tháng])) *
(Table_ChiPhiKD[Nhóm chi phí] = "Chi phí Marketing") *
(Table_ChiPhiKD[Phân bổ từ] &lt; DATE(YEAR(L$2),MONTH(L$2)+1,1))*
(Table_ChiPhiKD[Phân bổ đến] &gt; L$2)
),
1/_xlfn._xlws.FILTER(
ROUND(
(Table_ChiPhiKD[Phân bổ đến]-Table_ChiPhiKD[Phân bổ từ])
/(365.25/12),
0),
(ISBLANK(Table_ChiPhiKD[Tháng])) *
(Table_ChiPhiKD[Nhóm chi phí] = "Chi phí Marketing") *
(Table_ChiPhiKD[Phân bổ từ] &lt; DATE(YEAR(L$2),MONTH(L$2)+1,1))*
(Table_ChiPhiKD[Phân bổ đến] &gt; L$2)
)
),
0)
-IFERROR(
SUM(
_xlfn._xlws.FILTER(Table_ChiPhiKD[Giá trị],
(NOT(ISBLANK(Table_ChiPhiKD[Tháng])))*
(Table_ChiPhiKD[Nhóm chi phí] = "Chi phí Đối ngoại") *
(Table_ChiPhiKD[Kỳ] = L$2)
)),
0)
- IFERROR(
SUMPRODUCT(
_xlfn._xlws.FILTER(Table_ChiPhiKD[Giá trị],
(ISBLANK(Table_ChiPhiKD[Tháng])) *
(Table_ChiPhiKD[Nhóm chi phí] = "Chi phí Đối ngoại") *
(Table_ChiPhiKD[Phân bổ từ] &lt; DATE(YEAR(L$2),MONTH(L$2)+1,1))*
(Table_ChiPhiKD[Phân bổ đến] &gt; L$2)
),
1/_xlfn._xlws.FILTER(
ROUND(
(Table_ChiPhiKD[Phân bổ đến]-Table_ChiPhiKD[Phân bổ từ])
/(365.25/12),
0),
(ISBLANK(Table_ChiPhiKD[Tháng])) *
(Table_ChiPhiKD[Nhóm chi phí] = "Chi phí Đối ngoại") *
(Table_ChiPhiKD[Phân bổ từ] &lt; DATE(YEAR(L$2),MONTH(L$2)+1,1))*
(Table_ChiPhiKD[Phân bổ đến] &gt; L$2)
)
),
0)</f>
        <v>0</v>
      </c>
      <c r="M24" s="328" cm="1">
        <f t="array" ref="M24" xml:space="preserve">
-IFERROR(
SUM(
_xlfn._xlws.FILTER(Table_ChiPhiKD[Giá trị],
(NOT(ISBLANK(Table_ChiPhiKD[Tháng])))*
(Table_ChiPhiKD[Nhóm chi phí] = "Chi phí Marketing") *
(Table_ChiPhiKD[Kỳ] = M$2)
)),
0)
- IFERROR(
SUMPRODUCT(
_xlfn._xlws.FILTER(Table_ChiPhiKD[Giá trị],
(ISBLANK(Table_ChiPhiKD[Tháng])) *
(Table_ChiPhiKD[Nhóm chi phí] = "Chi phí Marketing") *
(Table_ChiPhiKD[Phân bổ từ] &lt; DATE(YEAR(M$2),MONTH(M$2)+1,1))*
(Table_ChiPhiKD[Phân bổ đến] &gt; M$2)
),
1/_xlfn._xlws.FILTER(
ROUND(
(Table_ChiPhiKD[Phân bổ đến]-Table_ChiPhiKD[Phân bổ từ])
/(365.25/12),
0),
(ISBLANK(Table_ChiPhiKD[Tháng])) *
(Table_ChiPhiKD[Nhóm chi phí] = "Chi phí Marketing") *
(Table_ChiPhiKD[Phân bổ từ] &lt; DATE(YEAR(M$2),MONTH(M$2)+1,1))*
(Table_ChiPhiKD[Phân bổ đến] &gt; M$2)
)
),
0)
-IFERROR(
SUM(
_xlfn._xlws.FILTER(Table_ChiPhiKD[Giá trị],
(NOT(ISBLANK(Table_ChiPhiKD[Tháng])))*
(Table_ChiPhiKD[Nhóm chi phí] = "Chi phí Đối ngoại") *
(Table_ChiPhiKD[Kỳ] = M$2)
)),
0)
- IFERROR(
SUMPRODUCT(
_xlfn._xlws.FILTER(Table_ChiPhiKD[Giá trị],
(ISBLANK(Table_ChiPhiKD[Tháng])) *
(Table_ChiPhiKD[Nhóm chi phí] = "Chi phí Đối ngoại") *
(Table_ChiPhiKD[Phân bổ từ] &lt; DATE(YEAR(M$2),MONTH(M$2)+1,1))*
(Table_ChiPhiKD[Phân bổ đến] &gt; M$2)
),
1/_xlfn._xlws.FILTER(
ROUND(
(Table_ChiPhiKD[Phân bổ đến]-Table_ChiPhiKD[Phân bổ từ])
/(365.25/12),
0),
(ISBLANK(Table_ChiPhiKD[Tháng])) *
(Table_ChiPhiKD[Nhóm chi phí] = "Chi phí Đối ngoại") *
(Table_ChiPhiKD[Phân bổ từ] &lt; DATE(YEAR(M$2),MONTH(M$2)+1,1))*
(Table_ChiPhiKD[Phân bổ đến] &gt; M$2)
)
),
0)</f>
        <v>0</v>
      </c>
      <c r="N24" s="328" cm="1">
        <f t="array" ref="N24" xml:space="preserve">
-IFERROR(
SUM(
_xlfn._xlws.FILTER(Table_ChiPhiKD[Giá trị],
(NOT(ISBLANK(Table_ChiPhiKD[Tháng])))*
(Table_ChiPhiKD[Nhóm chi phí] = "Chi phí Marketing") *
(Table_ChiPhiKD[Kỳ] = N$2)
)),
0)
- IFERROR(
SUMPRODUCT(
_xlfn._xlws.FILTER(Table_ChiPhiKD[Giá trị],
(ISBLANK(Table_ChiPhiKD[Tháng])) *
(Table_ChiPhiKD[Nhóm chi phí] = "Chi phí Marketing") *
(Table_ChiPhiKD[Phân bổ từ] &lt; DATE(YEAR(N$2),MONTH(N$2)+1,1))*
(Table_ChiPhiKD[Phân bổ đến] &gt; N$2)
),
1/_xlfn._xlws.FILTER(
ROUND(
(Table_ChiPhiKD[Phân bổ đến]-Table_ChiPhiKD[Phân bổ từ])
/(365.25/12),
0),
(ISBLANK(Table_ChiPhiKD[Tháng])) *
(Table_ChiPhiKD[Nhóm chi phí] = "Chi phí Marketing") *
(Table_ChiPhiKD[Phân bổ từ] &lt; DATE(YEAR(N$2),MONTH(N$2)+1,1))*
(Table_ChiPhiKD[Phân bổ đến] &gt; N$2)
)
),
0)
-IFERROR(
SUM(
_xlfn._xlws.FILTER(Table_ChiPhiKD[Giá trị],
(NOT(ISBLANK(Table_ChiPhiKD[Tháng])))*
(Table_ChiPhiKD[Nhóm chi phí] = "Chi phí Đối ngoại") *
(Table_ChiPhiKD[Kỳ] = N$2)
)),
0)
- IFERROR(
SUMPRODUCT(
_xlfn._xlws.FILTER(Table_ChiPhiKD[Giá trị],
(ISBLANK(Table_ChiPhiKD[Tháng])) *
(Table_ChiPhiKD[Nhóm chi phí] = "Chi phí Đối ngoại") *
(Table_ChiPhiKD[Phân bổ từ] &lt; DATE(YEAR(N$2),MONTH(N$2)+1,1))*
(Table_ChiPhiKD[Phân bổ đến] &gt; N$2)
),
1/_xlfn._xlws.FILTER(
ROUND(
(Table_ChiPhiKD[Phân bổ đến]-Table_ChiPhiKD[Phân bổ từ])
/(365.25/12),
0),
(ISBLANK(Table_ChiPhiKD[Tháng])) *
(Table_ChiPhiKD[Nhóm chi phí] = "Chi phí Đối ngoại") *
(Table_ChiPhiKD[Phân bổ từ] &lt; DATE(YEAR(N$2),MONTH(N$2)+1,1))*
(Table_ChiPhiKD[Phân bổ đến] &gt; N$2)
)
),
0)</f>
        <v>0</v>
      </c>
      <c r="O24" s="328" cm="1">
        <f t="array" ref="O24" xml:space="preserve">
-IFERROR(
SUM(
_xlfn._xlws.FILTER(Table_ChiPhiKD[Giá trị],
(NOT(ISBLANK(Table_ChiPhiKD[Tháng])))*
(Table_ChiPhiKD[Nhóm chi phí] = "Chi phí Marketing") *
(Table_ChiPhiKD[Kỳ] = O$2)
)),
0)
- IFERROR(
SUMPRODUCT(
_xlfn._xlws.FILTER(Table_ChiPhiKD[Giá trị],
(ISBLANK(Table_ChiPhiKD[Tháng])) *
(Table_ChiPhiKD[Nhóm chi phí] = "Chi phí Marketing") *
(Table_ChiPhiKD[Phân bổ từ] &lt; DATE(YEAR(O$2),MONTH(O$2)+1,1))*
(Table_ChiPhiKD[Phân bổ đến] &gt; O$2)
),
1/_xlfn._xlws.FILTER(
ROUND(
(Table_ChiPhiKD[Phân bổ đến]-Table_ChiPhiKD[Phân bổ từ])
/(365.25/12),
0),
(ISBLANK(Table_ChiPhiKD[Tháng])) *
(Table_ChiPhiKD[Nhóm chi phí] = "Chi phí Marketing") *
(Table_ChiPhiKD[Phân bổ từ] &lt; DATE(YEAR(O$2),MONTH(O$2)+1,1))*
(Table_ChiPhiKD[Phân bổ đến] &gt; O$2)
)
),
0)
-IFERROR(
SUM(
_xlfn._xlws.FILTER(Table_ChiPhiKD[Giá trị],
(NOT(ISBLANK(Table_ChiPhiKD[Tháng])))*
(Table_ChiPhiKD[Nhóm chi phí] = "Chi phí Đối ngoại") *
(Table_ChiPhiKD[Kỳ] = O$2)
)),
0)
- IFERROR(
SUMPRODUCT(
_xlfn._xlws.FILTER(Table_ChiPhiKD[Giá trị],
(ISBLANK(Table_ChiPhiKD[Tháng])) *
(Table_ChiPhiKD[Nhóm chi phí] = "Chi phí Đối ngoại") *
(Table_ChiPhiKD[Phân bổ từ] &lt; DATE(YEAR(O$2),MONTH(O$2)+1,1))*
(Table_ChiPhiKD[Phân bổ đến] &gt; O$2)
),
1/_xlfn._xlws.FILTER(
ROUND(
(Table_ChiPhiKD[Phân bổ đến]-Table_ChiPhiKD[Phân bổ từ])
/(365.25/12),
0),
(ISBLANK(Table_ChiPhiKD[Tháng])) *
(Table_ChiPhiKD[Nhóm chi phí] = "Chi phí Đối ngoại") *
(Table_ChiPhiKD[Phân bổ từ] &lt; DATE(YEAR(O$2),MONTH(O$2)+1,1))*
(Table_ChiPhiKD[Phân bổ đến] &gt; O$2)
)
),
0)</f>
        <v>0</v>
      </c>
      <c r="P24" s="323"/>
      <c r="Q24" s="240"/>
      <c r="R24" s="73" t="s">
        <v>294</v>
      </c>
      <c r="S24" s="328" cm="1">
        <f t="array" ref="S24" xml:space="preserve">
-IFERROR(
SUM(
_xlfn._xlws.FILTER(Table_ChiPhiKD[Giá trị],
(NOT(ISBLANK(Table_ChiPhiKD[Tháng])))*
(Table_ChiPhiKD[Nhóm chi phí] = "Chi phí Marketing") *
(Table_ChiPhiKD[Năm] = S$1)
)),
0)
- IFERROR(
SUMPRODUCT(
_xlfn._xlws.FILTER(Table_ChiPhiKD[Giá trị],
(ISBLANK(Table_ChiPhiKD[Tháng])) *
(Table_ChiPhiKD[Nhóm chi phí] = "Chi phí Marketing")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Marketing") *
(Table_ChiPhiKD[Phân bổ từ] &lt; DATE(S$1+1,1,1))*
(Table_ChiPhiKD[Phân bổ đến] &gt; DATE(S$1,1,1))
),
1/_xlfn._xlws.FILTER(
ROUND(
(Table_ChiPhiKD[Phân bổ đến]-Table_ChiPhiKD[Phân bổ từ])
/(365.25/12),
0),
(ISBLANK(Table_ChiPhiKD[Tháng])) *
(Table_ChiPhiKD[Nhóm chi phí] = "Chi phí Marketing") *
(Table_ChiPhiKD[Phân bổ từ] &lt; DATE(S$1+1,1,1))*
(Table_ChiPhiKD[Phân bổ đến] &gt; DATE(S$1,1,1))
)
),
0)
-IFERROR(
SUM(
_xlfn._xlws.FILTER(Table_ChiPhiKD[Giá trị],
(NOT(ISBLANK(Table_ChiPhiKD[Tháng])))*
(Table_ChiPhiKD[Nhóm chi phí] = "Chi phí Đối ngoại") *
(Table_ChiPhiKD[Năm] = S$1)
)),
0)
- IFERROR(
SUMPRODUCT(
_xlfn._xlws.FILTER(Table_ChiPhiKD[Giá trị],
(ISBLANK(Table_ChiPhiKD[Tháng])) *
(Table_ChiPhiKD[Nhóm chi phí] = "Chi phí Đối ngoại")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Đối ngoại") *
(Table_ChiPhiKD[Phân bổ từ] &lt; DATE(S$1+1,1,1))*
(Table_ChiPhiKD[Phân bổ đến] &gt; DATE(S$1,1,1))
),
1/_xlfn._xlws.FILTER(
ROUND(
(Table_ChiPhiKD[Phân bổ đến]-Table_ChiPhiKD[Phân bổ từ])
/(365.25/12),
0),
(ISBLANK(Table_ChiPhiKD[Tháng])) *
(Table_ChiPhiKD[Nhóm chi phí] = "Chi phí Đối ngoại") *
(Table_ChiPhiKD[Phân bổ từ] &lt; DATE(S$1+1,1,1))*
(Table_ChiPhiKD[Phân bổ đến] &gt; DATE(S$1,1,1))
)
),
0)</f>
        <v>0</v>
      </c>
      <c r="T24" s="240"/>
      <c r="U24" s="73" t="s">
        <v>294</v>
      </c>
      <c r="V24" s="328" cm="1">
        <f t="array" ref="V24" xml:space="preserve">
-IFERROR(
SUM(
_xlfn._xlws.FILTER(Table_ChiPhiKD[Giá trị],
(NOT(ISBLANK(Table_ChiPhiKD[Tháng])))*
(Table_ChiPhiKD[Nhóm chi phí] = "Chi phí Marketing") *
(Table_ChiPhiKD[Kỳ] = V$1)
)),
0)
- IFERROR(
SUMPRODUCT(
_xlfn._xlws.FILTER(Table_ChiPhiKD[Giá trị],
(ISBLANK(Table_ChiPhiKD[Tháng])) *
(Table_ChiPhiKD[Nhóm chi phí] = "Chi phí Marketing") *
(Table_ChiPhiKD[Phân bổ từ] &lt; DATE(YEAR(V$1),MONTH(V$1)+1,1))*
(Table_ChiPhiKD[Phân bổ đến] &gt; V$1)
),
1/_xlfn._xlws.FILTER(
ROUND(
(Table_ChiPhiKD[Phân bổ đến]-Table_ChiPhiKD[Phân bổ từ])
/(365.25/12),
0),
(ISBLANK(Table_ChiPhiKD[Tháng])) *
(Table_ChiPhiKD[Nhóm chi phí] = "Chi phí Marketing") *
(Table_ChiPhiKD[Phân bổ từ] &lt; DATE(YEAR(V$1),MONTH(V$1)+1,1))*
(Table_ChiPhiKD[Phân bổ đến] &gt; V$1)
)
),
0)
-IFERROR(
SUM(
_xlfn._xlws.FILTER(Table_ChiPhiKD[Giá trị],
(NOT(ISBLANK(Table_ChiPhiKD[Tháng])))*
(Table_ChiPhiKD[Nhóm chi phí] = "Chi phí Đối ngoại") *
(Table_ChiPhiKD[Kỳ] = V$1)
)),
0)
- IFERROR(
SUMPRODUCT(
_xlfn._xlws.FILTER(Table_ChiPhiKD[Giá trị],
(ISBLANK(Table_ChiPhiKD[Tháng])) *
(Table_ChiPhiKD[Nhóm chi phí] = "Chi phí Đối ngoại") *
(Table_ChiPhiKD[Phân bổ từ] &lt; DATE(YEAR(V$1),MONTH(V$1)+1,1))*
(Table_ChiPhiKD[Phân bổ đến] &gt; V$1)
),
1/_xlfn._xlws.FILTER(
ROUND(
(Table_ChiPhiKD[Phân bổ đến]-Table_ChiPhiKD[Phân bổ từ])
/(365.25/12),
0),
(ISBLANK(Table_ChiPhiKD[Tháng])) *
(Table_ChiPhiKD[Nhóm chi phí] = "Chi phí Đối ngoại") *
(Table_ChiPhiKD[Phân bổ từ] &lt; DATE(YEAR(V$1),MONTH(V$1)+1,1))*
(Table_ChiPhiKD[Phân bổ đến] &gt; V$1)
)
),
0)</f>
        <v>0</v>
      </c>
    </row>
    <row r="25" spans="2:22" ht="18" customHeight="1" outlineLevel="2" x14ac:dyDescent="0.3">
      <c r="B25" s="73" t="s">
        <v>295</v>
      </c>
      <c r="C25" s="328" cm="1">
        <f t="array" ref="C25">-IFERROR(
SUM(_xlfn._xlws.FILTER(Table_DonMua[Phụ phí]-Table_DonMua[Khuyến mãi],
(YEAR(Table_DonMua[Ngày lập]) = C$2)
)),0)
-IFERROR(
SUM(
_xlfn._xlws.FILTER(Table_ChiPhiKD[Giá trị],
(NOT(ISBLANK(Table_ChiPhiKD[Tháng])))*
(Table_ChiPhiKD[Nhóm chi phí] = "Chi phí Dịch vụ sản xuất") *
(Table_ChiPhiKD[Năm] = C$2)
)),
0)
- IFERROR(
SUMPRODUCT(
_xlfn._xlws.FILTER(Table_ChiPhiKD[Giá trị],
(ISBLANK(Table_ChiPhiKD[Tháng])) *
(Table_ChiPhiKD[Nhóm chi phí] = "Chi phí Dịch vụ sản xuất")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sản xuất") *
(Table_ChiPhiKD[Phân bổ từ] &lt; DATE(C$2+1,1,1))*
(Table_ChiPhiKD[Phân bổ đến] &gt; DATE(C$2,1,1))
),
1/_xlfn._xlws.FILTER(
ROUND(
(Table_ChiPhiKD[Phân bổ đến]-Table_ChiPhiKD[Phân bổ từ])
/(365.25/12),
0),
(ISBLANK(Table_ChiPhiKD[Tháng])) *
(Table_ChiPhiKD[Nhóm chi phí] = "Chi phí Dịch vụ sản xuất") *
(Table_ChiPhiKD[Phân bổ từ] &lt; DATE(C$2+1,1,1))*
(Table_ChiPhiKD[Phân bổ đến] &gt; DATE(C$2,1,1))
)
),
0)
-IFERROR(
SUM(
_xlfn._xlws.FILTER(Table_ChiPhiKD[Giá trị],
(NOT(ISBLANK(Table_ChiPhiKD[Tháng])))*
(Table_ChiPhiKD[Nhóm chi phí] = "Chi phí Dịch vụ văn phòng") *
(Table_ChiPhiKD[Năm] = C$2)
)),
0)
- IFERROR(
SUMPRODUCT(
_xlfn._xlws.FILTER(Table_ChiPhiKD[Giá trị],
(ISBLANK(Table_ChiPhiKD[Tháng])) *
(Table_ChiPhiKD[Nhóm chi phí] = "Chi phí Dịch vụ văn phòng")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văn phòng") *
(Table_ChiPhiKD[Phân bổ từ] &lt; DATE(C$2+1,1,1))*
(Table_ChiPhiKD[Phân bổ đến] &gt; DATE(C$2,1,1))
),
1/_xlfn._xlws.FILTER(
ROUND(
(Table_ChiPhiKD[Phân bổ đến]-Table_ChiPhiKD[Phân bổ từ])
/(365.25/12),
0),
(ISBLANK(Table_ChiPhiKD[Tháng])) *
(Table_ChiPhiKD[Nhóm chi phí] = "Chi phí Dịch vụ văn phòng") *
(Table_ChiPhiKD[Phân bổ từ] &lt; DATE(C$2+1,1,1))*
(Table_ChiPhiKD[Phân bổ đến] &gt; DATE(C$2,1,1))
)
),
0)</f>
        <v>0</v>
      </c>
      <c r="D25" s="328" cm="1">
        <f t="array" ref="D25">-IFERROR(
SUM(_xlfn._xlws.FILTER(Table_DonMua[Phụ phí]-Table_DonMua[Khuyến mãi],
(Table_DonMua[Ngày lập] &gt;=D$2)*
(Table_DonMua[Ngày lập] &lt; E$2)
)),0)
-IFERROR(
SUM(
_xlfn._xlws.FILTER(Table_ChiPhiKD[Giá trị],
(NOT(ISBLANK(Table_ChiPhiKD[Tháng])))*
(Table_ChiPhiKD[Nhóm chi phí] = "Chi phí Dịch vụ sản xuất") *
(Table_ChiPhiKD[Kỳ] = D$2)
)),
0)
- IFERROR(
SUMPRODUCT(
_xlfn._xlws.FILTER(Table_ChiPhiKD[Giá trị],
(ISBLANK(Table_ChiPhiKD[Tháng])) *
(Table_ChiPhiKD[Nhóm chi phí] = "Chi phí Dịch vụ sản xuất") *
(Table_ChiPhiKD[Phân bổ từ] &lt; DATE(YEAR(D$2),MONTH(D$2)+1,1))*
(Table_ChiPhiKD[Phân bổ đến] &gt; D$2)
),
1/_xlfn._xlws.FILTER(
ROUND(
(Table_ChiPhiKD[Phân bổ đến]-Table_ChiPhiKD[Phân bổ từ])
/(365.25/12),
0),
(ISBLANK(Table_ChiPhiKD[Tháng])) *
(Table_ChiPhiKD[Nhóm chi phí] = "Chi phí Dịch vụ sản xuất") *
(Table_ChiPhiKD[Phân bổ từ] &lt; DATE(YEAR(D$2),MONTH(D$2)+1,1))*
(Table_ChiPhiKD[Phân bổ đến] &gt; D$2)
)
),
0)
-IFERROR(
SUM(
_xlfn._xlws.FILTER(Table_ChiPhiKD[Giá trị],
(NOT(ISBLANK(Table_ChiPhiKD[Tháng])))*
(Table_ChiPhiKD[Nhóm chi phí] = "Chi phí Dịch vụ văn phòng") *
(Table_ChiPhiKD[Kỳ] = D$2)
)),
0)
- IFERROR(
SUMPRODUCT(
_xlfn._xlws.FILTER(Table_ChiPhiKD[Giá trị],
(ISBLANK(Table_ChiPhiKD[Tháng])) *
(Table_ChiPhiKD[Nhóm chi phí] = "Chi phí Dịch vụ văn phòng") *
(Table_ChiPhiKD[Phân bổ từ] &lt; DATE(YEAR(D$2),MONTH(D$2)+1,1))*
(Table_ChiPhiKD[Phân bổ đến] &gt; D$2)
),
1/_xlfn._xlws.FILTER(
ROUND(
(Table_ChiPhiKD[Phân bổ đến]-Table_ChiPhiKD[Phân bổ từ])
/(365.25/12),
0),
(ISBLANK(Table_ChiPhiKD[Tháng])) *
(Table_ChiPhiKD[Nhóm chi phí] = "Chi phí Dịch vụ văn phòng") *
(Table_ChiPhiKD[Phân bổ từ] &lt; DATE(YEAR(D$2),MONTH(D$2)+1,1))*
(Table_ChiPhiKD[Phân bổ đến] &gt; D$2)
)
),
0)</f>
        <v>0</v>
      </c>
      <c r="E25" s="328" cm="1">
        <f t="array" ref="E25">-IFERROR(
SUM(_xlfn._xlws.FILTER(Table_DonMua[Phụ phí]-Table_DonMua[Khuyến mãi],
(Table_DonMua[Ngày lập] &gt;=E$2)*
(Table_DonMua[Ngày lập] &lt; F$2)
)),0)
-IFERROR(
SUM(
_xlfn._xlws.FILTER(Table_ChiPhiKD[Giá trị],
(NOT(ISBLANK(Table_ChiPhiKD[Tháng])))*
(Table_ChiPhiKD[Nhóm chi phí] = "Chi phí Dịch vụ sản xuất") *
(Table_ChiPhiKD[Kỳ] = E$2)
)),
0)
- IFERROR(
SUMPRODUCT(
_xlfn._xlws.FILTER(Table_ChiPhiKD[Giá trị],
(ISBLANK(Table_ChiPhiKD[Tháng])) *
(Table_ChiPhiKD[Nhóm chi phí] = "Chi phí Dịch vụ sản xuất") *
(Table_ChiPhiKD[Phân bổ từ] &lt; DATE(YEAR(E$2),MONTH(E$2)+1,1))*
(Table_ChiPhiKD[Phân bổ đến] &gt; E$2)
),
1/_xlfn._xlws.FILTER(
ROUND(
(Table_ChiPhiKD[Phân bổ đến]-Table_ChiPhiKD[Phân bổ từ])
/(365.25/12),
0),
(ISBLANK(Table_ChiPhiKD[Tháng])) *
(Table_ChiPhiKD[Nhóm chi phí] = "Chi phí Dịch vụ sản xuất") *
(Table_ChiPhiKD[Phân bổ từ] &lt; DATE(YEAR(E$2),MONTH(E$2)+1,1))*
(Table_ChiPhiKD[Phân bổ đến] &gt; E$2)
)
),
0)
-IFERROR(
SUM(
_xlfn._xlws.FILTER(Table_ChiPhiKD[Giá trị],
(NOT(ISBLANK(Table_ChiPhiKD[Tháng])))*
(Table_ChiPhiKD[Nhóm chi phí] = "Chi phí Dịch vụ văn phòng") *
(Table_ChiPhiKD[Kỳ] = E$2)
)),
0)
- IFERROR(
SUMPRODUCT(
_xlfn._xlws.FILTER(Table_ChiPhiKD[Giá trị],
(ISBLANK(Table_ChiPhiKD[Tháng])) *
(Table_ChiPhiKD[Nhóm chi phí] = "Chi phí Dịch vụ văn phòng") *
(Table_ChiPhiKD[Phân bổ từ] &lt; DATE(YEAR(E$2),MONTH(E$2)+1,1))*
(Table_ChiPhiKD[Phân bổ đến] &gt; E$2)
),
1/_xlfn._xlws.FILTER(
ROUND(
(Table_ChiPhiKD[Phân bổ đến]-Table_ChiPhiKD[Phân bổ từ])
/(365.25/12),
0),
(ISBLANK(Table_ChiPhiKD[Tháng])) *
(Table_ChiPhiKD[Nhóm chi phí] = "Chi phí Dịch vụ văn phòng") *
(Table_ChiPhiKD[Phân bổ từ] &lt; DATE(YEAR(E$2),MONTH(E$2)+1,1))*
(Table_ChiPhiKD[Phân bổ đến] &gt; E$2)
)
),
0)</f>
        <v>0</v>
      </c>
      <c r="F25" s="328" cm="1">
        <f t="array" ref="F25">-IFERROR(
SUM(_xlfn._xlws.FILTER(Table_DonMua[Phụ phí]-Table_DonMua[Khuyến mãi],
(Table_DonMua[Ngày lập] &gt;=F$2)*
(Table_DonMua[Ngày lập] &lt; G$2)
)),0)
-IFERROR(
SUM(
_xlfn._xlws.FILTER(Table_ChiPhiKD[Giá trị],
(NOT(ISBLANK(Table_ChiPhiKD[Tháng])))*
(Table_ChiPhiKD[Nhóm chi phí] = "Chi phí Dịch vụ sản xuất") *
(Table_ChiPhiKD[Kỳ] = F$2)
)),
0)
- IFERROR(
SUMPRODUCT(
_xlfn._xlws.FILTER(Table_ChiPhiKD[Giá trị],
(ISBLANK(Table_ChiPhiKD[Tháng])) *
(Table_ChiPhiKD[Nhóm chi phí] = "Chi phí Dịch vụ sản xuất") *
(Table_ChiPhiKD[Phân bổ từ] &lt; DATE(YEAR(F$2),MONTH(F$2)+1,1))*
(Table_ChiPhiKD[Phân bổ đến] &gt; F$2)
),
1/_xlfn._xlws.FILTER(
ROUND(
(Table_ChiPhiKD[Phân bổ đến]-Table_ChiPhiKD[Phân bổ từ])
/(365.25/12),
0),
(ISBLANK(Table_ChiPhiKD[Tháng])) *
(Table_ChiPhiKD[Nhóm chi phí] = "Chi phí Dịch vụ sản xuất") *
(Table_ChiPhiKD[Phân bổ từ] &lt; DATE(YEAR(F$2),MONTH(F$2)+1,1))*
(Table_ChiPhiKD[Phân bổ đến] &gt; F$2)
)
),
0)
-IFERROR(
SUM(
_xlfn._xlws.FILTER(Table_ChiPhiKD[Giá trị],
(NOT(ISBLANK(Table_ChiPhiKD[Tháng])))*
(Table_ChiPhiKD[Nhóm chi phí] = "Chi phí Dịch vụ văn phòng") *
(Table_ChiPhiKD[Kỳ] = F$2)
)),
0)
- IFERROR(
SUMPRODUCT(
_xlfn._xlws.FILTER(Table_ChiPhiKD[Giá trị],
(ISBLANK(Table_ChiPhiKD[Tháng])) *
(Table_ChiPhiKD[Nhóm chi phí] = "Chi phí Dịch vụ văn phòng") *
(Table_ChiPhiKD[Phân bổ từ] &lt; DATE(YEAR(F$2),MONTH(F$2)+1,1))*
(Table_ChiPhiKD[Phân bổ đến] &gt; F$2)
),
1/_xlfn._xlws.FILTER(
ROUND(
(Table_ChiPhiKD[Phân bổ đến]-Table_ChiPhiKD[Phân bổ từ])
/(365.25/12),
0),
(ISBLANK(Table_ChiPhiKD[Tháng])) *
(Table_ChiPhiKD[Nhóm chi phí] = "Chi phí Dịch vụ văn phòng") *
(Table_ChiPhiKD[Phân bổ từ] &lt; DATE(YEAR(F$2),MONTH(F$2)+1,1))*
(Table_ChiPhiKD[Phân bổ đến] &gt; F$2)
)
),
0)</f>
        <v>0</v>
      </c>
      <c r="G25" s="328" cm="1">
        <f t="array" ref="G25">-IFERROR(
SUM(_xlfn._xlws.FILTER(Table_DonMua[Phụ phí]-Table_DonMua[Khuyến mãi],
(Table_DonMua[Ngày lập] &gt;=G$2)*
(Table_DonMua[Ngày lập] &lt; H$2)
)),0)
-IFERROR(
SUM(
_xlfn._xlws.FILTER(Table_ChiPhiKD[Giá trị],
(NOT(ISBLANK(Table_ChiPhiKD[Tháng])))*
(Table_ChiPhiKD[Nhóm chi phí] = "Chi phí Dịch vụ sản xuất") *
(Table_ChiPhiKD[Kỳ] = G$2)
)),
0)
- IFERROR(
SUMPRODUCT(
_xlfn._xlws.FILTER(Table_ChiPhiKD[Giá trị],
(ISBLANK(Table_ChiPhiKD[Tháng])) *
(Table_ChiPhiKD[Nhóm chi phí] = "Chi phí Dịch vụ sản xuất") *
(Table_ChiPhiKD[Phân bổ từ] &lt; DATE(YEAR(G$2),MONTH(G$2)+1,1))*
(Table_ChiPhiKD[Phân bổ đến] &gt; G$2)
),
1/_xlfn._xlws.FILTER(
ROUND(
(Table_ChiPhiKD[Phân bổ đến]-Table_ChiPhiKD[Phân bổ từ])
/(365.25/12),
0),
(ISBLANK(Table_ChiPhiKD[Tháng])) *
(Table_ChiPhiKD[Nhóm chi phí] = "Chi phí Dịch vụ sản xuất") *
(Table_ChiPhiKD[Phân bổ từ] &lt; DATE(YEAR(G$2),MONTH(G$2)+1,1))*
(Table_ChiPhiKD[Phân bổ đến] &gt; G$2)
)
),
0)
-IFERROR(
SUM(
_xlfn._xlws.FILTER(Table_ChiPhiKD[Giá trị],
(NOT(ISBLANK(Table_ChiPhiKD[Tháng])))*
(Table_ChiPhiKD[Nhóm chi phí] = "Chi phí Dịch vụ văn phòng") *
(Table_ChiPhiKD[Kỳ] = G$2)
)),
0)
- IFERROR(
SUMPRODUCT(
_xlfn._xlws.FILTER(Table_ChiPhiKD[Giá trị],
(ISBLANK(Table_ChiPhiKD[Tháng])) *
(Table_ChiPhiKD[Nhóm chi phí] = "Chi phí Dịch vụ văn phòng") *
(Table_ChiPhiKD[Phân bổ từ] &lt; DATE(YEAR(G$2),MONTH(G$2)+1,1))*
(Table_ChiPhiKD[Phân bổ đến] &gt; G$2)
),
1/_xlfn._xlws.FILTER(
ROUND(
(Table_ChiPhiKD[Phân bổ đến]-Table_ChiPhiKD[Phân bổ từ])
/(365.25/12),
0),
(ISBLANK(Table_ChiPhiKD[Tháng])) *
(Table_ChiPhiKD[Nhóm chi phí] = "Chi phí Dịch vụ văn phòng") *
(Table_ChiPhiKD[Phân bổ từ] &lt; DATE(YEAR(G$2),MONTH(G$2)+1,1))*
(Table_ChiPhiKD[Phân bổ đến] &gt; G$2)
)
),
0)</f>
        <v>0</v>
      </c>
      <c r="H25" s="328" cm="1">
        <f t="array" ref="H25">-IFERROR(
SUM(_xlfn._xlws.FILTER(Table_DonMua[Phụ phí]-Table_DonMua[Khuyến mãi],
(Table_DonMua[Ngày lập] &gt;=H$2)*
(Table_DonMua[Ngày lập] &lt; I$2)
)),0)
-IFERROR(
SUM(
_xlfn._xlws.FILTER(Table_ChiPhiKD[Giá trị],
(NOT(ISBLANK(Table_ChiPhiKD[Tháng])))*
(Table_ChiPhiKD[Nhóm chi phí] = "Chi phí Dịch vụ sản xuất") *
(Table_ChiPhiKD[Kỳ] = H$2)
)),
0)
- IFERROR(
SUMPRODUCT(
_xlfn._xlws.FILTER(Table_ChiPhiKD[Giá trị],
(ISBLANK(Table_ChiPhiKD[Tháng])) *
(Table_ChiPhiKD[Nhóm chi phí] = "Chi phí Dịch vụ sản xuất") *
(Table_ChiPhiKD[Phân bổ từ] &lt; DATE(YEAR(H$2),MONTH(H$2)+1,1))*
(Table_ChiPhiKD[Phân bổ đến] &gt; H$2)
),
1/_xlfn._xlws.FILTER(
ROUND(
(Table_ChiPhiKD[Phân bổ đến]-Table_ChiPhiKD[Phân bổ từ])
/(365.25/12),
0),
(ISBLANK(Table_ChiPhiKD[Tháng])) *
(Table_ChiPhiKD[Nhóm chi phí] = "Chi phí Dịch vụ sản xuất") *
(Table_ChiPhiKD[Phân bổ từ] &lt; DATE(YEAR(H$2),MONTH(H$2)+1,1))*
(Table_ChiPhiKD[Phân bổ đến] &gt; H$2)
)
),
0)
-IFERROR(
SUM(
_xlfn._xlws.FILTER(Table_ChiPhiKD[Giá trị],
(NOT(ISBLANK(Table_ChiPhiKD[Tháng])))*
(Table_ChiPhiKD[Nhóm chi phí] = "Chi phí Dịch vụ văn phòng") *
(Table_ChiPhiKD[Kỳ] = H$2)
)),
0)
- IFERROR(
SUMPRODUCT(
_xlfn._xlws.FILTER(Table_ChiPhiKD[Giá trị],
(ISBLANK(Table_ChiPhiKD[Tháng])) *
(Table_ChiPhiKD[Nhóm chi phí] = "Chi phí Dịch vụ văn phòng") *
(Table_ChiPhiKD[Phân bổ từ] &lt; DATE(YEAR(H$2),MONTH(H$2)+1,1))*
(Table_ChiPhiKD[Phân bổ đến] &gt; H$2)
),
1/_xlfn._xlws.FILTER(
ROUND(
(Table_ChiPhiKD[Phân bổ đến]-Table_ChiPhiKD[Phân bổ từ])
/(365.25/12),
0),
(ISBLANK(Table_ChiPhiKD[Tháng])) *
(Table_ChiPhiKD[Nhóm chi phí] = "Chi phí Dịch vụ văn phòng") *
(Table_ChiPhiKD[Phân bổ từ] &lt; DATE(YEAR(H$2),MONTH(H$2)+1,1))*
(Table_ChiPhiKD[Phân bổ đến] &gt; H$2)
)
),
0)</f>
        <v>0</v>
      </c>
      <c r="I25" s="328" cm="1">
        <f t="array" ref="I25">-IFERROR(
SUM(_xlfn._xlws.FILTER(Table_DonMua[Phụ phí]-Table_DonMua[Khuyến mãi],
(Table_DonMua[Ngày lập] &gt;=I$2)*
(Table_DonMua[Ngày lập] &lt; J$2)
)),0)
-IFERROR(
SUM(
_xlfn._xlws.FILTER(Table_ChiPhiKD[Giá trị],
(NOT(ISBLANK(Table_ChiPhiKD[Tháng])))*
(Table_ChiPhiKD[Nhóm chi phí] = "Chi phí Dịch vụ sản xuất") *
(Table_ChiPhiKD[Kỳ] = I$2)
)),
0)
- IFERROR(
SUMPRODUCT(
_xlfn._xlws.FILTER(Table_ChiPhiKD[Giá trị],
(ISBLANK(Table_ChiPhiKD[Tháng])) *
(Table_ChiPhiKD[Nhóm chi phí] = "Chi phí Dịch vụ sản xuất") *
(Table_ChiPhiKD[Phân bổ từ] &lt; DATE(YEAR(I$2),MONTH(I$2)+1,1))*
(Table_ChiPhiKD[Phân bổ đến] &gt; I$2)
),
1/_xlfn._xlws.FILTER(
ROUND(
(Table_ChiPhiKD[Phân bổ đến]-Table_ChiPhiKD[Phân bổ từ])
/(365.25/12),
0),
(ISBLANK(Table_ChiPhiKD[Tháng])) *
(Table_ChiPhiKD[Nhóm chi phí] = "Chi phí Dịch vụ sản xuất") *
(Table_ChiPhiKD[Phân bổ từ] &lt; DATE(YEAR(I$2),MONTH(I$2)+1,1))*
(Table_ChiPhiKD[Phân bổ đến] &gt; I$2)
)
),
0)
-IFERROR(
SUM(
_xlfn._xlws.FILTER(Table_ChiPhiKD[Giá trị],
(NOT(ISBLANK(Table_ChiPhiKD[Tháng])))*
(Table_ChiPhiKD[Nhóm chi phí] = "Chi phí Dịch vụ văn phòng") *
(Table_ChiPhiKD[Kỳ] = I$2)
)),
0)
- IFERROR(
SUMPRODUCT(
_xlfn._xlws.FILTER(Table_ChiPhiKD[Giá trị],
(ISBLANK(Table_ChiPhiKD[Tháng])) *
(Table_ChiPhiKD[Nhóm chi phí] = "Chi phí Dịch vụ văn phòng") *
(Table_ChiPhiKD[Phân bổ từ] &lt; DATE(YEAR(I$2),MONTH(I$2)+1,1))*
(Table_ChiPhiKD[Phân bổ đến] &gt; I$2)
),
1/_xlfn._xlws.FILTER(
ROUND(
(Table_ChiPhiKD[Phân bổ đến]-Table_ChiPhiKD[Phân bổ từ])
/(365.25/12),
0),
(ISBLANK(Table_ChiPhiKD[Tháng])) *
(Table_ChiPhiKD[Nhóm chi phí] = "Chi phí Dịch vụ văn phòng") *
(Table_ChiPhiKD[Phân bổ từ] &lt; DATE(YEAR(I$2),MONTH(I$2)+1,1))*
(Table_ChiPhiKD[Phân bổ đến] &gt; I$2)
)
),
0)</f>
        <v>0</v>
      </c>
      <c r="J25" s="328" cm="1">
        <f t="array" ref="J25">-IFERROR(
SUM(_xlfn._xlws.FILTER(Table_DonMua[Phụ phí]-Table_DonMua[Khuyến mãi],
(Table_DonMua[Ngày lập] &gt;=J$2)*
(Table_DonMua[Ngày lập] &lt; K$2)
)),0)
-IFERROR(
SUM(
_xlfn._xlws.FILTER(Table_ChiPhiKD[Giá trị],
(NOT(ISBLANK(Table_ChiPhiKD[Tháng])))*
(Table_ChiPhiKD[Nhóm chi phí] = "Chi phí Dịch vụ sản xuất") *
(Table_ChiPhiKD[Kỳ] = J$2)
)),
0)
- IFERROR(
SUMPRODUCT(
_xlfn._xlws.FILTER(Table_ChiPhiKD[Giá trị],
(ISBLANK(Table_ChiPhiKD[Tháng])) *
(Table_ChiPhiKD[Nhóm chi phí] = "Chi phí Dịch vụ sản xuất") *
(Table_ChiPhiKD[Phân bổ từ] &lt; DATE(YEAR(J$2),MONTH(J$2)+1,1))*
(Table_ChiPhiKD[Phân bổ đến] &gt; J$2)
),
1/_xlfn._xlws.FILTER(
ROUND(
(Table_ChiPhiKD[Phân bổ đến]-Table_ChiPhiKD[Phân bổ từ])
/(365.25/12),
0),
(ISBLANK(Table_ChiPhiKD[Tháng])) *
(Table_ChiPhiKD[Nhóm chi phí] = "Chi phí Dịch vụ sản xuất") *
(Table_ChiPhiKD[Phân bổ từ] &lt; DATE(YEAR(J$2),MONTH(J$2)+1,1))*
(Table_ChiPhiKD[Phân bổ đến] &gt; J$2)
)
),
0)
-IFERROR(
SUM(
_xlfn._xlws.FILTER(Table_ChiPhiKD[Giá trị],
(NOT(ISBLANK(Table_ChiPhiKD[Tháng])))*
(Table_ChiPhiKD[Nhóm chi phí] = "Chi phí Dịch vụ văn phòng") *
(Table_ChiPhiKD[Kỳ] = J$2)
)),
0)
- IFERROR(
SUMPRODUCT(
_xlfn._xlws.FILTER(Table_ChiPhiKD[Giá trị],
(ISBLANK(Table_ChiPhiKD[Tháng])) *
(Table_ChiPhiKD[Nhóm chi phí] = "Chi phí Dịch vụ văn phòng") *
(Table_ChiPhiKD[Phân bổ từ] &lt; DATE(YEAR(J$2),MONTH(J$2)+1,1))*
(Table_ChiPhiKD[Phân bổ đến] &gt; J$2)
),
1/_xlfn._xlws.FILTER(
ROUND(
(Table_ChiPhiKD[Phân bổ đến]-Table_ChiPhiKD[Phân bổ từ])
/(365.25/12),
0),
(ISBLANK(Table_ChiPhiKD[Tháng])) *
(Table_ChiPhiKD[Nhóm chi phí] = "Chi phí Dịch vụ văn phòng") *
(Table_ChiPhiKD[Phân bổ từ] &lt; DATE(YEAR(J$2),MONTH(J$2)+1,1))*
(Table_ChiPhiKD[Phân bổ đến] &gt; J$2)
)
),
0)</f>
        <v>0</v>
      </c>
      <c r="K25" s="328" cm="1">
        <f t="array" ref="K25">-IFERROR(
SUM(_xlfn._xlws.FILTER(Table_DonMua[Phụ phí]-Table_DonMua[Khuyến mãi],
(Table_DonMua[Ngày lập] &gt;=K$2)*
(Table_DonMua[Ngày lập] &lt; L$2)
)),0)
-IFERROR(
SUM(
_xlfn._xlws.FILTER(Table_ChiPhiKD[Giá trị],
(NOT(ISBLANK(Table_ChiPhiKD[Tháng])))*
(Table_ChiPhiKD[Nhóm chi phí] = "Chi phí Dịch vụ sản xuất") *
(Table_ChiPhiKD[Kỳ] = K$2)
)),
0)
- IFERROR(
SUMPRODUCT(
_xlfn._xlws.FILTER(Table_ChiPhiKD[Giá trị],
(ISBLANK(Table_ChiPhiKD[Tháng])) *
(Table_ChiPhiKD[Nhóm chi phí] = "Chi phí Dịch vụ sản xuất") *
(Table_ChiPhiKD[Phân bổ từ] &lt; DATE(YEAR(K$2),MONTH(K$2)+1,1))*
(Table_ChiPhiKD[Phân bổ đến] &gt; K$2)
),
1/_xlfn._xlws.FILTER(
ROUND(
(Table_ChiPhiKD[Phân bổ đến]-Table_ChiPhiKD[Phân bổ từ])
/(365.25/12),
0),
(ISBLANK(Table_ChiPhiKD[Tháng])) *
(Table_ChiPhiKD[Nhóm chi phí] = "Chi phí Dịch vụ sản xuất") *
(Table_ChiPhiKD[Phân bổ từ] &lt; DATE(YEAR(K$2),MONTH(K$2)+1,1))*
(Table_ChiPhiKD[Phân bổ đến] &gt; K$2)
)
),
0)
-IFERROR(
SUM(
_xlfn._xlws.FILTER(Table_ChiPhiKD[Giá trị],
(NOT(ISBLANK(Table_ChiPhiKD[Tháng])))*
(Table_ChiPhiKD[Nhóm chi phí] = "Chi phí Dịch vụ văn phòng") *
(Table_ChiPhiKD[Kỳ] = K$2)
)),
0)
- IFERROR(
SUMPRODUCT(
_xlfn._xlws.FILTER(Table_ChiPhiKD[Giá trị],
(ISBLANK(Table_ChiPhiKD[Tháng])) *
(Table_ChiPhiKD[Nhóm chi phí] = "Chi phí Dịch vụ văn phòng") *
(Table_ChiPhiKD[Phân bổ từ] &lt; DATE(YEAR(K$2),MONTH(K$2)+1,1))*
(Table_ChiPhiKD[Phân bổ đến] &gt; K$2)
),
1/_xlfn._xlws.FILTER(
ROUND(
(Table_ChiPhiKD[Phân bổ đến]-Table_ChiPhiKD[Phân bổ từ])
/(365.25/12),
0),
(ISBLANK(Table_ChiPhiKD[Tháng])) *
(Table_ChiPhiKD[Nhóm chi phí] = "Chi phí Dịch vụ văn phòng") *
(Table_ChiPhiKD[Phân bổ từ] &lt; DATE(YEAR(K$2),MONTH(K$2)+1,1))*
(Table_ChiPhiKD[Phân bổ đến] &gt; K$2)
)
),
0)</f>
        <v>0</v>
      </c>
      <c r="L25" s="328" cm="1">
        <f t="array" ref="L25">-IFERROR(
SUM(_xlfn._xlws.FILTER(Table_DonMua[Phụ phí]-Table_DonMua[Khuyến mãi],
(Table_DonMua[Ngày lập] &gt;=L$2)*
(Table_DonMua[Ngày lập] &lt; M$2)
)),0)
-IFERROR(
SUM(
_xlfn._xlws.FILTER(Table_ChiPhiKD[Giá trị],
(NOT(ISBLANK(Table_ChiPhiKD[Tháng])))*
(Table_ChiPhiKD[Nhóm chi phí] = "Chi phí Dịch vụ sản xuất") *
(Table_ChiPhiKD[Kỳ] = L$2)
)),
0)
- IFERROR(
SUMPRODUCT(
_xlfn._xlws.FILTER(Table_ChiPhiKD[Giá trị],
(ISBLANK(Table_ChiPhiKD[Tháng])) *
(Table_ChiPhiKD[Nhóm chi phí] = "Chi phí Dịch vụ sản xuất") *
(Table_ChiPhiKD[Phân bổ từ] &lt; DATE(YEAR(L$2),MONTH(L$2)+1,1))*
(Table_ChiPhiKD[Phân bổ đến] &gt; L$2)
),
1/_xlfn._xlws.FILTER(
ROUND(
(Table_ChiPhiKD[Phân bổ đến]-Table_ChiPhiKD[Phân bổ từ])
/(365.25/12),
0),
(ISBLANK(Table_ChiPhiKD[Tháng])) *
(Table_ChiPhiKD[Nhóm chi phí] = "Chi phí Dịch vụ sản xuất") *
(Table_ChiPhiKD[Phân bổ từ] &lt; DATE(YEAR(L$2),MONTH(L$2)+1,1))*
(Table_ChiPhiKD[Phân bổ đến] &gt; L$2)
)
),
0)
-IFERROR(
SUM(
_xlfn._xlws.FILTER(Table_ChiPhiKD[Giá trị],
(NOT(ISBLANK(Table_ChiPhiKD[Tháng])))*
(Table_ChiPhiKD[Nhóm chi phí] = "Chi phí Dịch vụ văn phòng") *
(Table_ChiPhiKD[Kỳ] = L$2)
)),
0)
- IFERROR(
SUMPRODUCT(
_xlfn._xlws.FILTER(Table_ChiPhiKD[Giá trị],
(ISBLANK(Table_ChiPhiKD[Tháng])) *
(Table_ChiPhiKD[Nhóm chi phí] = "Chi phí Dịch vụ văn phòng") *
(Table_ChiPhiKD[Phân bổ từ] &lt; DATE(YEAR(L$2),MONTH(L$2)+1,1))*
(Table_ChiPhiKD[Phân bổ đến] &gt; L$2)
),
1/_xlfn._xlws.FILTER(
ROUND(
(Table_ChiPhiKD[Phân bổ đến]-Table_ChiPhiKD[Phân bổ từ])
/(365.25/12),
0),
(ISBLANK(Table_ChiPhiKD[Tháng])) *
(Table_ChiPhiKD[Nhóm chi phí] = "Chi phí Dịch vụ văn phòng") *
(Table_ChiPhiKD[Phân bổ từ] &lt; DATE(YEAR(L$2),MONTH(L$2)+1,1))*
(Table_ChiPhiKD[Phân bổ đến] &gt; L$2)
)
),
0)</f>
        <v>0</v>
      </c>
      <c r="M25" s="328" cm="1">
        <f t="array" ref="M25">-IFERROR(
SUM(_xlfn._xlws.FILTER(Table_DonMua[Phụ phí]-Table_DonMua[Khuyến mãi],
(Table_DonMua[Ngày lập] &gt;=M$2)*
(Table_DonMua[Ngày lập] &lt; N$2)
)),0)
-IFERROR(
SUM(
_xlfn._xlws.FILTER(Table_ChiPhiKD[Giá trị],
(NOT(ISBLANK(Table_ChiPhiKD[Tháng])))*
(Table_ChiPhiKD[Nhóm chi phí] = "Chi phí Dịch vụ sản xuất") *
(Table_ChiPhiKD[Kỳ] = M$2)
)),
0)
- IFERROR(
SUMPRODUCT(
_xlfn._xlws.FILTER(Table_ChiPhiKD[Giá trị],
(ISBLANK(Table_ChiPhiKD[Tháng])) *
(Table_ChiPhiKD[Nhóm chi phí] = "Chi phí Dịch vụ sản xuất") *
(Table_ChiPhiKD[Phân bổ từ] &lt; DATE(YEAR(M$2),MONTH(M$2)+1,1))*
(Table_ChiPhiKD[Phân bổ đến] &gt; M$2)
),
1/_xlfn._xlws.FILTER(
ROUND(
(Table_ChiPhiKD[Phân bổ đến]-Table_ChiPhiKD[Phân bổ từ])
/(365.25/12),
0),
(ISBLANK(Table_ChiPhiKD[Tháng])) *
(Table_ChiPhiKD[Nhóm chi phí] = "Chi phí Dịch vụ sản xuất") *
(Table_ChiPhiKD[Phân bổ từ] &lt; DATE(YEAR(M$2),MONTH(M$2)+1,1))*
(Table_ChiPhiKD[Phân bổ đến] &gt; M$2)
)
),
0)
-IFERROR(
SUM(
_xlfn._xlws.FILTER(Table_ChiPhiKD[Giá trị],
(NOT(ISBLANK(Table_ChiPhiKD[Tháng])))*
(Table_ChiPhiKD[Nhóm chi phí] = "Chi phí Dịch vụ văn phòng") *
(Table_ChiPhiKD[Kỳ] = M$2)
)),
0)
- IFERROR(
SUMPRODUCT(
_xlfn._xlws.FILTER(Table_ChiPhiKD[Giá trị],
(ISBLANK(Table_ChiPhiKD[Tháng])) *
(Table_ChiPhiKD[Nhóm chi phí] = "Chi phí Dịch vụ văn phòng") *
(Table_ChiPhiKD[Phân bổ từ] &lt; DATE(YEAR(M$2),MONTH(M$2)+1,1))*
(Table_ChiPhiKD[Phân bổ đến] &gt; M$2)
),
1/_xlfn._xlws.FILTER(
ROUND(
(Table_ChiPhiKD[Phân bổ đến]-Table_ChiPhiKD[Phân bổ từ])
/(365.25/12),
0),
(ISBLANK(Table_ChiPhiKD[Tháng])) *
(Table_ChiPhiKD[Nhóm chi phí] = "Chi phí Dịch vụ văn phòng") *
(Table_ChiPhiKD[Phân bổ từ] &lt; DATE(YEAR(M$2),MONTH(M$2)+1,1))*
(Table_ChiPhiKD[Phân bổ đến] &gt; M$2)
)
),
0)</f>
        <v>0</v>
      </c>
      <c r="N25" s="328" cm="1">
        <f t="array" ref="N25">-IFERROR(
SUM(_xlfn._xlws.FILTER(Table_DonMua[Phụ phí]-Table_DonMua[Khuyến mãi],
(Table_DonMua[Ngày lập] &gt;=N$2)*
(Table_DonMua[Ngày lập] &lt; O$2)
)),0)
-IFERROR(
SUM(
_xlfn._xlws.FILTER(Table_ChiPhiKD[Giá trị],
(NOT(ISBLANK(Table_ChiPhiKD[Tháng])))*
(Table_ChiPhiKD[Nhóm chi phí] = "Chi phí Dịch vụ sản xuất") *
(Table_ChiPhiKD[Kỳ] = N$2)
)),
0)
- IFERROR(
SUMPRODUCT(
_xlfn._xlws.FILTER(Table_ChiPhiKD[Giá trị],
(ISBLANK(Table_ChiPhiKD[Tháng])) *
(Table_ChiPhiKD[Nhóm chi phí] = "Chi phí Dịch vụ sản xuất") *
(Table_ChiPhiKD[Phân bổ từ] &lt; DATE(YEAR(N$2),MONTH(N$2)+1,1))*
(Table_ChiPhiKD[Phân bổ đến] &gt; N$2)
),
1/_xlfn._xlws.FILTER(
ROUND(
(Table_ChiPhiKD[Phân bổ đến]-Table_ChiPhiKD[Phân bổ từ])
/(365.25/12),
0),
(ISBLANK(Table_ChiPhiKD[Tháng])) *
(Table_ChiPhiKD[Nhóm chi phí] = "Chi phí Dịch vụ sản xuất") *
(Table_ChiPhiKD[Phân bổ từ] &lt; DATE(YEAR(N$2),MONTH(N$2)+1,1))*
(Table_ChiPhiKD[Phân bổ đến] &gt; N$2)
)
),
0)
-IFERROR(
SUM(
_xlfn._xlws.FILTER(Table_ChiPhiKD[Giá trị],
(NOT(ISBLANK(Table_ChiPhiKD[Tháng])))*
(Table_ChiPhiKD[Nhóm chi phí] = "Chi phí Dịch vụ văn phòng") *
(Table_ChiPhiKD[Kỳ] = N$2)
)),
0)
- IFERROR(
SUMPRODUCT(
_xlfn._xlws.FILTER(Table_ChiPhiKD[Giá trị],
(ISBLANK(Table_ChiPhiKD[Tháng])) *
(Table_ChiPhiKD[Nhóm chi phí] = "Chi phí Dịch vụ văn phòng") *
(Table_ChiPhiKD[Phân bổ từ] &lt; DATE(YEAR(N$2),MONTH(N$2)+1,1))*
(Table_ChiPhiKD[Phân bổ đến] &gt; N$2)
),
1/_xlfn._xlws.FILTER(
ROUND(
(Table_ChiPhiKD[Phân bổ đến]-Table_ChiPhiKD[Phân bổ từ])
/(365.25/12),
0),
(ISBLANK(Table_ChiPhiKD[Tháng])) *
(Table_ChiPhiKD[Nhóm chi phí] = "Chi phí Dịch vụ văn phòng") *
(Table_ChiPhiKD[Phân bổ từ] &lt; DATE(YEAR(N$2),MONTH(N$2)+1,1))*
(Table_ChiPhiKD[Phân bổ đến] &gt; N$2)
)
),
0)</f>
        <v>0</v>
      </c>
      <c r="O25" s="328" cm="1">
        <f t="array" ref="O25">-IFERROR(
SUM(_xlfn._xlws.FILTER(Table_DonMua[Phụ phí]-Table_DonMua[Khuyến mãi],
(Table_DonMua[Ngày lập] &gt;=O$2)*
(Table_DonMua[Ngày lập] &lt; P$2)
)),0)
-IFERROR(
SUM(
_xlfn._xlws.FILTER(Table_ChiPhiKD[Giá trị],
(NOT(ISBLANK(Table_ChiPhiKD[Tháng])))*
(Table_ChiPhiKD[Nhóm chi phí] = "Chi phí Dịch vụ sản xuất") *
(Table_ChiPhiKD[Kỳ] = O$2)
)),
0)
- IFERROR(
SUMPRODUCT(
_xlfn._xlws.FILTER(Table_ChiPhiKD[Giá trị],
(ISBLANK(Table_ChiPhiKD[Tháng])) *
(Table_ChiPhiKD[Nhóm chi phí] = "Chi phí Dịch vụ sản xuất") *
(Table_ChiPhiKD[Phân bổ từ] &lt; DATE(YEAR(O$2),MONTH(O$2)+1,1))*
(Table_ChiPhiKD[Phân bổ đến] &gt; O$2)
),
1/_xlfn._xlws.FILTER(
ROUND(
(Table_ChiPhiKD[Phân bổ đến]-Table_ChiPhiKD[Phân bổ từ])
/(365.25/12),
0),
(ISBLANK(Table_ChiPhiKD[Tháng])) *
(Table_ChiPhiKD[Nhóm chi phí] = "Chi phí Dịch vụ sản xuất") *
(Table_ChiPhiKD[Phân bổ từ] &lt; DATE(YEAR(O$2),MONTH(O$2)+1,1))*
(Table_ChiPhiKD[Phân bổ đến] &gt; O$2)
)
),
0)
-IFERROR(
SUM(
_xlfn._xlws.FILTER(Table_ChiPhiKD[Giá trị],
(NOT(ISBLANK(Table_ChiPhiKD[Tháng])))*
(Table_ChiPhiKD[Nhóm chi phí] = "Chi phí Dịch vụ văn phòng") *
(Table_ChiPhiKD[Kỳ] = O$2)
)),
0)
- IFERROR(
SUMPRODUCT(
_xlfn._xlws.FILTER(Table_ChiPhiKD[Giá trị],
(ISBLANK(Table_ChiPhiKD[Tháng])) *
(Table_ChiPhiKD[Nhóm chi phí] = "Chi phí Dịch vụ văn phòng") *
(Table_ChiPhiKD[Phân bổ từ] &lt; DATE(YEAR(O$2),MONTH(O$2)+1,1))*
(Table_ChiPhiKD[Phân bổ đến] &gt; O$2)
),
1/_xlfn._xlws.FILTER(
ROUND(
(Table_ChiPhiKD[Phân bổ đến]-Table_ChiPhiKD[Phân bổ từ])
/(365.25/12),
0),
(ISBLANK(Table_ChiPhiKD[Tháng])) *
(Table_ChiPhiKD[Nhóm chi phí] = "Chi phí Dịch vụ văn phòng") *
(Table_ChiPhiKD[Phân bổ từ] &lt; DATE(YEAR(O$2),MONTH(O$2)+1,1))*
(Table_ChiPhiKD[Phân bổ đến] &gt; O$2)
)
),
0)</f>
        <v>0</v>
      </c>
      <c r="P25" s="324"/>
      <c r="Q25" s="240"/>
      <c r="R25" s="73" t="s">
        <v>295</v>
      </c>
      <c r="S25" s="328" cm="1">
        <f t="array" ref="S25">-IFERROR(
SUM(_xlfn._xlws.FILTER(Table_DonMua[Phụ phí]-Table_DonMua[Khuyến mãi],
(YEAR(Table_DonMua[Ngày lập]) = S$1)
)),0)
-IFERROR(
SUM(
_xlfn._xlws.FILTER(Table_ChiPhiKD[Giá trị],
(NOT(ISBLANK(Table_ChiPhiKD[Tháng])))*
(Table_ChiPhiKD[Nhóm chi phí] = "Chi phí Dịch vụ sản xuất") *
(Table_ChiPhiKD[Năm] = S$1)
)),
0)
- IFERROR(
SUMPRODUCT(
_xlfn._xlws.FILTER(Table_ChiPhiKD[Giá trị],
(ISBLANK(Table_ChiPhiKD[Tháng])) *
(Table_ChiPhiKD[Nhóm chi phí] = "Chi phí Dịch vụ sản xuất")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sản xuất") *
(Table_ChiPhiKD[Phân bổ từ] &lt; DATE(S$1+1,1,1))*
(Table_ChiPhiKD[Phân bổ đến] &gt; DATE(S$1,1,1))
),
1/_xlfn._xlws.FILTER(
ROUND(
(Table_ChiPhiKD[Phân bổ đến]-Table_ChiPhiKD[Phân bổ từ])
/(365.25/12),
0),
(ISBLANK(Table_ChiPhiKD[Tháng])) *
(Table_ChiPhiKD[Nhóm chi phí] = "Chi phí Dịch vụ sản xuất") *
(Table_ChiPhiKD[Phân bổ từ] &lt; DATE(S$1+1,1,1))*
(Table_ChiPhiKD[Phân bổ đến] &gt; DATE(S$1,1,1))
)
),
0)
-IFERROR(
SUM(
_xlfn._xlws.FILTER(Table_ChiPhiKD[Giá trị],
(NOT(ISBLANK(Table_ChiPhiKD[Tháng])))*
(Table_ChiPhiKD[Nhóm chi phí] = "Chi phí Dịch vụ văn phòng") *
(Table_ChiPhiKD[Năm] = S$1)
)),
0)
- IFERROR(
SUMPRODUCT(
_xlfn._xlws.FILTER(Table_ChiPhiKD[Giá trị],
(ISBLANK(Table_ChiPhiKD[Tháng])) *
(Table_ChiPhiKD[Nhóm chi phí] = "Chi phí Dịch vụ văn phòng")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văn phòng") *
(Table_ChiPhiKD[Phân bổ từ] &lt; DATE(S$1+1,1,1))*
(Table_ChiPhiKD[Phân bổ đến] &gt; DATE(S$1,1,1))
),
1/_xlfn._xlws.FILTER(
ROUND(
(Table_ChiPhiKD[Phân bổ đến]-Table_ChiPhiKD[Phân bổ từ])
/(365.25/12),
0),
(ISBLANK(Table_ChiPhiKD[Tháng])) *
(Table_ChiPhiKD[Nhóm chi phí] = "Chi phí Dịch vụ văn phòng") *
(Table_ChiPhiKD[Phân bổ từ] &lt; DATE(S$1+1,1,1))*
(Table_ChiPhiKD[Phân bổ đến] &gt; DATE(S$1,1,1))
)
),
0)</f>
        <v>0</v>
      </c>
      <c r="T25" s="240"/>
      <c r="U25" s="73" t="s">
        <v>295</v>
      </c>
      <c r="V25" s="328" cm="1">
        <f t="array" ref="V25">-IFERROR(
SUM(_xlfn._xlws.FILTER(Table_DonMua[Phụ phí]-Table_DonMua[Khuyến mãi],
(Table_DonMua[Ngày lập] &gt;=V$1)*
(Table_DonMua[Ngày lập] &lt; DATE(YEAR(V$1),MONTH(V$1)+1,1))
)),0)
-IFERROR(
SUM(
_xlfn._xlws.FILTER(Table_ChiPhiKD[Giá trị],
(NOT(ISBLANK(Table_ChiPhiKD[Tháng])))*
(Table_ChiPhiKD[Nhóm chi phí] = "Chi phí Dịch vụ sản xuất") *
(Table_ChiPhiKD[Kỳ] = V$1)
)),
0)
- IFERROR(
SUMPRODUCT(
_xlfn._xlws.FILTER(Table_ChiPhiKD[Giá trị],
(ISBLANK(Table_ChiPhiKD[Tháng])) *
(Table_ChiPhiKD[Nhóm chi phí] = "Chi phí Dịch vụ sản xuất") *
(Table_ChiPhiKD[Phân bổ từ] &lt; DATE(YEAR(V$1),MONTH(V$1)+1,1))*
(Table_ChiPhiKD[Phân bổ đến] &gt; V$1)
),
1/_xlfn._xlws.FILTER(
ROUND(
(Table_ChiPhiKD[Phân bổ đến]-Table_ChiPhiKD[Phân bổ từ])
/(365.25/12),
0),
(ISBLANK(Table_ChiPhiKD[Tháng])) *
(Table_ChiPhiKD[Nhóm chi phí] = "Chi phí Dịch vụ sản xuất") *
(Table_ChiPhiKD[Phân bổ từ] &lt; DATE(YEAR(V$1),MONTH(V$1)+1,1))*
(Table_ChiPhiKD[Phân bổ đến] &gt; V$1)
)
),
0)
-IFERROR(
SUM(
_xlfn._xlws.FILTER(Table_ChiPhiKD[Giá trị],
(NOT(ISBLANK(Table_ChiPhiKD[Tháng])))*
(Table_ChiPhiKD[Nhóm chi phí] = "Chi phí Dịch vụ văn phòng") *
(Table_ChiPhiKD[Kỳ] = V$1)
)),
0)
- IFERROR(
SUMPRODUCT(
_xlfn._xlws.FILTER(Table_ChiPhiKD[Giá trị],
(ISBLANK(Table_ChiPhiKD[Tháng])) *
(Table_ChiPhiKD[Nhóm chi phí] = "Chi phí Dịch vụ văn phòng") *
(Table_ChiPhiKD[Phân bổ từ] &lt; DATE(YEAR(V$1),MONTH(V$1)+1,1))*
(Table_ChiPhiKD[Phân bổ đến] &gt; V$1)
),
1/_xlfn._xlws.FILTER(
ROUND(
(Table_ChiPhiKD[Phân bổ đến]-Table_ChiPhiKD[Phân bổ từ])
/(365.25/12),
0),
(ISBLANK(Table_ChiPhiKD[Tháng])) *
(Table_ChiPhiKD[Nhóm chi phí] = "Chi phí Dịch vụ văn phòng") *
(Table_ChiPhiKD[Phân bổ từ] &lt; DATE(YEAR(V$1),MONTH(V$1)+1,1))*
(Table_ChiPhiKD[Phân bổ đến] &gt; V$1)
)
),
0)</f>
        <v>0</v>
      </c>
    </row>
    <row r="26" spans="2:22" ht="18" customHeight="1" outlineLevel="2" x14ac:dyDescent="0.3">
      <c r="B26" s="73" t="s">
        <v>296</v>
      </c>
      <c r="C26" s="328" cm="1">
        <f t="array" ref="C26">-IFERROR(SUM(_xlfn._xlws.FILTER(Table_TSCD_KhauHao[Khấu hao],
(Table_TSCD_KhauHao[Năm] = C$2))),0)</f>
        <v>0</v>
      </c>
      <c r="D26" s="328" cm="1">
        <f t="array" ref="D26">-IFERROR(SUM(_xlfn._xlws.FILTER(Table_TSCD_KhauHao[Khấu hao],
(Table_TSCD_KhauHao[Kỳ] = D$2))),0)</f>
        <v>0</v>
      </c>
      <c r="E26" s="328" cm="1">
        <f t="array" ref="E26">-IFERROR(SUM(_xlfn._xlws.FILTER(Table_TSCD_KhauHao[Khấu hao],
(Table_TSCD_KhauHao[Kỳ] = E$2))),0)</f>
        <v>0</v>
      </c>
      <c r="F26" s="328" cm="1">
        <f t="array" ref="F26">-IFERROR(SUM(_xlfn._xlws.FILTER(Table_TSCD_KhauHao[Khấu hao],
(Table_TSCD_KhauHao[Kỳ] = F$2))),0)</f>
        <v>0</v>
      </c>
      <c r="G26" s="328" cm="1">
        <f t="array" ref="G26">-IFERROR(SUM(_xlfn._xlws.FILTER(Table_TSCD_KhauHao[Khấu hao],
(Table_TSCD_KhauHao[Kỳ] = G$2))),0)</f>
        <v>0</v>
      </c>
      <c r="H26" s="328" cm="1">
        <f t="array" ref="H26">-IFERROR(SUM(_xlfn._xlws.FILTER(Table_TSCD_KhauHao[Khấu hao],
(Table_TSCD_KhauHao[Kỳ] = H$2))),0)</f>
        <v>0</v>
      </c>
      <c r="I26" s="328" cm="1">
        <f t="array" ref="I26">-IFERROR(SUM(_xlfn._xlws.FILTER(Table_TSCD_KhauHao[Khấu hao],
(Table_TSCD_KhauHao[Kỳ] = I$2))),0)</f>
        <v>0</v>
      </c>
      <c r="J26" s="328" cm="1">
        <f t="array" ref="J26">-IFERROR(SUM(_xlfn._xlws.FILTER(Table_TSCD_KhauHao[Khấu hao],
(Table_TSCD_KhauHao[Kỳ] = J$2))),0)</f>
        <v>0</v>
      </c>
      <c r="K26" s="328" cm="1">
        <f t="array" ref="K26">-IFERROR(SUM(_xlfn._xlws.FILTER(Table_TSCD_KhauHao[Khấu hao],
(Table_TSCD_KhauHao[Kỳ] = K$2))),0)</f>
        <v>0</v>
      </c>
      <c r="L26" s="328" cm="1">
        <f t="array" ref="L26">-IFERROR(SUM(_xlfn._xlws.FILTER(Table_TSCD_KhauHao[Khấu hao],
(Table_TSCD_KhauHao[Kỳ] = L$2))),0)</f>
        <v>0</v>
      </c>
      <c r="M26" s="328" cm="1">
        <f t="array" ref="M26">-IFERROR(SUM(_xlfn._xlws.FILTER(Table_TSCD_KhauHao[Khấu hao],
(Table_TSCD_KhauHao[Kỳ] = M$2))),0)</f>
        <v>0</v>
      </c>
      <c r="N26" s="328" cm="1">
        <f t="array" ref="N26">-IFERROR(SUM(_xlfn._xlws.FILTER(Table_TSCD_KhauHao[Khấu hao],
(Table_TSCD_KhauHao[Kỳ] = N$2))),0)</f>
        <v>0</v>
      </c>
      <c r="O26" s="328" cm="1">
        <f t="array" ref="O26">-IFERROR(SUM(_xlfn._xlws.FILTER(Table_TSCD_KhauHao[Khấu hao],
(Table_TSCD_KhauHao[Kỳ] = O$2))),0)</f>
        <v>0</v>
      </c>
      <c r="P26" s="323"/>
      <c r="Q26" s="240"/>
      <c r="R26" s="73" t="s">
        <v>296</v>
      </c>
      <c r="S26" s="328" cm="1">
        <f t="array" ref="S26">-IFERROR(SUM(_xlfn._xlws.FILTER(Table_TSCD_KhauHao[Khấu hao],
(Table_TSCD_KhauHao[Năm] = S$1))),0)</f>
        <v>0</v>
      </c>
      <c r="T26" s="240"/>
      <c r="U26" s="73" t="s">
        <v>296</v>
      </c>
      <c r="V26" s="328" cm="1">
        <f t="array" ref="V26">-IFERROR(SUM(_xlfn._xlws.FILTER(Table_TSCD_KhauHao[Khấu hao],
(Table_TSCD_KhauHao[Kỳ] = V$1))),0)</f>
        <v>0</v>
      </c>
    </row>
    <row r="27" spans="2:22" ht="18" customHeight="1" outlineLevel="2" x14ac:dyDescent="0.3">
      <c r="B27" s="73" t="s">
        <v>297</v>
      </c>
      <c r="C27" s="328" cm="1">
        <f t="array" ref="C27">-IFERROR(
SUM(_xlfn._xlws.FILTER(Table_VayNo_LichTra[Lãi vay],
(Table_VayNo_LichTra[Năm] = C$2)
)),0)</f>
        <v>0</v>
      </c>
      <c r="D27" s="328" cm="1">
        <f t="array" ref="D27" xml:space="preserve">
-IFERROR(
SUM(_xlfn._xlws.FILTER(Table_VayNo_LichTra[Lãi vay],
(Table_VayNo_LichTra[Kỳ] = D$2)*
(NOT(ISBLANK(Table_VayNo_LichTra[Tháng])))
)),0)
-IFERROR(
SUM(_xlfn._xlws.FILTER(Table_VayNo_LichTra[Lãi vay],
(YEAR(VLOOKUP(Table_VayNo_LichTra[Khoản vay], Table_VayNo[[Mã khoản vay]:[Ngày vay]],Sheet_VayNo!$I$3,0)) &lt;&gt; YEAR(D$2)) *
(YEAR(VLOOKUP(Table_VayNo_LichTra[Khoản vay], Table_VayNo[[Mã khoản vay]:[Kết thúc trả gốc]],Sheet_VayNo!$K$3,0)) &lt;&gt; YEAR(D$2)) *
(Table_VayNo_LichTra[Năm] = YEAR(D$2)) *
(ISBLANK(Table_VayNo_LichTra[Tháng]))
))/12,0)
-IFERROR(SUMPRODUCT(
_xlfn._xlws.FILTER(Table_VayNo_LichTra[Lãi vay],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
_xlfn._xlws.FILTER(1/ ( 12 - MONTH(VLOOKUP(Table_VayNo_LichTra[Khoản vay], Table_VayNo[[Mã khoản vay]:[Ngày vay]],Sheet_VayNo!$I$3,0)) +1 ),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)),0)
-IFERROR(SUMPRODUCT(
_xlfn._xlws.FILTER(Table_VayNo_LichTra[Lãi vay],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
_xlfn._xlws.FILTER(1/ MONTH(VLOOKUP(Table_VayNo_LichTra[Khoản vay], Table_VayNo[[Mã khoản vay]:[Kết thúc trả gốc]],Sheet_VayNo!$K$3,0)),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)),0)
-IFERROR(SUMPRODUCT(
_xlfn._xlws.FILTER(Table_VayNo_LichTra[Lãi vay],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)),0)</f>
        <v>0</v>
      </c>
      <c r="E27" s="328" cm="1">
        <f t="array" ref="E27" xml:space="preserve">
-IFERROR(
SUM(_xlfn._xlws.FILTER(Table_VayNo_LichTra[Lãi vay],
(Table_VayNo_LichTra[Kỳ] = E$2)*
(NOT(ISBLANK(Table_VayNo_LichTra[Tháng])))
)),0)
-IFERROR(
SUM(_xlfn._xlws.FILTER(Table_VayNo_LichTra[Lãi vay],
(YEAR(VLOOKUP(Table_VayNo_LichTra[Khoản vay], Table_VayNo[[Mã khoản vay]:[Ngày vay]],Sheet_VayNo!$I$3,0)) &lt;&gt; YEAR(E$2)) *
(YEAR(VLOOKUP(Table_VayNo_LichTra[Khoản vay], Table_VayNo[[Mã khoản vay]:[Kết thúc trả gốc]],Sheet_VayNo!$K$3,0)) &lt;&gt; YEAR(E$2)) *
(Table_VayNo_LichTra[Năm] = YEAR(E$2)) *
(ISBLANK(Table_VayNo_LichTra[Tháng]))
))/12,0)
-IFERROR(SUMPRODUCT(
_xlfn._xlws.FILTER(Table_VayNo_LichTra[Lãi vay],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
_xlfn._xlws.FILTER(1/ ( 12 - MONTH(VLOOKUP(Table_VayNo_LichTra[Khoản vay], Table_VayNo[[Mã khoản vay]:[Ngày vay]],Sheet_VayNo!$I$3,0)) +1 ),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)),0)
-IFERROR(SUMPRODUCT(
_xlfn._xlws.FILTER(Table_VayNo_LichTra[Lãi vay],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
_xlfn._xlws.FILTER(1/ MONTH(VLOOKUP(Table_VayNo_LichTra[Khoản vay], Table_VayNo[[Mã khoản vay]:[Kết thúc trả gốc]],Sheet_VayNo!$K$3,0)),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)),0)
-IFERROR(SUMPRODUCT(
_xlfn._xlws.FILTER(Table_VayNo_LichTra[Lãi vay],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)),0)</f>
        <v>0</v>
      </c>
      <c r="F27" s="328" cm="1">
        <f t="array" ref="F27" xml:space="preserve">
-IFERROR(
SUM(_xlfn._xlws.FILTER(Table_VayNo_LichTra[Lãi vay],
(Table_VayNo_LichTra[Kỳ] = F$2)*
(NOT(ISBLANK(Table_VayNo_LichTra[Tháng])))
)),0)
-IFERROR(
SUM(_xlfn._xlws.FILTER(Table_VayNo_LichTra[Lãi vay],
(YEAR(VLOOKUP(Table_VayNo_LichTra[Khoản vay], Table_VayNo[[Mã khoản vay]:[Ngày vay]],Sheet_VayNo!$I$3,0)) &lt;&gt; YEAR(F$2)) *
(YEAR(VLOOKUP(Table_VayNo_LichTra[Khoản vay], Table_VayNo[[Mã khoản vay]:[Kết thúc trả gốc]],Sheet_VayNo!$K$3,0)) &lt;&gt; YEAR(F$2)) *
(Table_VayNo_LichTra[Năm] = YEAR(F$2)) *
(ISBLANK(Table_VayNo_LichTra[Tháng]))
))/12,0)
-IFERROR(SUMPRODUCT(
_xlfn._xlws.FILTER(Table_VayNo_LichTra[Lãi vay],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
_xlfn._xlws.FILTER(1/ ( 12 - MONTH(VLOOKUP(Table_VayNo_LichTra[Khoản vay], Table_VayNo[[Mã khoản vay]:[Ngày vay]],Sheet_VayNo!$I$3,0)) +1 ),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)),0)
-IFERROR(SUMPRODUCT(
_xlfn._xlws.FILTER(Table_VayNo_LichTra[Lãi vay],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
_xlfn._xlws.FILTER(1/ MONTH(VLOOKUP(Table_VayNo_LichTra[Khoản vay], Table_VayNo[[Mã khoản vay]:[Kết thúc trả gốc]],Sheet_VayNo!$K$3,0)),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)),0)
-IFERROR(SUMPRODUCT(
_xlfn._xlws.FILTER(Table_VayNo_LichTra[Lãi vay],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)),0)</f>
        <v>0</v>
      </c>
      <c r="G27" s="328" cm="1">
        <f t="array" ref="G27" xml:space="preserve">
-IFERROR(
SUM(_xlfn._xlws.FILTER(Table_VayNo_LichTra[Lãi vay],
(Table_VayNo_LichTra[Kỳ] = G$2)*
(NOT(ISBLANK(Table_VayNo_LichTra[Tháng])))
)),0)
-IFERROR(
SUM(_xlfn._xlws.FILTER(Table_VayNo_LichTra[Lãi vay],
(YEAR(VLOOKUP(Table_VayNo_LichTra[Khoản vay], Table_VayNo[[Mã khoản vay]:[Ngày vay]],Sheet_VayNo!$I$3,0)) &lt;&gt; YEAR(G$2)) *
(YEAR(VLOOKUP(Table_VayNo_LichTra[Khoản vay], Table_VayNo[[Mã khoản vay]:[Kết thúc trả gốc]],Sheet_VayNo!$K$3,0)) &lt;&gt; YEAR(G$2)) *
(Table_VayNo_LichTra[Năm] = YEAR(G$2)) *
(ISBLANK(Table_VayNo_LichTra[Tháng]))
))/12,0)
-IFERROR(SUMPRODUCT(
_xlfn._xlws.FILTER(Table_VayNo_LichTra[Lãi vay],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
_xlfn._xlws.FILTER(1/ ( 12 - MONTH(VLOOKUP(Table_VayNo_LichTra[Khoản vay], Table_VayNo[[Mã khoản vay]:[Ngày vay]],Sheet_VayNo!$I$3,0)) +1 ),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)),0)
-IFERROR(SUMPRODUCT(
_xlfn._xlws.FILTER(Table_VayNo_LichTra[Lãi vay],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
_xlfn._xlws.FILTER(1/ MONTH(VLOOKUP(Table_VayNo_LichTra[Khoản vay], Table_VayNo[[Mã khoản vay]:[Kết thúc trả gốc]],Sheet_VayNo!$K$3,0)),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)),0)
-IFERROR(SUMPRODUCT(
_xlfn._xlws.FILTER(Table_VayNo_LichTra[Lãi vay],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)),0)</f>
        <v>0</v>
      </c>
      <c r="H27" s="328" cm="1">
        <f t="array" ref="H27" xml:space="preserve">
-IFERROR(
SUM(_xlfn._xlws.FILTER(Table_VayNo_LichTra[Lãi vay],
(Table_VayNo_LichTra[Kỳ] = H$2)*
(NOT(ISBLANK(Table_VayNo_LichTra[Tháng])))
)),0)
-IFERROR(
SUM(_xlfn._xlws.FILTER(Table_VayNo_LichTra[Lãi vay],
(YEAR(VLOOKUP(Table_VayNo_LichTra[Khoản vay], Table_VayNo[[Mã khoản vay]:[Ngày vay]],Sheet_VayNo!$I$3,0)) &lt;&gt; YEAR(H$2)) *
(YEAR(VLOOKUP(Table_VayNo_LichTra[Khoản vay], Table_VayNo[[Mã khoản vay]:[Kết thúc trả gốc]],Sheet_VayNo!$K$3,0)) &lt;&gt; YEAR(H$2)) *
(Table_VayNo_LichTra[Năm] = YEAR(H$2)) *
(ISBLANK(Table_VayNo_LichTra[Tháng]))
))/12,0)
-IFERROR(SUMPRODUCT(
_xlfn._xlws.FILTER(Table_VayNo_LichTra[Lãi vay],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
_xlfn._xlws.FILTER(1/ ( 12 - MONTH(VLOOKUP(Table_VayNo_LichTra[Khoản vay], Table_VayNo[[Mã khoản vay]:[Ngày vay]],Sheet_VayNo!$I$3,0)) +1 ),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)),0)
-IFERROR(SUMPRODUCT(
_xlfn._xlws.FILTER(Table_VayNo_LichTra[Lãi vay],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
_xlfn._xlws.FILTER(1/ MONTH(VLOOKUP(Table_VayNo_LichTra[Khoản vay], Table_VayNo[[Mã khoản vay]:[Kết thúc trả gốc]],Sheet_VayNo!$K$3,0)),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)),0)
-IFERROR(SUMPRODUCT(
_xlfn._xlws.FILTER(Table_VayNo_LichTra[Lãi vay],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)),0)</f>
        <v>0</v>
      </c>
      <c r="I27" s="328" cm="1">
        <f t="array" ref="I27" xml:space="preserve">
-IFERROR(
SUM(_xlfn._xlws.FILTER(Table_VayNo_LichTra[Lãi vay],
(Table_VayNo_LichTra[Kỳ] = I$2)*
(NOT(ISBLANK(Table_VayNo_LichTra[Tháng])))
)),0)
-IFERROR(
SUM(_xlfn._xlws.FILTER(Table_VayNo_LichTra[Lãi vay],
(YEAR(VLOOKUP(Table_VayNo_LichTra[Khoản vay], Table_VayNo[[Mã khoản vay]:[Ngày vay]],Sheet_VayNo!$I$3,0)) &lt;&gt; YEAR(I$2)) *
(YEAR(VLOOKUP(Table_VayNo_LichTra[Khoản vay], Table_VayNo[[Mã khoản vay]:[Kết thúc trả gốc]],Sheet_VayNo!$K$3,0)) &lt;&gt; YEAR(I$2)) *
(Table_VayNo_LichTra[Năm] = YEAR(I$2)) *
(ISBLANK(Table_VayNo_LichTra[Tháng]))
))/12,0)
-IFERROR(SUMPRODUCT(
_xlfn._xlws.FILTER(Table_VayNo_LichTra[Lãi vay],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
_xlfn._xlws.FILTER(1/ ( 12 - MONTH(VLOOKUP(Table_VayNo_LichTra[Khoản vay], Table_VayNo[[Mã khoản vay]:[Ngày vay]],Sheet_VayNo!$I$3,0)) +1 ),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)),0)
-IFERROR(SUMPRODUCT(
_xlfn._xlws.FILTER(Table_VayNo_LichTra[Lãi vay],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
_xlfn._xlws.FILTER(1/ MONTH(VLOOKUP(Table_VayNo_LichTra[Khoản vay], Table_VayNo[[Mã khoản vay]:[Kết thúc trả gốc]],Sheet_VayNo!$K$3,0)),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)),0)
-IFERROR(SUMPRODUCT(
_xlfn._xlws.FILTER(Table_VayNo_LichTra[Lãi vay],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)),0)</f>
        <v>0</v>
      </c>
      <c r="J27" s="328" cm="1">
        <f t="array" ref="J27" xml:space="preserve">
-IFERROR(
SUM(_xlfn._xlws.FILTER(Table_VayNo_LichTra[Lãi vay],
(Table_VayNo_LichTra[Kỳ] = J$2)*
(NOT(ISBLANK(Table_VayNo_LichTra[Tháng])))
)),0)
-IFERROR(
SUM(_xlfn._xlws.FILTER(Table_VayNo_LichTra[Lãi vay],
(YEAR(VLOOKUP(Table_VayNo_LichTra[Khoản vay], Table_VayNo[[Mã khoản vay]:[Ngày vay]],Sheet_VayNo!$I$3,0)) &lt;&gt; YEAR(J$2)) *
(YEAR(VLOOKUP(Table_VayNo_LichTra[Khoản vay], Table_VayNo[[Mã khoản vay]:[Kết thúc trả gốc]],Sheet_VayNo!$K$3,0)) &lt;&gt; YEAR(J$2)) *
(Table_VayNo_LichTra[Năm] = YEAR(J$2)) *
(ISBLANK(Table_VayNo_LichTra[Tháng]))
))/12,0)
-IFERROR(SUMPRODUCT(
_xlfn._xlws.FILTER(Table_VayNo_LichTra[Lãi vay],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
_xlfn._xlws.FILTER(1/ ( 12 - MONTH(VLOOKUP(Table_VayNo_LichTra[Khoản vay], Table_VayNo[[Mã khoản vay]:[Ngày vay]],Sheet_VayNo!$I$3,0)) +1 ),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)),0)
-IFERROR(SUMPRODUCT(
_xlfn._xlws.FILTER(Table_VayNo_LichTra[Lãi vay],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
_xlfn._xlws.FILTER(1/ MONTH(VLOOKUP(Table_VayNo_LichTra[Khoản vay], Table_VayNo[[Mã khoản vay]:[Kết thúc trả gốc]],Sheet_VayNo!$K$3,0)),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)),0)
-IFERROR(SUMPRODUCT(
_xlfn._xlws.FILTER(Table_VayNo_LichTra[Lãi vay],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)),0)</f>
        <v>0</v>
      </c>
      <c r="K27" s="328" cm="1">
        <f t="array" ref="K27" xml:space="preserve">
-IFERROR(
SUM(_xlfn._xlws.FILTER(Table_VayNo_LichTra[Lãi vay],
(Table_VayNo_LichTra[Kỳ] = K$2)*
(NOT(ISBLANK(Table_VayNo_LichTra[Tháng])))
)),0)
-IFERROR(
SUM(_xlfn._xlws.FILTER(Table_VayNo_LichTra[Lãi vay],
(YEAR(VLOOKUP(Table_VayNo_LichTra[Khoản vay], Table_VayNo[[Mã khoản vay]:[Ngày vay]],Sheet_VayNo!$I$3,0)) &lt;&gt; YEAR(K$2)) *
(YEAR(VLOOKUP(Table_VayNo_LichTra[Khoản vay], Table_VayNo[[Mã khoản vay]:[Kết thúc trả gốc]],Sheet_VayNo!$K$3,0)) &lt;&gt; YEAR(K$2)) *
(Table_VayNo_LichTra[Năm] = YEAR(K$2)) *
(ISBLANK(Table_VayNo_LichTra[Tháng]))
))/12,0)
-IFERROR(SUMPRODUCT(
_xlfn._xlws.FILTER(Table_VayNo_LichTra[Lãi vay],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
_xlfn._xlws.FILTER(1/ ( 12 - MONTH(VLOOKUP(Table_VayNo_LichTra[Khoản vay], Table_VayNo[[Mã khoản vay]:[Ngày vay]],Sheet_VayNo!$I$3,0)) +1 ),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)),0)
-IFERROR(SUMPRODUCT(
_xlfn._xlws.FILTER(Table_VayNo_LichTra[Lãi vay],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
_xlfn._xlws.FILTER(1/ MONTH(VLOOKUP(Table_VayNo_LichTra[Khoản vay], Table_VayNo[[Mã khoản vay]:[Kết thúc trả gốc]],Sheet_VayNo!$K$3,0)),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)),0)
-IFERROR(SUMPRODUCT(
_xlfn._xlws.FILTER(Table_VayNo_LichTra[Lãi vay],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)),0)</f>
        <v>0</v>
      </c>
      <c r="L27" s="328" cm="1">
        <f t="array" ref="L27" xml:space="preserve">
-IFERROR(
SUM(_xlfn._xlws.FILTER(Table_VayNo_LichTra[Lãi vay],
(Table_VayNo_LichTra[Kỳ] = L$2)*
(NOT(ISBLANK(Table_VayNo_LichTra[Tháng])))
)),0)
-IFERROR(
SUM(_xlfn._xlws.FILTER(Table_VayNo_LichTra[Lãi vay],
(YEAR(VLOOKUP(Table_VayNo_LichTra[Khoản vay], Table_VayNo[[Mã khoản vay]:[Ngày vay]],Sheet_VayNo!$I$3,0)) &lt;&gt; YEAR(L$2)) *
(YEAR(VLOOKUP(Table_VayNo_LichTra[Khoản vay], Table_VayNo[[Mã khoản vay]:[Kết thúc trả gốc]],Sheet_VayNo!$K$3,0)) &lt;&gt; YEAR(L$2)) *
(Table_VayNo_LichTra[Năm] = YEAR(L$2)) *
(ISBLANK(Table_VayNo_LichTra[Tháng]))
))/12,0)
-IFERROR(SUMPRODUCT(
_xlfn._xlws.FILTER(Table_VayNo_LichTra[Lãi vay],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
_xlfn._xlws.FILTER(1/ ( 12 - MONTH(VLOOKUP(Table_VayNo_LichTra[Khoản vay], Table_VayNo[[Mã khoản vay]:[Ngày vay]],Sheet_VayNo!$I$3,0)) +1 ),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)),0)
-IFERROR(SUMPRODUCT(
_xlfn._xlws.FILTER(Table_VayNo_LichTra[Lãi vay],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
_xlfn._xlws.FILTER(1/ MONTH(VLOOKUP(Table_VayNo_LichTra[Khoản vay], Table_VayNo[[Mã khoản vay]:[Kết thúc trả gốc]],Sheet_VayNo!$K$3,0)),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)),0)
-IFERROR(SUMPRODUCT(
_xlfn._xlws.FILTER(Table_VayNo_LichTra[Lãi vay],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)),0)</f>
        <v>0</v>
      </c>
      <c r="M27" s="328" cm="1">
        <f t="array" ref="M27" xml:space="preserve">
-IFERROR(
SUM(_xlfn._xlws.FILTER(Table_VayNo_LichTra[Lãi vay],
(Table_VayNo_LichTra[Kỳ] = M$2)*
(NOT(ISBLANK(Table_VayNo_LichTra[Tháng])))
)),0)
-IFERROR(
SUM(_xlfn._xlws.FILTER(Table_VayNo_LichTra[Lãi vay],
(YEAR(VLOOKUP(Table_VayNo_LichTra[Khoản vay], Table_VayNo[[Mã khoản vay]:[Ngày vay]],Sheet_VayNo!$I$3,0)) &lt;&gt; YEAR(M$2)) *
(YEAR(VLOOKUP(Table_VayNo_LichTra[Khoản vay], Table_VayNo[[Mã khoản vay]:[Kết thúc trả gốc]],Sheet_VayNo!$K$3,0)) &lt;&gt; YEAR(M$2)) *
(Table_VayNo_LichTra[Năm] = YEAR(M$2)) *
(ISBLANK(Table_VayNo_LichTra[Tháng]))
))/12,0)
-IFERROR(SUMPRODUCT(
_xlfn._xlws.FILTER(Table_VayNo_LichTra[Lãi vay],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
_xlfn._xlws.FILTER(1/ ( 12 - MONTH(VLOOKUP(Table_VayNo_LichTra[Khoản vay], Table_VayNo[[Mã khoản vay]:[Ngày vay]],Sheet_VayNo!$I$3,0)) +1 ),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)),0)
-IFERROR(SUMPRODUCT(
_xlfn._xlws.FILTER(Table_VayNo_LichTra[Lãi vay],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
_xlfn._xlws.FILTER(1/ MONTH(VLOOKUP(Table_VayNo_LichTra[Khoản vay], Table_VayNo[[Mã khoản vay]:[Kết thúc trả gốc]],Sheet_VayNo!$K$3,0)),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)),0)
-IFERROR(SUMPRODUCT(
_xlfn._xlws.FILTER(Table_VayNo_LichTra[Lãi vay],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)),0)</f>
        <v>0</v>
      </c>
      <c r="N27" s="328" cm="1">
        <f t="array" ref="N27" xml:space="preserve">
-IFERROR(
SUM(_xlfn._xlws.FILTER(Table_VayNo_LichTra[Lãi vay],
(Table_VayNo_LichTra[Kỳ] = N$2)*
(NOT(ISBLANK(Table_VayNo_LichTra[Tháng])))
)),0)
-IFERROR(
SUM(_xlfn._xlws.FILTER(Table_VayNo_LichTra[Lãi vay],
(YEAR(VLOOKUP(Table_VayNo_LichTra[Khoản vay], Table_VayNo[[Mã khoản vay]:[Ngày vay]],Sheet_VayNo!$I$3,0)) &lt;&gt; YEAR(N$2)) *
(YEAR(VLOOKUP(Table_VayNo_LichTra[Khoản vay], Table_VayNo[[Mã khoản vay]:[Kết thúc trả gốc]],Sheet_VayNo!$K$3,0)) &lt;&gt; YEAR(N$2)) *
(Table_VayNo_LichTra[Năm] = YEAR(N$2)) *
(ISBLANK(Table_VayNo_LichTra[Tháng]))
))/12,0)
-IFERROR(SUMPRODUCT(
_xlfn._xlws.FILTER(Table_VayNo_LichTra[Lãi vay],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
_xlfn._xlws.FILTER(1/ ( 12 - MONTH(VLOOKUP(Table_VayNo_LichTra[Khoản vay], Table_VayNo[[Mã khoản vay]:[Ngày vay]],Sheet_VayNo!$I$3,0)) +1 ),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)),0)
-IFERROR(SUMPRODUCT(
_xlfn._xlws.FILTER(Table_VayNo_LichTra[Lãi vay],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
_xlfn._xlws.FILTER(1/ MONTH(VLOOKUP(Table_VayNo_LichTra[Khoản vay], Table_VayNo[[Mã khoản vay]:[Kết thúc trả gốc]],Sheet_VayNo!$K$3,0)),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)),0)
-IFERROR(SUMPRODUCT(
_xlfn._xlws.FILTER(Table_VayNo_LichTra[Lãi vay],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)),0)</f>
        <v>0</v>
      </c>
      <c r="O27" s="328" cm="1">
        <f t="array" ref="O27" xml:space="preserve">
-IFERROR(
SUM(_xlfn._xlws.FILTER(Table_VayNo_LichTra[Lãi vay],
(Table_VayNo_LichTra[Kỳ] = O$2)*
(NOT(ISBLANK(Table_VayNo_LichTra[Tháng])))
)),0)
-IFERROR(
SUM(_xlfn._xlws.FILTER(Table_VayNo_LichTra[Lãi vay],
(YEAR(VLOOKUP(Table_VayNo_LichTra[Khoản vay], Table_VayNo[[Mã khoản vay]:[Ngày vay]],Sheet_VayNo!$I$3,0)) &lt;&gt; YEAR(O$2)) *
(YEAR(VLOOKUP(Table_VayNo_LichTra[Khoản vay], Table_VayNo[[Mã khoản vay]:[Kết thúc trả gốc]],Sheet_VayNo!$K$3,0)) &lt;&gt; YEAR(O$2)) *
(Table_VayNo_LichTra[Năm] = YEAR(O$2)) *
(ISBLANK(Table_VayNo_LichTra[Tháng]))
))/12,0)
-IFERROR(SUMPRODUCT(
_xlfn._xlws.FILTER(Table_VayNo_LichTra[Lãi vay],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
_xlfn._xlws.FILTER(1/ ( 12 - MONTH(VLOOKUP(Table_VayNo_LichTra[Khoản vay], Table_VayNo[[Mã khoản vay]:[Ngày vay]],Sheet_VayNo!$I$3,0)) +1 ),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)),0)
-IFERROR(SUMPRODUCT(
_xlfn._xlws.FILTER(Table_VayNo_LichTra[Lãi vay],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
_xlfn._xlws.FILTER(1/ MONTH(VLOOKUP(Table_VayNo_LichTra[Khoản vay], Table_VayNo[[Mã khoản vay]:[Kết thúc trả gốc]],Sheet_VayNo!$K$3,0)),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)),0)
-IFERROR(SUMPRODUCT(
_xlfn._xlws.FILTER(Table_VayNo_LichTra[Lãi vay],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)),0)</f>
        <v>0</v>
      </c>
      <c r="P27" s="323"/>
      <c r="Q27" s="240"/>
      <c r="R27" s="73" t="s">
        <v>297</v>
      </c>
      <c r="S27" s="328" cm="1">
        <f t="array" ref="S27">-IFERROR(
SUM(_xlfn._xlws.FILTER(Table_VayNo_LichTra[Lãi vay],
(Table_VayNo_LichTra[Năm] = S$1)
)),0)</f>
        <v>0</v>
      </c>
      <c r="T27" s="240"/>
      <c r="U27" s="73" t="s">
        <v>297</v>
      </c>
      <c r="V27" s="328" cm="1">
        <f t="array" ref="V27" xml:space="preserve">
-IFERROR(
SUM(_xlfn._xlws.FILTER(Table_VayNo_LichTra[Lãi vay],
(Table_VayNo_LichTra[Kỳ] = V$1)*
(NOT(ISBLANK(Table_VayNo_LichTra[Tháng])))
)),0)
-IFERROR(
SUM(_xlfn._xlws.FILTER(Table_VayNo_LichTra[Lãi vay],
(YEAR(VLOOKUP(Table_VayNo_LichTra[Khoản vay], Table_VayNo[[Mã khoản vay]:[Ngày vay]],Sheet_VayNo!$I$3,0)) &lt;&gt; YEAR(V$1)) *
(YEAR(VLOOKUP(Table_VayNo_LichTra[Khoản vay], Table_VayNo[[Mã khoản vay]:[Kết thúc trả gốc]],Sheet_VayNo!$K$3,0)) &lt;&gt; YEAR(V$1)) *
(Table_VayNo_LichTra[Năm] = YEAR(V$1)) *
(ISBLANK(Table_VayNo_LichTra[Tháng]))
))/12,0)
-IFERROR(SUMPRODUCT(
_xlfn._xlws.FILTER(Table_VayNo_LichTra[Lãi vay],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
_xlfn._xlws.FILTER(1/ ( 12 - MONTH(VLOOKUP(Table_VayNo_LichTra[Khoản vay], Table_VayNo[[Mã khoản vay]:[Ngày vay]],Sheet_VayNo!$I$3,0)) +1 ),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)),0)
-IFERROR(SUMPRODUCT(
_xlfn._xlws.FILTER(Table_VayNo_LichTra[Lãi vay],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
_xlfn._xlws.FILTER(1/ MONTH(VLOOKUP(Table_VayNo_LichTra[Khoản vay], Table_VayNo[[Mã khoản vay]:[Kết thúc trả gốc]],Sheet_VayNo!$K$3,0)),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)),0)
-IFERROR(SUMPRODUCT(
_xlfn._xlws.FILTER(Table_VayNo_LichTra[Lãi vay],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)),0)</f>
        <v>0</v>
      </c>
    </row>
    <row r="28" spans="2:22" ht="18" customHeight="1" outlineLevel="2" x14ac:dyDescent="0.3">
      <c r="B28" s="73" t="s">
        <v>299</v>
      </c>
      <c r="C28" s="328" cm="1">
        <f t="array" ref="C28" xml:space="preserve">
-IFERROR(
SUM(
_xlfn._xlws.FILTER(Table_ChiPhiKD[Giá trị],
(NOT(ISBLANK(Table_ChiPhiKD[Tháng])))*
(Table_ChiPhiKD[Nhóm chi phí] = "Thuế, phí &amp; lệ phí trả NSNN") *
(Table_ChiPhiKD[Năm] = C$2)
)),
0)
- IFERROR(
SUMPRODUCT(
_xlfn._xlws.FILTER(Table_ChiPhiKD[Giá trị],
(ISBLANK(Table_ChiPhiKD[Tháng])) *
(Table_ChiPhiKD[Nhóm chi phí] = "Thuế, phí &amp; lệ phí trả NSNN")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"Thuế, phí &amp; lệ phí trả NSNN") *
(Table_ChiPhiKD[Phân bổ từ] &lt; DATE(C$2+1,1,1))*
(Table_ChiPhiKD[Phân bổ đến] &gt; DATE(C$2,1,1))
),
1/_xlfn._xlws.FILTER(
ROUND(
(Table_ChiPhiKD[Phân bổ đến]-Table_ChiPhiKD[Phân bổ từ])
/(365.25/12),
0),
(ISBLANK(Table_ChiPhiKD[Tháng])) *
(Table_ChiPhiKD[Nhóm chi phí] = "Thuế, phí &amp; lệ phí trả NSNN") *
(Table_ChiPhiKD[Phân bổ từ] &lt; DATE(C$2+1,1,1))*
(Table_ChiPhiKD[Phân bổ đến] &gt; DATE(C$2,1,1))
)
),
0)</f>
        <v>0</v>
      </c>
      <c r="D28" s="330" cm="1">
        <f t="array" ref="D28">-IFERROR(
SUM(
_xlfn._xlws.FILTER(Table_ChiPhiKD[Giá trị],
(NOT(ISBLANK(Table_ChiPhiKD[Tháng])))*
(Table_ChiPhiKD[Nhóm chi phí] = "Thuế, phí &amp; lệ phí trả NSNN") *
(Table_ChiPhiKD[Kỳ] = D$2)
)),
0)
- IFERROR(
SUMPRODUCT(
_xlfn._xlws.FILTER(Table_ChiPhiKD[Giá trị],
(ISBLANK(Table_ChiPhiKD[Tháng])) *
(Table_ChiPhiKD[Nhóm chi phí] = "Thuế, phí &amp; lệ phí trả NSNN") *
(Table_ChiPhiKD[Phân bổ từ] &lt; DATE(YEAR(D$2),MONTH(D$2)+1,1))*
(Table_ChiPhiKD[Phân bổ đến] &gt; D$2)
),
1/_xlfn._xlws.FILTER(
ROUND(
(Table_ChiPhiKD[Phân bổ đến]-Table_ChiPhiKD[Phân bổ từ])
/(365.25/12),
0),
(ISBLANK(Table_ChiPhiKD[Tháng])) *
(Table_ChiPhiKD[Nhóm chi phí] = "Thuế, phí &amp; lệ phí trả NSNN") *
(Table_ChiPhiKD[Phân bổ từ] &lt; DATE(YEAR(D$2),MONTH(D$2)+1,1))*
(Table_ChiPhiKD[Phân bổ đến] &gt; D$2))
),
0)</f>
        <v>0</v>
      </c>
      <c r="E28" s="330" cm="1">
        <f t="array" ref="E28">-IFERROR(
SUM(
_xlfn._xlws.FILTER(Table_ChiPhiKD[Giá trị],
(NOT(ISBLANK(Table_ChiPhiKD[Tháng])))*
(Table_ChiPhiKD[Nhóm chi phí] = "Thuế, phí &amp; lệ phí trả NSNN") *
(Table_ChiPhiKD[Kỳ] = E$2)
)),
0)
- IFERROR(
SUMPRODUCT(
_xlfn._xlws.FILTER(Table_ChiPhiKD[Giá trị],
(ISBLANK(Table_ChiPhiKD[Tháng])) *
(Table_ChiPhiKD[Nhóm chi phí] = "Thuế, phí &amp; lệ phí trả NSNN") *
(Table_ChiPhiKD[Phân bổ từ] &lt; DATE(YEAR(E$2),MONTH(E$2)+1,1))*
(Table_ChiPhiKD[Phân bổ đến] &gt; E$2)
),
1/_xlfn._xlws.FILTER(
ROUND(
(Table_ChiPhiKD[Phân bổ đến]-Table_ChiPhiKD[Phân bổ từ])
/(365.25/12),
0),
(ISBLANK(Table_ChiPhiKD[Tháng])) *
(Table_ChiPhiKD[Nhóm chi phí] = "Thuế, phí &amp; lệ phí trả NSNN") *
(Table_ChiPhiKD[Phân bổ từ] &lt; DATE(YEAR(E$2),MONTH(E$2)+1,1))*
(Table_ChiPhiKD[Phân bổ đến] &gt; E$2))
),
0)</f>
        <v>0</v>
      </c>
      <c r="F28" s="330" cm="1">
        <f t="array" ref="F28">-IFERROR(
SUM(
_xlfn._xlws.FILTER(Table_ChiPhiKD[Giá trị],
(NOT(ISBLANK(Table_ChiPhiKD[Tháng])))*
(Table_ChiPhiKD[Nhóm chi phí] = "Thuế, phí &amp; lệ phí trả NSNN") *
(Table_ChiPhiKD[Kỳ] = F$2)
)),
0)
- IFERROR(
SUMPRODUCT(
_xlfn._xlws.FILTER(Table_ChiPhiKD[Giá trị],
(ISBLANK(Table_ChiPhiKD[Tháng])) *
(Table_ChiPhiKD[Nhóm chi phí] = "Thuế, phí &amp; lệ phí trả NSNN") *
(Table_ChiPhiKD[Phân bổ từ] &lt; DATE(YEAR(F$2),MONTH(F$2)+1,1))*
(Table_ChiPhiKD[Phân bổ đến] &gt; F$2)
),
1/_xlfn._xlws.FILTER(
ROUND(
(Table_ChiPhiKD[Phân bổ đến]-Table_ChiPhiKD[Phân bổ từ])
/(365.25/12),
0),
(ISBLANK(Table_ChiPhiKD[Tháng])) *
(Table_ChiPhiKD[Nhóm chi phí] = "Thuế, phí &amp; lệ phí trả NSNN") *
(Table_ChiPhiKD[Phân bổ từ] &lt; DATE(YEAR(F$2),MONTH(F$2)+1,1))*
(Table_ChiPhiKD[Phân bổ đến] &gt; F$2))
),
0)</f>
        <v>0</v>
      </c>
      <c r="G28" s="330" cm="1">
        <f t="array" ref="G28">-IFERROR(
SUM(
_xlfn._xlws.FILTER(Table_ChiPhiKD[Giá trị],
(NOT(ISBLANK(Table_ChiPhiKD[Tháng])))*
(Table_ChiPhiKD[Nhóm chi phí] = "Thuế, phí &amp; lệ phí trả NSNN") *
(Table_ChiPhiKD[Kỳ] = G$2)
)),
0)
- IFERROR(
SUMPRODUCT(
_xlfn._xlws.FILTER(Table_ChiPhiKD[Giá trị],
(ISBLANK(Table_ChiPhiKD[Tháng])) *
(Table_ChiPhiKD[Nhóm chi phí] = "Thuế, phí &amp; lệ phí trả NSNN") *
(Table_ChiPhiKD[Phân bổ từ] &lt; DATE(YEAR(G$2),MONTH(G$2)+1,1))*
(Table_ChiPhiKD[Phân bổ đến] &gt; G$2)
),
1/_xlfn._xlws.FILTER(
ROUND(
(Table_ChiPhiKD[Phân bổ đến]-Table_ChiPhiKD[Phân bổ từ])
/(365.25/12),
0),
(ISBLANK(Table_ChiPhiKD[Tháng])) *
(Table_ChiPhiKD[Nhóm chi phí] = "Thuế, phí &amp; lệ phí trả NSNN") *
(Table_ChiPhiKD[Phân bổ từ] &lt; DATE(YEAR(G$2),MONTH(G$2)+1,1))*
(Table_ChiPhiKD[Phân bổ đến] &gt; G$2))
),
0)</f>
        <v>0</v>
      </c>
      <c r="H28" s="330" cm="1">
        <f t="array" ref="H28">-IFERROR(
SUM(
_xlfn._xlws.FILTER(Table_ChiPhiKD[Giá trị],
(NOT(ISBLANK(Table_ChiPhiKD[Tháng])))*
(Table_ChiPhiKD[Nhóm chi phí] = "Thuế, phí &amp; lệ phí trả NSNN") *
(Table_ChiPhiKD[Kỳ] = H$2)
)),
0)
- IFERROR(
SUMPRODUCT(
_xlfn._xlws.FILTER(Table_ChiPhiKD[Giá trị],
(ISBLANK(Table_ChiPhiKD[Tháng])) *
(Table_ChiPhiKD[Nhóm chi phí] = "Thuế, phí &amp; lệ phí trả NSNN") *
(Table_ChiPhiKD[Phân bổ từ] &lt; DATE(YEAR(H$2),MONTH(H$2)+1,1))*
(Table_ChiPhiKD[Phân bổ đến] &gt; H$2)
),
1/_xlfn._xlws.FILTER(
ROUND(
(Table_ChiPhiKD[Phân bổ đến]-Table_ChiPhiKD[Phân bổ từ])
/(365.25/12),
0),
(ISBLANK(Table_ChiPhiKD[Tháng])) *
(Table_ChiPhiKD[Nhóm chi phí] = "Thuế, phí &amp; lệ phí trả NSNN") *
(Table_ChiPhiKD[Phân bổ từ] &lt; DATE(YEAR(H$2),MONTH(H$2)+1,1))*
(Table_ChiPhiKD[Phân bổ đến] &gt; H$2))
),
0)</f>
        <v>0</v>
      </c>
      <c r="I28" s="330" cm="1">
        <f t="array" ref="I28">-IFERROR(
SUM(
_xlfn._xlws.FILTER(Table_ChiPhiKD[Giá trị],
(NOT(ISBLANK(Table_ChiPhiKD[Tháng])))*
(Table_ChiPhiKD[Nhóm chi phí] = "Thuế, phí &amp; lệ phí trả NSNN") *
(Table_ChiPhiKD[Kỳ] = I$2)
)),
0)
- IFERROR(
SUMPRODUCT(
_xlfn._xlws.FILTER(Table_ChiPhiKD[Giá trị],
(ISBLANK(Table_ChiPhiKD[Tháng])) *
(Table_ChiPhiKD[Nhóm chi phí] = "Thuế, phí &amp; lệ phí trả NSNN") *
(Table_ChiPhiKD[Phân bổ từ] &lt; DATE(YEAR(I$2),MONTH(I$2)+1,1))*
(Table_ChiPhiKD[Phân bổ đến] &gt; I$2)
),
1/_xlfn._xlws.FILTER(
ROUND(
(Table_ChiPhiKD[Phân bổ đến]-Table_ChiPhiKD[Phân bổ từ])
/(365.25/12),
0),
(ISBLANK(Table_ChiPhiKD[Tháng])) *
(Table_ChiPhiKD[Nhóm chi phí] = "Thuế, phí &amp; lệ phí trả NSNN") *
(Table_ChiPhiKD[Phân bổ từ] &lt; DATE(YEAR(I$2),MONTH(I$2)+1,1))*
(Table_ChiPhiKD[Phân bổ đến] &gt; I$2))
),
0)</f>
        <v>0</v>
      </c>
      <c r="J28" s="330" cm="1">
        <f t="array" ref="J28">-IFERROR(
SUM(
_xlfn._xlws.FILTER(Table_ChiPhiKD[Giá trị],
(NOT(ISBLANK(Table_ChiPhiKD[Tháng])))*
(Table_ChiPhiKD[Nhóm chi phí] = "Thuế, phí &amp; lệ phí trả NSNN") *
(Table_ChiPhiKD[Kỳ] = J$2)
)),
0)
- IFERROR(
SUMPRODUCT(
_xlfn._xlws.FILTER(Table_ChiPhiKD[Giá trị],
(ISBLANK(Table_ChiPhiKD[Tháng])) *
(Table_ChiPhiKD[Nhóm chi phí] = "Thuế, phí &amp; lệ phí trả NSNN") *
(Table_ChiPhiKD[Phân bổ từ] &lt; DATE(YEAR(J$2),MONTH(J$2)+1,1))*
(Table_ChiPhiKD[Phân bổ đến] &gt; J$2)
),
1/_xlfn._xlws.FILTER(
ROUND(
(Table_ChiPhiKD[Phân bổ đến]-Table_ChiPhiKD[Phân bổ từ])
/(365.25/12),
0),
(ISBLANK(Table_ChiPhiKD[Tháng])) *
(Table_ChiPhiKD[Nhóm chi phí] = "Thuế, phí &amp; lệ phí trả NSNN") *
(Table_ChiPhiKD[Phân bổ từ] &lt; DATE(YEAR(J$2),MONTH(J$2)+1,1))*
(Table_ChiPhiKD[Phân bổ đến] &gt; J$2))
),
0)</f>
        <v>0</v>
      </c>
      <c r="K28" s="330" cm="1">
        <f t="array" ref="K28">-IFERROR(
SUM(
_xlfn._xlws.FILTER(Table_ChiPhiKD[Giá trị],
(NOT(ISBLANK(Table_ChiPhiKD[Tháng])))*
(Table_ChiPhiKD[Nhóm chi phí] = "Thuế, phí &amp; lệ phí trả NSNN") *
(Table_ChiPhiKD[Kỳ] = K$2)
)),
0)
- IFERROR(
SUMPRODUCT(
_xlfn._xlws.FILTER(Table_ChiPhiKD[Giá trị],
(ISBLANK(Table_ChiPhiKD[Tháng])) *
(Table_ChiPhiKD[Nhóm chi phí] = "Thuế, phí &amp; lệ phí trả NSNN") *
(Table_ChiPhiKD[Phân bổ từ] &lt; DATE(YEAR(K$2),MONTH(K$2)+1,1))*
(Table_ChiPhiKD[Phân bổ đến] &gt; K$2)
),
1/_xlfn._xlws.FILTER(
ROUND(
(Table_ChiPhiKD[Phân bổ đến]-Table_ChiPhiKD[Phân bổ từ])
/(365.25/12),
0),
(ISBLANK(Table_ChiPhiKD[Tháng])) *
(Table_ChiPhiKD[Nhóm chi phí] = "Thuế, phí &amp; lệ phí trả NSNN") *
(Table_ChiPhiKD[Phân bổ từ] &lt; DATE(YEAR(K$2),MONTH(K$2)+1,1))*
(Table_ChiPhiKD[Phân bổ đến] &gt; K$2))
),
0)</f>
        <v>0</v>
      </c>
      <c r="L28" s="330" cm="1">
        <f t="array" ref="L28">-IFERROR(
SUM(
_xlfn._xlws.FILTER(Table_ChiPhiKD[Giá trị],
(NOT(ISBLANK(Table_ChiPhiKD[Tháng])))*
(Table_ChiPhiKD[Nhóm chi phí] = "Thuế, phí &amp; lệ phí trả NSNN") *
(Table_ChiPhiKD[Kỳ] = L$2)
)),
0)
- IFERROR(
SUMPRODUCT(
_xlfn._xlws.FILTER(Table_ChiPhiKD[Giá trị],
(ISBLANK(Table_ChiPhiKD[Tháng])) *
(Table_ChiPhiKD[Nhóm chi phí] = "Thuế, phí &amp; lệ phí trả NSNN") *
(Table_ChiPhiKD[Phân bổ từ] &lt; DATE(YEAR(L$2),MONTH(L$2)+1,1))*
(Table_ChiPhiKD[Phân bổ đến] &gt; L$2)
),
1/_xlfn._xlws.FILTER(
ROUND(
(Table_ChiPhiKD[Phân bổ đến]-Table_ChiPhiKD[Phân bổ từ])
/(365.25/12),
0),
(ISBLANK(Table_ChiPhiKD[Tháng])) *
(Table_ChiPhiKD[Nhóm chi phí] = "Thuế, phí &amp; lệ phí trả NSNN") *
(Table_ChiPhiKD[Phân bổ từ] &lt; DATE(YEAR(L$2),MONTH(L$2)+1,1))*
(Table_ChiPhiKD[Phân bổ đến] &gt; L$2))
),
0)</f>
        <v>0</v>
      </c>
      <c r="M28" s="330" cm="1">
        <f t="array" ref="M28">-IFERROR(
SUM(
_xlfn._xlws.FILTER(Table_ChiPhiKD[Giá trị],
(NOT(ISBLANK(Table_ChiPhiKD[Tháng])))*
(Table_ChiPhiKD[Nhóm chi phí] = "Thuế, phí &amp; lệ phí trả NSNN") *
(Table_ChiPhiKD[Kỳ] = M$2)
)),
0)
- IFERROR(
SUMPRODUCT(
_xlfn._xlws.FILTER(Table_ChiPhiKD[Giá trị],
(ISBLANK(Table_ChiPhiKD[Tháng])) *
(Table_ChiPhiKD[Nhóm chi phí] = "Thuế, phí &amp; lệ phí trả NSNN") *
(Table_ChiPhiKD[Phân bổ từ] &lt; DATE(YEAR(M$2),MONTH(M$2)+1,1))*
(Table_ChiPhiKD[Phân bổ đến] &gt; M$2)
),
1/_xlfn._xlws.FILTER(
ROUND(
(Table_ChiPhiKD[Phân bổ đến]-Table_ChiPhiKD[Phân bổ từ])
/(365.25/12),
0),
(ISBLANK(Table_ChiPhiKD[Tháng])) *
(Table_ChiPhiKD[Nhóm chi phí] = "Thuế, phí &amp; lệ phí trả NSNN") *
(Table_ChiPhiKD[Phân bổ từ] &lt; DATE(YEAR(M$2),MONTH(M$2)+1,1))*
(Table_ChiPhiKD[Phân bổ đến] &gt; M$2))
),
0)</f>
        <v>0</v>
      </c>
      <c r="N28" s="330" cm="1">
        <f t="array" ref="N28">-IFERROR(
SUM(
_xlfn._xlws.FILTER(Table_ChiPhiKD[Giá trị],
(NOT(ISBLANK(Table_ChiPhiKD[Tháng])))*
(Table_ChiPhiKD[Nhóm chi phí] = "Thuế, phí &amp; lệ phí trả NSNN") *
(Table_ChiPhiKD[Kỳ] = N$2)
)),
0)
- IFERROR(
SUMPRODUCT(
_xlfn._xlws.FILTER(Table_ChiPhiKD[Giá trị],
(ISBLANK(Table_ChiPhiKD[Tháng])) *
(Table_ChiPhiKD[Nhóm chi phí] = "Thuế, phí &amp; lệ phí trả NSNN") *
(Table_ChiPhiKD[Phân bổ từ] &lt; DATE(YEAR(N$2),MONTH(N$2)+1,1))*
(Table_ChiPhiKD[Phân bổ đến] &gt; N$2)
),
1/_xlfn._xlws.FILTER(
ROUND(
(Table_ChiPhiKD[Phân bổ đến]-Table_ChiPhiKD[Phân bổ từ])
/(365.25/12),
0),
(ISBLANK(Table_ChiPhiKD[Tháng])) *
(Table_ChiPhiKD[Nhóm chi phí] = "Thuế, phí &amp; lệ phí trả NSNN") *
(Table_ChiPhiKD[Phân bổ từ] &lt; DATE(YEAR(N$2),MONTH(N$2)+1,1))*
(Table_ChiPhiKD[Phân bổ đến] &gt; N$2))
),
0)</f>
        <v>0</v>
      </c>
      <c r="O28" s="330" cm="1">
        <f t="array" ref="O28">-IFERROR(
SUM(
_xlfn._xlws.FILTER(Table_ChiPhiKD[Giá trị],
(NOT(ISBLANK(Table_ChiPhiKD[Tháng])))*
(Table_ChiPhiKD[Nhóm chi phí] = "Thuế, phí &amp; lệ phí trả NSNN") *
(Table_ChiPhiKD[Kỳ] = O$2)
)),
0)
- IFERROR(
SUMPRODUCT(
_xlfn._xlws.FILTER(Table_ChiPhiKD[Giá trị],
(ISBLANK(Table_ChiPhiKD[Tháng])) *
(Table_ChiPhiKD[Nhóm chi phí] = "Thuế, phí &amp; lệ phí trả NSNN") *
(Table_ChiPhiKD[Phân bổ từ] &lt; DATE(YEAR(O$2),MONTH(O$2)+1,1))*
(Table_ChiPhiKD[Phân bổ đến] &gt; O$2)
),
1/_xlfn._xlws.FILTER(
ROUND(
(Table_ChiPhiKD[Phân bổ đến]-Table_ChiPhiKD[Phân bổ từ])
/(365.25/12),
0),
(ISBLANK(Table_ChiPhiKD[Tháng])) *
(Table_ChiPhiKD[Nhóm chi phí] = "Thuế, phí &amp; lệ phí trả NSNN") *
(Table_ChiPhiKD[Phân bổ từ] &lt; DATE(YEAR(O$2),MONTH(O$2)+1,1))*
(Table_ChiPhiKD[Phân bổ đến] &gt; O$2))
),
0)</f>
        <v>0</v>
      </c>
      <c r="P28" s="323"/>
      <c r="Q28" s="240"/>
      <c r="R28" s="73" t="s">
        <v>299</v>
      </c>
      <c r="S28" s="328" cm="1">
        <f t="array" ref="S28" xml:space="preserve">
-IFERROR(
SUM(
_xlfn._xlws.FILTER(Table_ChiPhiKD[Giá trị],
(NOT(ISBLANK(Table_ChiPhiKD[Tháng])))*
(Table_ChiPhiKD[Nhóm chi phí] = "Thuế, phí &amp; lệ phí trả NSNN") *
(Table_ChiPhiKD[Năm] = S$1)
)),
0)
- IFERROR(
SUMPRODUCT(
_xlfn._xlws.FILTER(Table_ChiPhiKD[Giá trị],
(ISBLANK(Table_ChiPhiKD[Tháng])) *
(Table_ChiPhiKD[Nhóm chi phí] = "Thuế, phí &amp; lệ phí trả NSNN")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"Thuế, phí &amp; lệ phí trả NSNN") *
(Table_ChiPhiKD[Phân bổ từ] &lt; DATE(S$1+1,1,1))*
(Table_ChiPhiKD[Phân bổ đến] &gt; DATE(S$1,1,1))
),
1/_xlfn._xlws.FILTER(
ROUND(
(Table_ChiPhiKD[Phân bổ đến]-Table_ChiPhiKD[Phân bổ từ])
/(365.25/12),
0),
(ISBLANK(Table_ChiPhiKD[Tháng])) *
(Table_ChiPhiKD[Nhóm chi phí] = "Thuế, phí &amp; lệ phí trả NSNN") *
(Table_ChiPhiKD[Phân bổ từ] &lt; DATE(S$1+1,1,1))*
(Table_ChiPhiKD[Phân bổ đến] &gt; DATE(S$1,1,1))
)
),
0)</f>
        <v>0</v>
      </c>
      <c r="T28" s="240"/>
      <c r="U28" s="73" t="s">
        <v>299</v>
      </c>
      <c r="V28" s="330" cm="1">
        <f t="array" ref="V28">-IFERROR(
SUM(
_xlfn._xlws.FILTER(Table_ChiPhiKD[Giá trị],
(NOT(ISBLANK(Table_ChiPhiKD[Tháng])))*
(Table_ChiPhiKD[Nhóm chi phí] = "Thuế, phí &amp; lệ phí trả NSNN") *
(Table_ChiPhiKD[Kỳ] = V$1)
)),
0)
- IFERROR(
SUMPRODUCT(
_xlfn._xlws.FILTER(Table_ChiPhiKD[Giá trị],
(ISBLANK(Table_ChiPhiKD[Tháng])) *
(Table_ChiPhiKD[Nhóm chi phí] = "Thuế, phí &amp; lệ phí trả NSNN") *
(Table_ChiPhiKD[Phân bổ từ] &lt; DATE(YEAR(V$1),MONTH(V$1)+1,1))*
(Table_ChiPhiKD[Phân bổ đến] &gt; V$1)
),
1/_xlfn._xlws.FILTER(
ROUND(
(Table_ChiPhiKD[Phân bổ đến]-Table_ChiPhiKD[Phân bổ từ])
/(365.25/12),
0),
(ISBLANK(Table_ChiPhiKD[Tháng])) *
(Table_ChiPhiKD[Nhóm chi phí] = "Thuế, phí &amp; lệ phí trả NSNN") *
(Table_ChiPhiKD[Phân bổ từ] &lt; DATE(YEAR(V$1),MONTH(V$1)+1,1))*
(Table_ChiPhiKD[Phân bổ đến] &gt; V$1))
),
0)</f>
        <v>0</v>
      </c>
    </row>
    <row r="29" spans="2:22" ht="18" customHeight="1" outlineLevel="2" x14ac:dyDescent="0.3">
      <c r="B29" s="73" t="s">
        <v>298</v>
      </c>
      <c r="C29" s="328" cm="1">
        <f t="array" ref="C29" xml:space="preserve">
-IFERROR(
SUM(
_xlfn._xlws.FILTER(Table_ChiPhiKD[Giá trị],
(NOT(ISBLANK(Table_ChiPhiKD[Tháng])))*
(RIGHT(Table_ChiPhiKD[Nhóm chi phí],4) = "khác") *
(Table_ChiPhiKD[Năm] = C$2)
)),
0)
- IFERROR(
SUMPRODUCT(
_xlfn._xlws.FILTER(Table_ChiPhiKD[Giá trị],
(ISBLANK(Table_ChiPhiKD[Tháng])) *
(RIGHT(Table_ChiPhiKD[Nhóm chi phí],4) = "khác")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(RIGHT(Table_ChiPhiKD[Nhóm chi phí],4) = "khác") *
(Table_ChiPhiKD[Phân bổ từ] &lt; DATE(C$2+1,1,1))*
(Table_ChiPhiKD[Phân bổ đến] &gt; DATE(C$2,1,1))
),
1/_xlfn._xlws.FILTER(
ROUND(
(Table_ChiPhiKD[Phân bổ đến]-Table_ChiPhiKD[Phân bổ từ])
/(365.25/12),
0),
(ISBLANK(Table_ChiPhiKD[Tháng])) *
(RIGHT(Table_ChiPhiKD[Nhóm chi phí],4) = "khác") *
(Table_ChiPhiKD[Phân bổ từ] &lt; DATE(C$2+1,1,1))*
(Table_ChiPhiKD[Phân bổ đến] &gt; DATE(C$2,1,1))
)
),
0)</f>
        <v>0</v>
      </c>
      <c r="D29" s="328" cm="1">
        <f t="array" ref="D29">-IFERROR(
SUM(
_xlfn._xlws.FILTER(Table_ChiPhiKD[Giá trị],
(NOT(ISBLANK(Table_ChiPhiKD[Tháng])))*
(RIGHT(Table_ChiPhiKD[Nhóm chi phí],4) = "khác") *
(Table_ChiPhiKD[Kỳ] = D$2)
)),
0)
- IFERROR(
SUMPRODUCT(
_xlfn._xlws.FILTER(Table_ChiPhiKD[Giá trị],
(ISBLANK(Table_ChiPhiKD[Tháng])) *
(RIGHT(Table_ChiPhiKD[Nhóm chi phí],4) = "khác") *
(Table_ChiPhiKD[Phân bổ từ] &lt; DATE(YEAR(D$2),MONTH(D$2)+1,1))*
(Table_ChiPhiKD[Phân bổ đến] &gt; D$2)
),
1/_xlfn._xlws.FILTER(
ROUND(
(Table_ChiPhiKD[Phân bổ đến]-Table_ChiPhiKD[Phân bổ từ])
/(365.25/12),
0),
(ISBLANK(Table_ChiPhiKD[Tháng])) *
(RIGHT(Table_ChiPhiKD[Nhóm chi phí],4) = "khác") *
(Table_ChiPhiKD[Phân bổ từ] &lt; DATE(YEAR(D$2),MONTH(D$2)+1,1))*
(Table_ChiPhiKD[Phân bổ đến] &gt; D$2))
),
0)</f>
        <v>0</v>
      </c>
      <c r="E29" s="328" cm="1">
        <f t="array" ref="E29">-IFERROR(
SUM(
_xlfn._xlws.FILTER(Table_ChiPhiKD[Giá trị],
(NOT(ISBLANK(Table_ChiPhiKD[Tháng])))*
(RIGHT(Table_ChiPhiKD[Nhóm chi phí],4) = "khác") *
(Table_ChiPhiKD[Kỳ] = E$2)
)),
0)
- IFERROR(
SUMPRODUCT(
_xlfn._xlws.FILTER(Table_ChiPhiKD[Giá trị],
(ISBLANK(Table_ChiPhiKD[Tháng])) *
(RIGHT(Table_ChiPhiKD[Nhóm chi phí],4) = "khác") *
(Table_ChiPhiKD[Phân bổ từ] &lt; DATE(YEAR(E$2),MONTH(E$2)+1,1))*
(Table_ChiPhiKD[Phân bổ đến] &gt; E$2)
),
1/_xlfn._xlws.FILTER(
ROUND(
(Table_ChiPhiKD[Phân bổ đến]-Table_ChiPhiKD[Phân bổ từ])
/(365.25/12),
0),
(ISBLANK(Table_ChiPhiKD[Tháng])) *
(RIGHT(Table_ChiPhiKD[Nhóm chi phí],4) = "khác") *
(Table_ChiPhiKD[Phân bổ từ] &lt; DATE(YEAR(E$2),MONTH(E$2)+1,1))*
(Table_ChiPhiKD[Phân bổ đến] &gt; E$2))
),
0)</f>
        <v>0</v>
      </c>
      <c r="F29" s="328" cm="1">
        <f t="array" ref="F29">-IFERROR(
SUM(
_xlfn._xlws.FILTER(Table_ChiPhiKD[Giá trị],
(NOT(ISBLANK(Table_ChiPhiKD[Tháng])))*
(RIGHT(Table_ChiPhiKD[Nhóm chi phí],4) = "khác") *
(Table_ChiPhiKD[Kỳ] = F$2)
)),
0)
- IFERROR(
SUMPRODUCT(
_xlfn._xlws.FILTER(Table_ChiPhiKD[Giá trị],
(ISBLANK(Table_ChiPhiKD[Tháng])) *
(RIGHT(Table_ChiPhiKD[Nhóm chi phí],4) = "khác") *
(Table_ChiPhiKD[Phân bổ từ] &lt; DATE(YEAR(F$2),MONTH(F$2)+1,1))*
(Table_ChiPhiKD[Phân bổ đến] &gt; F$2)
),
1/_xlfn._xlws.FILTER(
ROUND(
(Table_ChiPhiKD[Phân bổ đến]-Table_ChiPhiKD[Phân bổ từ])
/(365.25/12),
0),
(ISBLANK(Table_ChiPhiKD[Tháng])) *
(RIGHT(Table_ChiPhiKD[Nhóm chi phí],4) = "khác") *
(Table_ChiPhiKD[Phân bổ từ] &lt; DATE(YEAR(F$2),MONTH(F$2)+1,1))*
(Table_ChiPhiKD[Phân bổ đến] &gt; F$2))
),
0)</f>
        <v>0</v>
      </c>
      <c r="G29" s="328" cm="1">
        <f t="array" ref="G29">-IFERROR(
SUM(
_xlfn._xlws.FILTER(Table_ChiPhiKD[Giá trị],
(NOT(ISBLANK(Table_ChiPhiKD[Tháng])))*
(RIGHT(Table_ChiPhiKD[Nhóm chi phí],4) = "khác") *
(Table_ChiPhiKD[Kỳ] = G$2)
)),
0)
- IFERROR(
SUMPRODUCT(
_xlfn._xlws.FILTER(Table_ChiPhiKD[Giá trị],
(ISBLANK(Table_ChiPhiKD[Tháng])) *
(RIGHT(Table_ChiPhiKD[Nhóm chi phí],4) = "khác") *
(Table_ChiPhiKD[Phân bổ từ] &lt; DATE(YEAR(G$2),MONTH(G$2)+1,1))*
(Table_ChiPhiKD[Phân bổ đến] &gt; G$2)
),
1/_xlfn._xlws.FILTER(
ROUND(
(Table_ChiPhiKD[Phân bổ đến]-Table_ChiPhiKD[Phân bổ từ])
/(365.25/12),
0),
(ISBLANK(Table_ChiPhiKD[Tháng])) *
(RIGHT(Table_ChiPhiKD[Nhóm chi phí],4) = "khác") *
(Table_ChiPhiKD[Phân bổ từ] &lt; DATE(YEAR(G$2),MONTH(G$2)+1,1))*
(Table_ChiPhiKD[Phân bổ đến] &gt; G$2))
),
0)</f>
        <v>0</v>
      </c>
      <c r="H29" s="328" cm="1">
        <f t="array" ref="H29">-IFERROR(
SUM(
_xlfn._xlws.FILTER(Table_ChiPhiKD[Giá trị],
(NOT(ISBLANK(Table_ChiPhiKD[Tháng])))*
(RIGHT(Table_ChiPhiKD[Nhóm chi phí],4) = "khác") *
(Table_ChiPhiKD[Kỳ] = H$2)
)),
0)
- IFERROR(
SUMPRODUCT(
_xlfn._xlws.FILTER(Table_ChiPhiKD[Giá trị],
(ISBLANK(Table_ChiPhiKD[Tháng])) *
(RIGHT(Table_ChiPhiKD[Nhóm chi phí],4) = "khác") *
(Table_ChiPhiKD[Phân bổ từ] &lt; DATE(YEAR(H$2),MONTH(H$2)+1,1))*
(Table_ChiPhiKD[Phân bổ đến] &gt; H$2)
),
1/_xlfn._xlws.FILTER(
ROUND(
(Table_ChiPhiKD[Phân bổ đến]-Table_ChiPhiKD[Phân bổ từ])
/(365.25/12),
0),
(ISBLANK(Table_ChiPhiKD[Tháng])) *
(RIGHT(Table_ChiPhiKD[Nhóm chi phí],4) = "khác") *
(Table_ChiPhiKD[Phân bổ từ] &lt; DATE(YEAR(H$2),MONTH(H$2)+1,1))*
(Table_ChiPhiKD[Phân bổ đến] &gt; H$2))
),
0)</f>
        <v>0</v>
      </c>
      <c r="I29" s="328" cm="1">
        <f t="array" ref="I29">-IFERROR(
SUM(
_xlfn._xlws.FILTER(Table_ChiPhiKD[Giá trị],
(NOT(ISBLANK(Table_ChiPhiKD[Tháng])))*
(RIGHT(Table_ChiPhiKD[Nhóm chi phí],4) = "khác") *
(Table_ChiPhiKD[Kỳ] = I$2)
)),
0)
- IFERROR(
SUMPRODUCT(
_xlfn._xlws.FILTER(Table_ChiPhiKD[Giá trị],
(ISBLANK(Table_ChiPhiKD[Tháng])) *
(RIGHT(Table_ChiPhiKD[Nhóm chi phí],4) = "khác") *
(Table_ChiPhiKD[Phân bổ từ] &lt; DATE(YEAR(I$2),MONTH(I$2)+1,1))*
(Table_ChiPhiKD[Phân bổ đến] &gt; I$2)
),
1/_xlfn._xlws.FILTER(
ROUND(
(Table_ChiPhiKD[Phân bổ đến]-Table_ChiPhiKD[Phân bổ từ])
/(365.25/12),
0),
(ISBLANK(Table_ChiPhiKD[Tháng])) *
(RIGHT(Table_ChiPhiKD[Nhóm chi phí],4) = "khác") *
(Table_ChiPhiKD[Phân bổ từ] &lt; DATE(YEAR(I$2),MONTH(I$2)+1,1))*
(Table_ChiPhiKD[Phân bổ đến] &gt; I$2))
),
0)</f>
        <v>0</v>
      </c>
      <c r="J29" s="328" cm="1">
        <f t="array" ref="J29">-IFERROR(
SUM(
_xlfn._xlws.FILTER(Table_ChiPhiKD[Giá trị],
(NOT(ISBLANK(Table_ChiPhiKD[Tháng])))*
(RIGHT(Table_ChiPhiKD[Nhóm chi phí],4) = "khác") *
(Table_ChiPhiKD[Kỳ] = J$2)
)),
0)
- IFERROR(
SUMPRODUCT(
_xlfn._xlws.FILTER(Table_ChiPhiKD[Giá trị],
(ISBLANK(Table_ChiPhiKD[Tháng])) *
(RIGHT(Table_ChiPhiKD[Nhóm chi phí],4) = "khác") *
(Table_ChiPhiKD[Phân bổ từ] &lt; DATE(YEAR(J$2),MONTH(J$2)+1,1))*
(Table_ChiPhiKD[Phân bổ đến] &gt; J$2)
),
1/_xlfn._xlws.FILTER(
ROUND(
(Table_ChiPhiKD[Phân bổ đến]-Table_ChiPhiKD[Phân bổ từ])
/(365.25/12),
0),
(ISBLANK(Table_ChiPhiKD[Tháng])) *
(RIGHT(Table_ChiPhiKD[Nhóm chi phí],4) = "khác") *
(Table_ChiPhiKD[Phân bổ từ] &lt; DATE(YEAR(J$2),MONTH(J$2)+1,1))*
(Table_ChiPhiKD[Phân bổ đến] &gt; J$2))
),
0)</f>
        <v>0</v>
      </c>
      <c r="K29" s="328" cm="1">
        <f t="array" ref="K29">-IFERROR(
SUM(
_xlfn._xlws.FILTER(Table_ChiPhiKD[Giá trị],
(NOT(ISBLANK(Table_ChiPhiKD[Tháng])))*
(RIGHT(Table_ChiPhiKD[Nhóm chi phí],4) = "khác") *
(Table_ChiPhiKD[Kỳ] = K$2)
)),
0)
- IFERROR(
SUMPRODUCT(
_xlfn._xlws.FILTER(Table_ChiPhiKD[Giá trị],
(ISBLANK(Table_ChiPhiKD[Tháng])) *
(RIGHT(Table_ChiPhiKD[Nhóm chi phí],4) = "khác") *
(Table_ChiPhiKD[Phân bổ từ] &lt; DATE(YEAR(K$2),MONTH(K$2)+1,1))*
(Table_ChiPhiKD[Phân bổ đến] &gt; K$2)
),
1/_xlfn._xlws.FILTER(
ROUND(
(Table_ChiPhiKD[Phân bổ đến]-Table_ChiPhiKD[Phân bổ từ])
/(365.25/12),
0),
(ISBLANK(Table_ChiPhiKD[Tháng])) *
(RIGHT(Table_ChiPhiKD[Nhóm chi phí],4) = "khác") *
(Table_ChiPhiKD[Phân bổ từ] &lt; DATE(YEAR(K$2),MONTH(K$2)+1,1))*
(Table_ChiPhiKD[Phân bổ đến] &gt; K$2))
),
0)</f>
        <v>0</v>
      </c>
      <c r="L29" s="328" cm="1">
        <f t="array" ref="L29">-IFERROR(
SUM(
_xlfn._xlws.FILTER(Table_ChiPhiKD[Giá trị],
(NOT(ISBLANK(Table_ChiPhiKD[Tháng])))*
(RIGHT(Table_ChiPhiKD[Nhóm chi phí],4) = "khác") *
(Table_ChiPhiKD[Kỳ] = L$2)
)),
0)
- IFERROR(
SUMPRODUCT(
_xlfn._xlws.FILTER(Table_ChiPhiKD[Giá trị],
(ISBLANK(Table_ChiPhiKD[Tháng])) *
(RIGHT(Table_ChiPhiKD[Nhóm chi phí],4) = "khác") *
(Table_ChiPhiKD[Phân bổ từ] &lt; DATE(YEAR(L$2),MONTH(L$2)+1,1))*
(Table_ChiPhiKD[Phân bổ đến] &gt; L$2)
),
1/_xlfn._xlws.FILTER(
ROUND(
(Table_ChiPhiKD[Phân bổ đến]-Table_ChiPhiKD[Phân bổ từ])
/(365.25/12),
0),
(ISBLANK(Table_ChiPhiKD[Tháng])) *
(RIGHT(Table_ChiPhiKD[Nhóm chi phí],4) = "khác") *
(Table_ChiPhiKD[Phân bổ từ] &lt; DATE(YEAR(L$2),MONTH(L$2)+1,1))*
(Table_ChiPhiKD[Phân bổ đến] &gt; L$2))
),
0)</f>
        <v>0</v>
      </c>
      <c r="M29" s="328" cm="1">
        <f t="array" ref="M29">-IFERROR(
SUM(
_xlfn._xlws.FILTER(Table_ChiPhiKD[Giá trị],
(NOT(ISBLANK(Table_ChiPhiKD[Tháng])))*
(RIGHT(Table_ChiPhiKD[Nhóm chi phí],4) = "khác") *
(Table_ChiPhiKD[Kỳ] = M$2)
)),
0)
- IFERROR(
SUMPRODUCT(
_xlfn._xlws.FILTER(Table_ChiPhiKD[Giá trị],
(ISBLANK(Table_ChiPhiKD[Tháng])) *
(RIGHT(Table_ChiPhiKD[Nhóm chi phí],4) = "khác") *
(Table_ChiPhiKD[Phân bổ từ] &lt; DATE(YEAR(M$2),MONTH(M$2)+1,1))*
(Table_ChiPhiKD[Phân bổ đến] &gt; M$2)
),
1/_xlfn._xlws.FILTER(
ROUND(
(Table_ChiPhiKD[Phân bổ đến]-Table_ChiPhiKD[Phân bổ từ])
/(365.25/12),
0),
(ISBLANK(Table_ChiPhiKD[Tháng])) *
(RIGHT(Table_ChiPhiKD[Nhóm chi phí],4) = "khác") *
(Table_ChiPhiKD[Phân bổ từ] &lt; DATE(YEAR(M$2),MONTH(M$2)+1,1))*
(Table_ChiPhiKD[Phân bổ đến] &gt; M$2))
),
0)</f>
        <v>0</v>
      </c>
      <c r="N29" s="328" cm="1">
        <f t="array" ref="N29">-IFERROR(
SUM(
_xlfn._xlws.FILTER(Table_ChiPhiKD[Giá trị],
(NOT(ISBLANK(Table_ChiPhiKD[Tháng])))*
(RIGHT(Table_ChiPhiKD[Nhóm chi phí],4) = "khác") *
(Table_ChiPhiKD[Kỳ] = N$2)
)),
0)
- IFERROR(
SUMPRODUCT(
_xlfn._xlws.FILTER(Table_ChiPhiKD[Giá trị],
(ISBLANK(Table_ChiPhiKD[Tháng])) *
(RIGHT(Table_ChiPhiKD[Nhóm chi phí],4) = "khác") *
(Table_ChiPhiKD[Phân bổ từ] &lt; DATE(YEAR(N$2),MONTH(N$2)+1,1))*
(Table_ChiPhiKD[Phân bổ đến] &gt; N$2)
),
1/_xlfn._xlws.FILTER(
ROUND(
(Table_ChiPhiKD[Phân bổ đến]-Table_ChiPhiKD[Phân bổ từ])
/(365.25/12),
0),
(ISBLANK(Table_ChiPhiKD[Tháng])) *
(RIGHT(Table_ChiPhiKD[Nhóm chi phí],4) = "khác") *
(Table_ChiPhiKD[Phân bổ từ] &lt; DATE(YEAR(N$2),MONTH(N$2)+1,1))*
(Table_ChiPhiKD[Phân bổ đến] &gt; N$2))
),
0)</f>
        <v>0</v>
      </c>
      <c r="O29" s="328" cm="1">
        <f t="array" ref="O29">-IFERROR(
SUM(
_xlfn._xlws.FILTER(Table_ChiPhiKD[Giá trị],
(NOT(ISBLANK(Table_ChiPhiKD[Tháng])))*
(RIGHT(Table_ChiPhiKD[Nhóm chi phí],4) = "khác") *
(Table_ChiPhiKD[Kỳ] = O$2)
)),
0)
- IFERROR(
SUMPRODUCT(
_xlfn._xlws.FILTER(Table_ChiPhiKD[Giá trị],
(ISBLANK(Table_ChiPhiKD[Tháng])) *
(RIGHT(Table_ChiPhiKD[Nhóm chi phí],4) = "khác") *
(Table_ChiPhiKD[Phân bổ từ] &lt; DATE(YEAR(O$2),MONTH(O$2)+1,1))*
(Table_ChiPhiKD[Phân bổ đến] &gt; O$2)
),
1/_xlfn._xlws.FILTER(
ROUND(
(Table_ChiPhiKD[Phân bổ đến]-Table_ChiPhiKD[Phân bổ từ])
/(365.25/12),
0),
(ISBLANK(Table_ChiPhiKD[Tháng])) *
(RIGHT(Table_ChiPhiKD[Nhóm chi phí],4) = "khác") *
(Table_ChiPhiKD[Phân bổ từ] &lt; DATE(YEAR(O$2),MONTH(O$2)+1,1))*
(Table_ChiPhiKD[Phân bổ đến] &gt; O$2))
),
0)</f>
        <v>0</v>
      </c>
      <c r="P29" s="323"/>
      <c r="Q29" s="240"/>
      <c r="R29" s="73" t="s">
        <v>298</v>
      </c>
      <c r="S29" s="328" cm="1">
        <f t="array" ref="S29" xml:space="preserve">
-IFERROR(
SUM(
_xlfn._xlws.FILTER(Table_ChiPhiKD[Giá trị],
(NOT(ISBLANK(Table_ChiPhiKD[Tháng])))*
(RIGHT(Table_ChiPhiKD[Nhóm chi phí],4) = "khác") *
(Table_ChiPhiKD[Năm] = S$1)
)),
0)
- IFERROR(
SUMPRODUCT(
_xlfn._xlws.FILTER(Table_ChiPhiKD[Giá trị],
(ISBLANK(Table_ChiPhiKD[Tháng])) *
(RIGHT(Table_ChiPhiKD[Nhóm chi phí],4) = "khác")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(RIGHT(Table_ChiPhiKD[Nhóm chi phí],4) = "khác") *
(Table_ChiPhiKD[Phân bổ từ] &lt; DATE(S$1+1,1,1))*
(Table_ChiPhiKD[Phân bổ đến] &gt; DATE(S$1,1,1))
),
1/_xlfn._xlws.FILTER(
ROUND(
(Table_ChiPhiKD[Phân bổ đến]-Table_ChiPhiKD[Phân bổ từ])
/(365.25/12),
0),
(ISBLANK(Table_ChiPhiKD[Tháng])) *
(RIGHT(Table_ChiPhiKD[Nhóm chi phí],4) = "khác") *
(Table_ChiPhiKD[Phân bổ từ] &lt; DATE(S$1+1,1,1))*
(Table_ChiPhiKD[Phân bổ đến] &gt; DATE(S$1,1,1))
)
),
0)</f>
        <v>0</v>
      </c>
      <c r="T29" s="240"/>
      <c r="U29" s="73" t="s">
        <v>298</v>
      </c>
      <c r="V29" s="328" cm="1">
        <f t="array" ref="V29">-IFERROR(
SUM(
_xlfn._xlws.FILTER(Table_ChiPhiKD[Giá trị],
(NOT(ISBLANK(Table_ChiPhiKD[Tháng])))*
(RIGHT(Table_ChiPhiKD[Nhóm chi phí],4) = "khác") *
(Table_ChiPhiKD[Kỳ] = V$1)
)),
0)
- IFERROR(
SUMPRODUCT(
_xlfn._xlws.FILTER(Table_ChiPhiKD[Giá trị],
(ISBLANK(Table_ChiPhiKD[Tháng])) *
(RIGHT(Table_ChiPhiKD[Nhóm chi phí],4) = "khác") *
(Table_ChiPhiKD[Phân bổ từ] &lt; DATE(YEAR(V$1),MONTH(V$1)+1,1))*
(Table_ChiPhiKD[Phân bổ đến] &gt; V$1)
),
1/_xlfn._xlws.FILTER(
ROUND(
(Table_ChiPhiKD[Phân bổ đến]-Table_ChiPhiKD[Phân bổ từ])
/(365.25/12),
0),
(ISBLANK(Table_ChiPhiKD[Tháng])) *
(RIGHT(Table_ChiPhiKD[Nhóm chi phí],4) = "khác") *
(Table_ChiPhiKD[Phân bổ từ] &lt; DATE(YEAR(V$1),MONTH(V$1)+1,1))*
(Table_ChiPhiKD[Phân bổ đến] &gt; V$1))
),
0)</f>
        <v>0</v>
      </c>
    </row>
    <row r="30" spans="2:22" ht="18" customHeight="1" outlineLevel="1" x14ac:dyDescent="0.3">
      <c r="B30" s="87" t="s">
        <v>300</v>
      </c>
      <c r="C30" s="331">
        <f t="shared" ref="C30:O30" si="9">+C18+C20</f>
        <v>0</v>
      </c>
      <c r="D30" s="331">
        <f t="shared" si="9"/>
        <v>0</v>
      </c>
      <c r="E30" s="331">
        <f t="shared" si="9"/>
        <v>0</v>
      </c>
      <c r="F30" s="331">
        <f t="shared" si="9"/>
        <v>0</v>
      </c>
      <c r="G30" s="331">
        <f t="shared" si="9"/>
        <v>0</v>
      </c>
      <c r="H30" s="331">
        <f t="shared" si="9"/>
        <v>0</v>
      </c>
      <c r="I30" s="331">
        <f t="shared" si="9"/>
        <v>0</v>
      </c>
      <c r="J30" s="331">
        <f t="shared" si="9"/>
        <v>0</v>
      </c>
      <c r="K30" s="331">
        <f t="shared" si="9"/>
        <v>0</v>
      </c>
      <c r="L30" s="331">
        <f t="shared" si="9"/>
        <v>0</v>
      </c>
      <c r="M30" s="331">
        <f t="shared" si="9"/>
        <v>0</v>
      </c>
      <c r="N30" s="331">
        <f t="shared" si="9"/>
        <v>0</v>
      </c>
      <c r="O30" s="331">
        <f t="shared" si="9"/>
        <v>0</v>
      </c>
      <c r="P30" s="323"/>
      <c r="Q30" s="240"/>
      <c r="R30" s="87" t="s">
        <v>300</v>
      </c>
      <c r="S30" s="104">
        <f>+S18+S20</f>
        <v>0</v>
      </c>
      <c r="T30" s="240"/>
      <c r="U30" s="87" t="s">
        <v>300</v>
      </c>
      <c r="V30" s="104">
        <f>+V18+V20</f>
        <v>0</v>
      </c>
    </row>
    <row r="31" spans="2:22" ht="18" customHeight="1" outlineLevel="1" x14ac:dyDescent="0.3">
      <c r="B31" s="87" t="s">
        <v>301</v>
      </c>
      <c r="C31" s="128">
        <f>C30/(-(C12+C13+C21+C22+C23+C24+C25+C27+C28+C29) +
(
+ IFERROR(HLOOKUP(C$2,Table_BCTC_Nam[],Sheet_BaoCaoTaiChinh!$A$92,0),Sheet_BaoCaoTaiChinh!$D$92)
+ IFERROR(HLOOKUP(C$2,Table_BCTC_Nam[],Sheet_BaoCaoTaiChinh!$A$83,0),Sheet_BaoCaoTaiChinh!$D$83)
+ IFERROR(HLOOKUP(C$2,Table_BCTC_Nam[],Sheet_BaoCaoTaiChinh!$A$77,0),Sheet_BaoCaoTaiChinh!$D$77)
+ IFERROR(HLOOKUP(C$2,Table_BCTC_Nam[],Sheet_BaoCaoTaiChinh!$A$78,0),Sheet_BaoCaoTaiChinh!$D$78)
+ IFERROR(HLOOKUP(C$2,Table_BCTC_Nam[],Sheet_BaoCaoTaiChinh!$A$79,0),Sheet_BaoCaoTaiChinh!$D$79)
+ IFERROR(HLOOKUP(C$2,Table_BCTC_Nam[],Sheet_BaoCaoTaiChinh!$A$88,0),Sheet_BaoCaoTaiChinh!$D$88)
+ IFERROR(HLOOKUP(C$2,Table_BCTC_Nam[],Sheet_BaoCaoTaiChinh!$A$89,0),Sheet_BaoCaoTaiChinh!$D$89)
+ IFERROR(HLOOKUP(C$2,Table_BCTC_Nam[],Sheet_BaoCaoTaiChinh!$A$90,0),Sheet_BaoCaoTaiChinh!$D$90)
+ IFERROR(HLOOKUP(C$2-1,Table_BCTC_Nam[],Sheet_BaoCaoTaiChinh!$A$92,0),Sheet_BaoCaoTaiChinh!$D$92)
+ IFERROR(HLOOKUP(C$2-1,Table_BCTC_Nam[],Sheet_BaoCaoTaiChinh!$A$83,0),Sheet_BaoCaoTaiChinh!$D$83)
+ IFERROR(HLOOKUP(C$2-1,Table_BCTC_Nam[],Sheet_BaoCaoTaiChinh!$A$77,0),Sheet_BaoCaoTaiChinh!$D$77)
+ IFERROR(HLOOKUP(C$2-1,Table_BCTC_Nam[],Sheet_BaoCaoTaiChinh!$A$78,0),Sheet_BaoCaoTaiChinh!$D$78)
+ IFERROR(HLOOKUP(C$2-1,Table_BCTC_Nam[],Sheet_BaoCaoTaiChinh!$A$79,0),Sheet_BaoCaoTaiChinh!$D$79)
+ IFERROR(HLOOKUP(C$2-1,Table_BCTC_Nam[],Sheet_BaoCaoTaiChinh!$A$88,0),Sheet_BaoCaoTaiChinh!$D$88)
+ IFERROR(HLOOKUP(C$2-1,Table_BCTC_Nam[],Sheet_BaoCaoTaiChinh!$A$89,0),Sheet_BaoCaoTaiChinh!$D$89)
+ IFERROR(HLOOKUP(C$2-1,Table_BCTC_Nam[],Sheet_BaoCaoTaiChinh!$A$90,0),Sheet_BaoCaoTaiChinh!$D$90)
)/2)</f>
        <v>0</v>
      </c>
      <c r="D31" s="128">
        <f>D30/(-(D12+D13+D21+D22+D23+D24+D25+D27+D28+D29)+
((
+ IFERROR(HLOOKUP(D$2,Table_BCTC_Thang[],Sheet_BaoCaoTaiChinh!$A$92,0),Sheet_BaoCaoTaiChinh!$D$92)
+ IFERROR(HLOOKUP(D$2,Table_BCTC_Thang[],Sheet_BaoCaoTaiChinh!$A$83,0),Sheet_BaoCaoTaiChinh!$D$83)
+ IFERROR(HLOOKUP(D$2,Table_BCTC_Thang[],Sheet_BaoCaoTaiChinh!$A$77,0),Sheet_BaoCaoTaiChinh!$D$77)
+ IFERROR(HLOOKUP(D$2,Table_BCTC_Thang[],Sheet_BaoCaoTaiChinh!$A$78,0),Sheet_BaoCaoTaiChinh!$D$78)
+ IFERROR(HLOOKUP(D$2,Table_BCTC_Thang[],Sheet_BaoCaoTaiChinh!$A$79,0),Sheet_BaoCaoTaiChinh!$D$79)
+ IFERROR(HLOOKUP(D$2,Table_BCTC_Thang[],Sheet_BaoCaoTaiChinh!$A$88,0),Sheet_BaoCaoTaiChinh!$D$88)
+ IFERROR(HLOOKUP(D$2,Table_BCTC_Thang[],Sheet_BaoCaoTaiChinh!$A$89,0),Sheet_BaoCaoTaiChinh!$D$89)
+ IFERROR(HLOOKUP(D$2,Table_BCTC_Thang[],Sheet_BaoCaoTaiChinh!$A$90,0),Sheet_BaoCaoTaiChinh!$D$90)
+ IFERROR(HLOOKUP(DATE(YEAR(D$2),MONTH(D$2)-1,1),Table_BCTC_Thang[],Sheet_BaoCaoTaiChinh!$A$92,0),Sheet_BaoCaoTaiChinh!$D$92)
+ IFERROR(HLOOKUP(DATE(YEAR(D$2),MONTH(D$2)-1,1),Table_BCTC_Nam[],Sheet_BaoCaoTaiChinh!$A$83,0),Sheet_BaoCaoTaiChinh!$D$83)
+ IFERROR(HLOOKUP(DATE(YEAR(D$2),MONTH(D$2)-1,1),Table_BCTC_Nam[],Sheet_BaoCaoTaiChinh!$A$77,0),Sheet_BaoCaoTaiChinh!$D$77)
+ IFERROR(HLOOKUP(DATE(YEAR(D$2),MONTH(D$2)-1,1),Table_BCTC_Nam[],Sheet_BaoCaoTaiChinh!$A$78,0),Sheet_BaoCaoTaiChinh!$D$78)
+ IFERROR(HLOOKUP(DATE(YEAR(D$2),MONTH(D$2)-1,1),Table_BCTC_Nam[],Sheet_BaoCaoTaiChinh!$A$79,0),Sheet_BaoCaoTaiChinh!$D$79)
+ IFERROR(HLOOKUP(DATE(YEAR(D$2),MONTH(D$2)-1,1),Table_BCTC_Nam[],Sheet_BaoCaoTaiChinh!$A$88,0),Sheet_BaoCaoTaiChinh!$D$88)
+ IFERROR(HLOOKUP(DATE(YEAR(D$2),MONTH(D$2)-1,1),Table_BCTC_Nam[],Sheet_BaoCaoTaiChinh!$A$89,0),Sheet_BaoCaoTaiChinh!$D$89)
+ IFERROR(HLOOKUP(DATE(YEAR(D$2),MONTH(D$2)-1,1),Table_BCTC_Nam[],Sheet_BaoCaoTaiChinh!$A$90,0),Sheet_BaoCaoTaiChinh!$D$90)
)/2))</f>
        <v>0</v>
      </c>
      <c r="E31" s="128">
        <f>E30/(-(E12+E13+E21+E22+E23+E24+E25+E27+E28+E29)+
((
+ IFERROR(HLOOKUP(E$2,Table_BCTC_Thang[],Sheet_BaoCaoTaiChinh!$A$92,0),Sheet_BaoCaoTaiChinh!$D$92)
+ IFERROR(HLOOKUP(E$2,Table_BCTC_Thang[],Sheet_BaoCaoTaiChinh!$A$83,0),Sheet_BaoCaoTaiChinh!$D$83)
+ IFERROR(HLOOKUP(E$2,Table_BCTC_Thang[],Sheet_BaoCaoTaiChinh!$A$77,0),Sheet_BaoCaoTaiChinh!$D$77)
+ IFERROR(HLOOKUP(E$2,Table_BCTC_Thang[],Sheet_BaoCaoTaiChinh!$A$78,0),Sheet_BaoCaoTaiChinh!$D$78)
+ IFERROR(HLOOKUP(E$2,Table_BCTC_Thang[],Sheet_BaoCaoTaiChinh!$A$79,0),Sheet_BaoCaoTaiChinh!$D$79)
+ IFERROR(HLOOKUP(E$2,Table_BCTC_Thang[],Sheet_BaoCaoTaiChinh!$A$88,0),Sheet_BaoCaoTaiChinh!$D$88)
+ IFERROR(HLOOKUP(E$2,Table_BCTC_Thang[],Sheet_BaoCaoTaiChinh!$A$89,0),Sheet_BaoCaoTaiChinh!$D$89)
+ IFERROR(HLOOKUP(E$2,Table_BCTC_Thang[],Sheet_BaoCaoTaiChinh!$A$90,0),Sheet_BaoCaoTaiChinh!$D$90)
+ IFERROR(HLOOKUP(DATE(YEAR(E$2),MONTH(E$2)-1,1),Table_BCTC_Thang[],Sheet_BaoCaoTaiChinh!$A$92,0),Sheet_BaoCaoTaiChinh!$D$92)
+ IFERROR(HLOOKUP(DATE(YEAR(E$2),MONTH(E$2)-1,1),Table_BCTC_Nam[],Sheet_BaoCaoTaiChinh!$A$83,0),Sheet_BaoCaoTaiChinh!$D$83)
+ IFERROR(HLOOKUP(DATE(YEAR(E$2),MONTH(E$2)-1,1),Table_BCTC_Nam[],Sheet_BaoCaoTaiChinh!$A$77,0),Sheet_BaoCaoTaiChinh!$D$77)
+ IFERROR(HLOOKUP(DATE(YEAR(E$2),MONTH(E$2)-1,1),Table_BCTC_Nam[],Sheet_BaoCaoTaiChinh!$A$78,0),Sheet_BaoCaoTaiChinh!$D$78)
+ IFERROR(HLOOKUP(DATE(YEAR(E$2),MONTH(E$2)-1,1),Table_BCTC_Nam[],Sheet_BaoCaoTaiChinh!$A$79,0),Sheet_BaoCaoTaiChinh!$D$79)
+ IFERROR(HLOOKUP(DATE(YEAR(E$2),MONTH(E$2)-1,1),Table_BCTC_Nam[],Sheet_BaoCaoTaiChinh!$A$88,0),Sheet_BaoCaoTaiChinh!$D$88)
+ IFERROR(HLOOKUP(DATE(YEAR(E$2),MONTH(E$2)-1,1),Table_BCTC_Nam[],Sheet_BaoCaoTaiChinh!$A$89,0),Sheet_BaoCaoTaiChinh!$D$89)
+ IFERROR(HLOOKUP(DATE(YEAR(E$2),MONTH(E$2)-1,1),Table_BCTC_Nam[],Sheet_BaoCaoTaiChinh!$A$90,0),Sheet_BaoCaoTaiChinh!$D$90)
)/2))</f>
        <v>0</v>
      </c>
      <c r="F31" s="128">
        <f>F30/(-(F12+F13+F21+F22+F23+F24+F25+F27+F28+F29)+
((
+ IFERROR(HLOOKUP(F$2,Table_BCTC_Thang[],Sheet_BaoCaoTaiChinh!$A$92,0),Sheet_BaoCaoTaiChinh!$D$92)
+ IFERROR(HLOOKUP(F$2,Table_BCTC_Thang[],Sheet_BaoCaoTaiChinh!$A$83,0),Sheet_BaoCaoTaiChinh!$D$83)
+ IFERROR(HLOOKUP(F$2,Table_BCTC_Thang[],Sheet_BaoCaoTaiChinh!$A$77,0),Sheet_BaoCaoTaiChinh!$D$77)
+ IFERROR(HLOOKUP(F$2,Table_BCTC_Thang[],Sheet_BaoCaoTaiChinh!$A$78,0),Sheet_BaoCaoTaiChinh!$D$78)
+ IFERROR(HLOOKUP(F$2,Table_BCTC_Thang[],Sheet_BaoCaoTaiChinh!$A$79,0),Sheet_BaoCaoTaiChinh!$D$79)
+ IFERROR(HLOOKUP(F$2,Table_BCTC_Thang[],Sheet_BaoCaoTaiChinh!$A$88,0),Sheet_BaoCaoTaiChinh!$D$88)
+ IFERROR(HLOOKUP(F$2,Table_BCTC_Thang[],Sheet_BaoCaoTaiChinh!$A$89,0),Sheet_BaoCaoTaiChinh!$D$89)
+ IFERROR(HLOOKUP(F$2,Table_BCTC_Thang[],Sheet_BaoCaoTaiChinh!$A$90,0),Sheet_BaoCaoTaiChinh!$D$90)
+ IFERROR(HLOOKUP(DATE(YEAR(F$2),MONTH(F$2)-1,1),Table_BCTC_Thang[],Sheet_BaoCaoTaiChinh!$A$92,0),Sheet_BaoCaoTaiChinh!$D$92)
+ IFERROR(HLOOKUP(DATE(YEAR(F$2),MONTH(F$2)-1,1),Table_BCTC_Nam[],Sheet_BaoCaoTaiChinh!$A$83,0),Sheet_BaoCaoTaiChinh!$D$83)
+ IFERROR(HLOOKUP(DATE(YEAR(F$2),MONTH(F$2)-1,1),Table_BCTC_Nam[],Sheet_BaoCaoTaiChinh!$A$77,0),Sheet_BaoCaoTaiChinh!$D$77)
+ IFERROR(HLOOKUP(DATE(YEAR(F$2),MONTH(F$2)-1,1),Table_BCTC_Nam[],Sheet_BaoCaoTaiChinh!$A$78,0),Sheet_BaoCaoTaiChinh!$D$78)
+ IFERROR(HLOOKUP(DATE(YEAR(F$2),MONTH(F$2)-1,1),Table_BCTC_Nam[],Sheet_BaoCaoTaiChinh!$A$79,0),Sheet_BaoCaoTaiChinh!$D$79)
+ IFERROR(HLOOKUP(DATE(YEAR(F$2),MONTH(F$2)-1,1),Table_BCTC_Nam[],Sheet_BaoCaoTaiChinh!$A$88,0),Sheet_BaoCaoTaiChinh!$D$88)
+ IFERROR(HLOOKUP(DATE(YEAR(F$2),MONTH(F$2)-1,1),Table_BCTC_Nam[],Sheet_BaoCaoTaiChinh!$A$89,0),Sheet_BaoCaoTaiChinh!$D$89)
+ IFERROR(HLOOKUP(DATE(YEAR(F$2),MONTH(F$2)-1,1),Table_BCTC_Nam[],Sheet_BaoCaoTaiChinh!$A$90,0),Sheet_BaoCaoTaiChinh!$D$90)
)/2))</f>
        <v>0</v>
      </c>
      <c r="G31" s="128">
        <f>G30/(-(G12+G13+G21+G22+G23+G24+G25+G27+G28+G29)+
((
+ IFERROR(HLOOKUP(G$2,Table_BCTC_Thang[],Sheet_BaoCaoTaiChinh!$A$92,0),Sheet_BaoCaoTaiChinh!$D$92)
+ IFERROR(HLOOKUP(G$2,Table_BCTC_Thang[],Sheet_BaoCaoTaiChinh!$A$83,0),Sheet_BaoCaoTaiChinh!$D$83)
+ IFERROR(HLOOKUP(G$2,Table_BCTC_Thang[],Sheet_BaoCaoTaiChinh!$A$77,0),Sheet_BaoCaoTaiChinh!$D$77)
+ IFERROR(HLOOKUP(G$2,Table_BCTC_Thang[],Sheet_BaoCaoTaiChinh!$A$78,0),Sheet_BaoCaoTaiChinh!$D$78)
+ IFERROR(HLOOKUP(G$2,Table_BCTC_Thang[],Sheet_BaoCaoTaiChinh!$A$79,0),Sheet_BaoCaoTaiChinh!$D$79)
+ IFERROR(HLOOKUP(G$2,Table_BCTC_Thang[],Sheet_BaoCaoTaiChinh!$A$88,0),Sheet_BaoCaoTaiChinh!$D$88)
+ IFERROR(HLOOKUP(G$2,Table_BCTC_Thang[],Sheet_BaoCaoTaiChinh!$A$89,0),Sheet_BaoCaoTaiChinh!$D$89)
+ IFERROR(HLOOKUP(G$2,Table_BCTC_Thang[],Sheet_BaoCaoTaiChinh!$A$90,0),Sheet_BaoCaoTaiChinh!$D$90)
+ IFERROR(HLOOKUP(DATE(YEAR(G$2),MONTH(G$2)-1,1),Table_BCTC_Thang[],Sheet_BaoCaoTaiChinh!$A$92,0),Sheet_BaoCaoTaiChinh!$D$92)
+ IFERROR(HLOOKUP(DATE(YEAR(G$2),MONTH(G$2)-1,1),Table_BCTC_Nam[],Sheet_BaoCaoTaiChinh!$A$83,0),Sheet_BaoCaoTaiChinh!$D$83)
+ IFERROR(HLOOKUP(DATE(YEAR(G$2),MONTH(G$2)-1,1),Table_BCTC_Nam[],Sheet_BaoCaoTaiChinh!$A$77,0),Sheet_BaoCaoTaiChinh!$D$77)
+ IFERROR(HLOOKUP(DATE(YEAR(G$2),MONTH(G$2)-1,1),Table_BCTC_Nam[],Sheet_BaoCaoTaiChinh!$A$78,0),Sheet_BaoCaoTaiChinh!$D$78)
+ IFERROR(HLOOKUP(DATE(YEAR(G$2),MONTH(G$2)-1,1),Table_BCTC_Nam[],Sheet_BaoCaoTaiChinh!$A$79,0),Sheet_BaoCaoTaiChinh!$D$79)
+ IFERROR(HLOOKUP(DATE(YEAR(G$2),MONTH(G$2)-1,1),Table_BCTC_Nam[],Sheet_BaoCaoTaiChinh!$A$88,0),Sheet_BaoCaoTaiChinh!$D$88)
+ IFERROR(HLOOKUP(DATE(YEAR(G$2),MONTH(G$2)-1,1),Table_BCTC_Nam[],Sheet_BaoCaoTaiChinh!$A$89,0),Sheet_BaoCaoTaiChinh!$D$89)
+ IFERROR(HLOOKUP(DATE(YEAR(G$2),MONTH(G$2)-1,1),Table_BCTC_Nam[],Sheet_BaoCaoTaiChinh!$A$90,0),Sheet_BaoCaoTaiChinh!$D$90)
)/2))</f>
        <v>0</v>
      </c>
      <c r="H31" s="128">
        <f>H30/(-(H12+H13+H21+H22+H23+H24+H25+H27+H28+H29)+
((
+ IFERROR(HLOOKUP(H$2,Table_BCTC_Thang[],Sheet_BaoCaoTaiChinh!$A$92,0),Sheet_BaoCaoTaiChinh!$D$92)
+ IFERROR(HLOOKUP(H$2,Table_BCTC_Thang[],Sheet_BaoCaoTaiChinh!$A$83,0),Sheet_BaoCaoTaiChinh!$D$83)
+ IFERROR(HLOOKUP(H$2,Table_BCTC_Thang[],Sheet_BaoCaoTaiChinh!$A$77,0),Sheet_BaoCaoTaiChinh!$D$77)
+ IFERROR(HLOOKUP(H$2,Table_BCTC_Thang[],Sheet_BaoCaoTaiChinh!$A$78,0),Sheet_BaoCaoTaiChinh!$D$78)
+ IFERROR(HLOOKUP(H$2,Table_BCTC_Thang[],Sheet_BaoCaoTaiChinh!$A$79,0),Sheet_BaoCaoTaiChinh!$D$79)
+ IFERROR(HLOOKUP(H$2,Table_BCTC_Thang[],Sheet_BaoCaoTaiChinh!$A$88,0),Sheet_BaoCaoTaiChinh!$D$88)
+ IFERROR(HLOOKUP(H$2,Table_BCTC_Thang[],Sheet_BaoCaoTaiChinh!$A$89,0),Sheet_BaoCaoTaiChinh!$D$89)
+ IFERROR(HLOOKUP(H$2,Table_BCTC_Thang[],Sheet_BaoCaoTaiChinh!$A$90,0),Sheet_BaoCaoTaiChinh!$D$90)
+ IFERROR(HLOOKUP(DATE(YEAR(H$2),MONTH(H$2)-1,1),Table_BCTC_Thang[],Sheet_BaoCaoTaiChinh!$A$92,0),Sheet_BaoCaoTaiChinh!$D$92)
+ IFERROR(HLOOKUP(DATE(YEAR(H$2),MONTH(H$2)-1,1),Table_BCTC_Nam[],Sheet_BaoCaoTaiChinh!$A$83,0),Sheet_BaoCaoTaiChinh!$D$83)
+ IFERROR(HLOOKUP(DATE(YEAR(H$2),MONTH(H$2)-1,1),Table_BCTC_Nam[],Sheet_BaoCaoTaiChinh!$A$77,0),Sheet_BaoCaoTaiChinh!$D$77)
+ IFERROR(HLOOKUP(DATE(YEAR(H$2),MONTH(H$2)-1,1),Table_BCTC_Nam[],Sheet_BaoCaoTaiChinh!$A$78,0),Sheet_BaoCaoTaiChinh!$D$78)
+ IFERROR(HLOOKUP(DATE(YEAR(H$2),MONTH(H$2)-1,1),Table_BCTC_Nam[],Sheet_BaoCaoTaiChinh!$A$79,0),Sheet_BaoCaoTaiChinh!$D$79)
+ IFERROR(HLOOKUP(DATE(YEAR(H$2),MONTH(H$2)-1,1),Table_BCTC_Nam[],Sheet_BaoCaoTaiChinh!$A$88,0),Sheet_BaoCaoTaiChinh!$D$88)
+ IFERROR(HLOOKUP(DATE(YEAR(H$2),MONTH(H$2)-1,1),Table_BCTC_Nam[],Sheet_BaoCaoTaiChinh!$A$89,0),Sheet_BaoCaoTaiChinh!$D$89)
+ IFERROR(HLOOKUP(DATE(YEAR(H$2),MONTH(H$2)-1,1),Table_BCTC_Nam[],Sheet_BaoCaoTaiChinh!$A$90,0),Sheet_BaoCaoTaiChinh!$D$90)
)/2))</f>
        <v>0</v>
      </c>
      <c r="I31" s="128">
        <f>I30/(-(I12+I13+I21+I22+I23+I24+I25+I27+I28+I29)+
((
+ IFERROR(HLOOKUP(I$2,Table_BCTC_Thang[],Sheet_BaoCaoTaiChinh!$A$92,0),Sheet_BaoCaoTaiChinh!$D$92)
+ IFERROR(HLOOKUP(I$2,Table_BCTC_Thang[],Sheet_BaoCaoTaiChinh!$A$83,0),Sheet_BaoCaoTaiChinh!$D$83)
+ IFERROR(HLOOKUP(I$2,Table_BCTC_Thang[],Sheet_BaoCaoTaiChinh!$A$77,0),Sheet_BaoCaoTaiChinh!$D$77)
+ IFERROR(HLOOKUP(I$2,Table_BCTC_Thang[],Sheet_BaoCaoTaiChinh!$A$78,0),Sheet_BaoCaoTaiChinh!$D$78)
+ IFERROR(HLOOKUP(I$2,Table_BCTC_Thang[],Sheet_BaoCaoTaiChinh!$A$79,0),Sheet_BaoCaoTaiChinh!$D$79)
+ IFERROR(HLOOKUP(I$2,Table_BCTC_Thang[],Sheet_BaoCaoTaiChinh!$A$88,0),Sheet_BaoCaoTaiChinh!$D$88)
+ IFERROR(HLOOKUP(I$2,Table_BCTC_Thang[],Sheet_BaoCaoTaiChinh!$A$89,0),Sheet_BaoCaoTaiChinh!$D$89)
+ IFERROR(HLOOKUP(I$2,Table_BCTC_Thang[],Sheet_BaoCaoTaiChinh!$A$90,0),Sheet_BaoCaoTaiChinh!$D$90)
+ IFERROR(HLOOKUP(DATE(YEAR(I$2),MONTH(I$2)-1,1),Table_BCTC_Thang[],Sheet_BaoCaoTaiChinh!$A$92,0),Sheet_BaoCaoTaiChinh!$D$92)
+ IFERROR(HLOOKUP(DATE(YEAR(I$2),MONTH(I$2)-1,1),Table_BCTC_Nam[],Sheet_BaoCaoTaiChinh!$A$83,0),Sheet_BaoCaoTaiChinh!$D$83)
+ IFERROR(HLOOKUP(DATE(YEAR(I$2),MONTH(I$2)-1,1),Table_BCTC_Nam[],Sheet_BaoCaoTaiChinh!$A$77,0),Sheet_BaoCaoTaiChinh!$D$77)
+ IFERROR(HLOOKUP(DATE(YEAR(I$2),MONTH(I$2)-1,1),Table_BCTC_Nam[],Sheet_BaoCaoTaiChinh!$A$78,0),Sheet_BaoCaoTaiChinh!$D$78)
+ IFERROR(HLOOKUP(DATE(YEAR(I$2),MONTH(I$2)-1,1),Table_BCTC_Nam[],Sheet_BaoCaoTaiChinh!$A$79,0),Sheet_BaoCaoTaiChinh!$D$79)
+ IFERROR(HLOOKUP(DATE(YEAR(I$2),MONTH(I$2)-1,1),Table_BCTC_Nam[],Sheet_BaoCaoTaiChinh!$A$88,0),Sheet_BaoCaoTaiChinh!$D$88)
+ IFERROR(HLOOKUP(DATE(YEAR(I$2),MONTH(I$2)-1,1),Table_BCTC_Nam[],Sheet_BaoCaoTaiChinh!$A$89,0),Sheet_BaoCaoTaiChinh!$D$89)
+ IFERROR(HLOOKUP(DATE(YEAR(I$2),MONTH(I$2)-1,1),Table_BCTC_Nam[],Sheet_BaoCaoTaiChinh!$A$90,0),Sheet_BaoCaoTaiChinh!$D$90)
)/2))</f>
        <v>0</v>
      </c>
      <c r="J31" s="128">
        <f>J30/(-(J12+J13+J21+J22+J23+J24+J25+J27+J28+J29)+
((
+ IFERROR(HLOOKUP(J$2,Table_BCTC_Thang[],Sheet_BaoCaoTaiChinh!$A$92,0),Sheet_BaoCaoTaiChinh!$D$92)
+ IFERROR(HLOOKUP(J$2,Table_BCTC_Thang[],Sheet_BaoCaoTaiChinh!$A$83,0),Sheet_BaoCaoTaiChinh!$D$83)
+ IFERROR(HLOOKUP(J$2,Table_BCTC_Thang[],Sheet_BaoCaoTaiChinh!$A$77,0),Sheet_BaoCaoTaiChinh!$D$77)
+ IFERROR(HLOOKUP(J$2,Table_BCTC_Thang[],Sheet_BaoCaoTaiChinh!$A$78,0),Sheet_BaoCaoTaiChinh!$D$78)
+ IFERROR(HLOOKUP(J$2,Table_BCTC_Thang[],Sheet_BaoCaoTaiChinh!$A$79,0),Sheet_BaoCaoTaiChinh!$D$79)
+ IFERROR(HLOOKUP(J$2,Table_BCTC_Thang[],Sheet_BaoCaoTaiChinh!$A$88,0),Sheet_BaoCaoTaiChinh!$D$88)
+ IFERROR(HLOOKUP(J$2,Table_BCTC_Thang[],Sheet_BaoCaoTaiChinh!$A$89,0),Sheet_BaoCaoTaiChinh!$D$89)
+ IFERROR(HLOOKUP(J$2,Table_BCTC_Thang[],Sheet_BaoCaoTaiChinh!$A$90,0),Sheet_BaoCaoTaiChinh!$D$90)
+ IFERROR(HLOOKUP(DATE(YEAR(J$2),MONTH(J$2)-1,1),Table_BCTC_Thang[],Sheet_BaoCaoTaiChinh!$A$92,0),Sheet_BaoCaoTaiChinh!$D$92)
+ IFERROR(HLOOKUP(DATE(YEAR(J$2),MONTH(J$2)-1,1),Table_BCTC_Nam[],Sheet_BaoCaoTaiChinh!$A$83,0),Sheet_BaoCaoTaiChinh!$D$83)
+ IFERROR(HLOOKUP(DATE(YEAR(J$2),MONTH(J$2)-1,1),Table_BCTC_Nam[],Sheet_BaoCaoTaiChinh!$A$77,0),Sheet_BaoCaoTaiChinh!$D$77)
+ IFERROR(HLOOKUP(DATE(YEAR(J$2),MONTH(J$2)-1,1),Table_BCTC_Nam[],Sheet_BaoCaoTaiChinh!$A$78,0),Sheet_BaoCaoTaiChinh!$D$78)
+ IFERROR(HLOOKUP(DATE(YEAR(J$2),MONTH(J$2)-1,1),Table_BCTC_Nam[],Sheet_BaoCaoTaiChinh!$A$79,0),Sheet_BaoCaoTaiChinh!$D$79)
+ IFERROR(HLOOKUP(DATE(YEAR(J$2),MONTH(J$2)-1,1),Table_BCTC_Nam[],Sheet_BaoCaoTaiChinh!$A$88,0),Sheet_BaoCaoTaiChinh!$D$88)
+ IFERROR(HLOOKUP(DATE(YEAR(J$2),MONTH(J$2)-1,1),Table_BCTC_Nam[],Sheet_BaoCaoTaiChinh!$A$89,0),Sheet_BaoCaoTaiChinh!$D$89)
+ IFERROR(HLOOKUP(DATE(YEAR(J$2),MONTH(J$2)-1,1),Table_BCTC_Nam[],Sheet_BaoCaoTaiChinh!$A$90,0),Sheet_BaoCaoTaiChinh!$D$90)
)/2))</f>
        <v>0</v>
      </c>
      <c r="K31" s="128">
        <f>K30/(-(K12+K13+K21+K22+K23+K24+K25+K27+K28+K29)+
((
+ IFERROR(HLOOKUP(K$2,Table_BCTC_Thang[],Sheet_BaoCaoTaiChinh!$A$92,0),Sheet_BaoCaoTaiChinh!$D$92)
+ IFERROR(HLOOKUP(K$2,Table_BCTC_Thang[],Sheet_BaoCaoTaiChinh!$A$83,0),Sheet_BaoCaoTaiChinh!$D$83)
+ IFERROR(HLOOKUP(K$2,Table_BCTC_Thang[],Sheet_BaoCaoTaiChinh!$A$77,0),Sheet_BaoCaoTaiChinh!$D$77)
+ IFERROR(HLOOKUP(K$2,Table_BCTC_Thang[],Sheet_BaoCaoTaiChinh!$A$78,0),Sheet_BaoCaoTaiChinh!$D$78)
+ IFERROR(HLOOKUP(K$2,Table_BCTC_Thang[],Sheet_BaoCaoTaiChinh!$A$79,0),Sheet_BaoCaoTaiChinh!$D$79)
+ IFERROR(HLOOKUP(K$2,Table_BCTC_Thang[],Sheet_BaoCaoTaiChinh!$A$88,0),Sheet_BaoCaoTaiChinh!$D$88)
+ IFERROR(HLOOKUP(K$2,Table_BCTC_Thang[],Sheet_BaoCaoTaiChinh!$A$89,0),Sheet_BaoCaoTaiChinh!$D$89)
+ IFERROR(HLOOKUP(K$2,Table_BCTC_Thang[],Sheet_BaoCaoTaiChinh!$A$90,0),Sheet_BaoCaoTaiChinh!$D$90)
+ IFERROR(HLOOKUP(DATE(YEAR(K$2),MONTH(K$2)-1,1),Table_BCTC_Thang[],Sheet_BaoCaoTaiChinh!$A$92,0),Sheet_BaoCaoTaiChinh!$D$92)
+ IFERROR(HLOOKUP(DATE(YEAR(K$2),MONTH(K$2)-1,1),Table_BCTC_Nam[],Sheet_BaoCaoTaiChinh!$A$83,0),Sheet_BaoCaoTaiChinh!$D$83)
+ IFERROR(HLOOKUP(DATE(YEAR(K$2),MONTH(K$2)-1,1),Table_BCTC_Nam[],Sheet_BaoCaoTaiChinh!$A$77,0),Sheet_BaoCaoTaiChinh!$D$77)
+ IFERROR(HLOOKUP(DATE(YEAR(K$2),MONTH(K$2)-1,1),Table_BCTC_Nam[],Sheet_BaoCaoTaiChinh!$A$78,0),Sheet_BaoCaoTaiChinh!$D$78)
+ IFERROR(HLOOKUP(DATE(YEAR(K$2),MONTH(K$2)-1,1),Table_BCTC_Nam[],Sheet_BaoCaoTaiChinh!$A$79,0),Sheet_BaoCaoTaiChinh!$D$79)
+ IFERROR(HLOOKUP(DATE(YEAR(K$2),MONTH(K$2)-1,1),Table_BCTC_Nam[],Sheet_BaoCaoTaiChinh!$A$88,0),Sheet_BaoCaoTaiChinh!$D$88)
+ IFERROR(HLOOKUP(DATE(YEAR(K$2),MONTH(K$2)-1,1),Table_BCTC_Nam[],Sheet_BaoCaoTaiChinh!$A$89,0),Sheet_BaoCaoTaiChinh!$D$89)
+ IFERROR(HLOOKUP(DATE(YEAR(K$2),MONTH(K$2)-1,1),Table_BCTC_Nam[],Sheet_BaoCaoTaiChinh!$A$90,0),Sheet_BaoCaoTaiChinh!$D$90)
)/2))</f>
        <v>0</v>
      </c>
      <c r="L31" s="128">
        <f>L30/(-(L12+L13+L21+L22+L23+L24+L25+L27+L28+L29)+
((
+ IFERROR(HLOOKUP(L$2,Table_BCTC_Thang[],Sheet_BaoCaoTaiChinh!$A$92,0),Sheet_BaoCaoTaiChinh!$D$92)
+ IFERROR(HLOOKUP(L$2,Table_BCTC_Thang[],Sheet_BaoCaoTaiChinh!$A$83,0),Sheet_BaoCaoTaiChinh!$D$83)
+ IFERROR(HLOOKUP(L$2,Table_BCTC_Thang[],Sheet_BaoCaoTaiChinh!$A$77,0),Sheet_BaoCaoTaiChinh!$D$77)
+ IFERROR(HLOOKUP(L$2,Table_BCTC_Thang[],Sheet_BaoCaoTaiChinh!$A$78,0),Sheet_BaoCaoTaiChinh!$D$78)
+ IFERROR(HLOOKUP(L$2,Table_BCTC_Thang[],Sheet_BaoCaoTaiChinh!$A$79,0),Sheet_BaoCaoTaiChinh!$D$79)
+ IFERROR(HLOOKUP(L$2,Table_BCTC_Thang[],Sheet_BaoCaoTaiChinh!$A$88,0),Sheet_BaoCaoTaiChinh!$D$88)
+ IFERROR(HLOOKUP(L$2,Table_BCTC_Thang[],Sheet_BaoCaoTaiChinh!$A$89,0),Sheet_BaoCaoTaiChinh!$D$89)
+ IFERROR(HLOOKUP(L$2,Table_BCTC_Thang[],Sheet_BaoCaoTaiChinh!$A$90,0),Sheet_BaoCaoTaiChinh!$D$90)
+ IFERROR(HLOOKUP(DATE(YEAR(L$2),MONTH(L$2)-1,1),Table_BCTC_Thang[],Sheet_BaoCaoTaiChinh!$A$92,0),Sheet_BaoCaoTaiChinh!$D$92)
+ IFERROR(HLOOKUP(DATE(YEAR(L$2),MONTH(L$2)-1,1),Table_BCTC_Nam[],Sheet_BaoCaoTaiChinh!$A$83,0),Sheet_BaoCaoTaiChinh!$D$83)
+ IFERROR(HLOOKUP(DATE(YEAR(L$2),MONTH(L$2)-1,1),Table_BCTC_Nam[],Sheet_BaoCaoTaiChinh!$A$77,0),Sheet_BaoCaoTaiChinh!$D$77)
+ IFERROR(HLOOKUP(DATE(YEAR(L$2),MONTH(L$2)-1,1),Table_BCTC_Nam[],Sheet_BaoCaoTaiChinh!$A$78,0),Sheet_BaoCaoTaiChinh!$D$78)
+ IFERROR(HLOOKUP(DATE(YEAR(L$2),MONTH(L$2)-1,1),Table_BCTC_Nam[],Sheet_BaoCaoTaiChinh!$A$79,0),Sheet_BaoCaoTaiChinh!$D$79)
+ IFERROR(HLOOKUP(DATE(YEAR(L$2),MONTH(L$2)-1,1),Table_BCTC_Nam[],Sheet_BaoCaoTaiChinh!$A$88,0),Sheet_BaoCaoTaiChinh!$D$88)
+ IFERROR(HLOOKUP(DATE(YEAR(L$2),MONTH(L$2)-1,1),Table_BCTC_Nam[],Sheet_BaoCaoTaiChinh!$A$89,0),Sheet_BaoCaoTaiChinh!$D$89)
+ IFERROR(HLOOKUP(DATE(YEAR(L$2),MONTH(L$2)-1,1),Table_BCTC_Nam[],Sheet_BaoCaoTaiChinh!$A$90,0),Sheet_BaoCaoTaiChinh!$D$90)
)/2))</f>
        <v>0</v>
      </c>
      <c r="M31" s="128">
        <f>M30/(-(M12+M13+M21+M22+M23+M24+M25+M27+M28+M29)+
((
+ IFERROR(HLOOKUP(M$2,Table_BCTC_Thang[],Sheet_BaoCaoTaiChinh!$A$92,0),Sheet_BaoCaoTaiChinh!$D$92)
+ IFERROR(HLOOKUP(M$2,Table_BCTC_Thang[],Sheet_BaoCaoTaiChinh!$A$83,0),Sheet_BaoCaoTaiChinh!$D$83)
+ IFERROR(HLOOKUP(M$2,Table_BCTC_Thang[],Sheet_BaoCaoTaiChinh!$A$77,0),Sheet_BaoCaoTaiChinh!$D$77)
+ IFERROR(HLOOKUP(M$2,Table_BCTC_Thang[],Sheet_BaoCaoTaiChinh!$A$78,0),Sheet_BaoCaoTaiChinh!$D$78)
+ IFERROR(HLOOKUP(M$2,Table_BCTC_Thang[],Sheet_BaoCaoTaiChinh!$A$79,0),Sheet_BaoCaoTaiChinh!$D$79)
+ IFERROR(HLOOKUP(M$2,Table_BCTC_Thang[],Sheet_BaoCaoTaiChinh!$A$88,0),Sheet_BaoCaoTaiChinh!$D$88)
+ IFERROR(HLOOKUP(M$2,Table_BCTC_Thang[],Sheet_BaoCaoTaiChinh!$A$89,0),Sheet_BaoCaoTaiChinh!$D$89)
+ IFERROR(HLOOKUP(M$2,Table_BCTC_Thang[],Sheet_BaoCaoTaiChinh!$A$90,0),Sheet_BaoCaoTaiChinh!$D$90)
+ IFERROR(HLOOKUP(DATE(YEAR(M$2),MONTH(M$2)-1,1),Table_BCTC_Thang[],Sheet_BaoCaoTaiChinh!$A$92,0),Sheet_BaoCaoTaiChinh!$D$92)
+ IFERROR(HLOOKUP(DATE(YEAR(M$2),MONTH(M$2)-1,1),Table_BCTC_Nam[],Sheet_BaoCaoTaiChinh!$A$83,0),Sheet_BaoCaoTaiChinh!$D$83)
+ IFERROR(HLOOKUP(DATE(YEAR(M$2),MONTH(M$2)-1,1),Table_BCTC_Nam[],Sheet_BaoCaoTaiChinh!$A$77,0),Sheet_BaoCaoTaiChinh!$D$77)
+ IFERROR(HLOOKUP(DATE(YEAR(M$2),MONTH(M$2)-1,1),Table_BCTC_Nam[],Sheet_BaoCaoTaiChinh!$A$78,0),Sheet_BaoCaoTaiChinh!$D$78)
+ IFERROR(HLOOKUP(DATE(YEAR(M$2),MONTH(M$2)-1,1),Table_BCTC_Nam[],Sheet_BaoCaoTaiChinh!$A$79,0),Sheet_BaoCaoTaiChinh!$D$79)
+ IFERROR(HLOOKUP(DATE(YEAR(M$2),MONTH(M$2)-1,1),Table_BCTC_Nam[],Sheet_BaoCaoTaiChinh!$A$88,0),Sheet_BaoCaoTaiChinh!$D$88)
+ IFERROR(HLOOKUP(DATE(YEAR(M$2),MONTH(M$2)-1,1),Table_BCTC_Nam[],Sheet_BaoCaoTaiChinh!$A$89,0),Sheet_BaoCaoTaiChinh!$D$89)
+ IFERROR(HLOOKUP(DATE(YEAR(M$2),MONTH(M$2)-1,1),Table_BCTC_Nam[],Sheet_BaoCaoTaiChinh!$A$90,0),Sheet_BaoCaoTaiChinh!$D$90)
)/2))</f>
        <v>0</v>
      </c>
      <c r="N31" s="128">
        <f>N30/(-(N12+N13+N21+N22+N23+N24+N25+N27+N28+N29)+
((
+ IFERROR(HLOOKUP(N$2,Table_BCTC_Thang[],Sheet_BaoCaoTaiChinh!$A$92,0),Sheet_BaoCaoTaiChinh!$D$92)
+ IFERROR(HLOOKUP(N$2,Table_BCTC_Thang[],Sheet_BaoCaoTaiChinh!$A$83,0),Sheet_BaoCaoTaiChinh!$D$83)
+ IFERROR(HLOOKUP(N$2,Table_BCTC_Thang[],Sheet_BaoCaoTaiChinh!$A$77,0),Sheet_BaoCaoTaiChinh!$D$77)
+ IFERROR(HLOOKUP(N$2,Table_BCTC_Thang[],Sheet_BaoCaoTaiChinh!$A$78,0),Sheet_BaoCaoTaiChinh!$D$78)
+ IFERROR(HLOOKUP(N$2,Table_BCTC_Thang[],Sheet_BaoCaoTaiChinh!$A$79,0),Sheet_BaoCaoTaiChinh!$D$79)
+ IFERROR(HLOOKUP(N$2,Table_BCTC_Thang[],Sheet_BaoCaoTaiChinh!$A$88,0),Sheet_BaoCaoTaiChinh!$D$88)
+ IFERROR(HLOOKUP(N$2,Table_BCTC_Thang[],Sheet_BaoCaoTaiChinh!$A$89,0),Sheet_BaoCaoTaiChinh!$D$89)
+ IFERROR(HLOOKUP(N$2,Table_BCTC_Thang[],Sheet_BaoCaoTaiChinh!$A$90,0),Sheet_BaoCaoTaiChinh!$D$90)
+ IFERROR(HLOOKUP(DATE(YEAR(N$2),MONTH(N$2)-1,1),Table_BCTC_Thang[],Sheet_BaoCaoTaiChinh!$A$92,0),Sheet_BaoCaoTaiChinh!$D$92)
+ IFERROR(HLOOKUP(DATE(YEAR(N$2),MONTH(N$2)-1,1),Table_BCTC_Nam[],Sheet_BaoCaoTaiChinh!$A$83,0),Sheet_BaoCaoTaiChinh!$D$83)
+ IFERROR(HLOOKUP(DATE(YEAR(N$2),MONTH(N$2)-1,1),Table_BCTC_Nam[],Sheet_BaoCaoTaiChinh!$A$77,0),Sheet_BaoCaoTaiChinh!$D$77)
+ IFERROR(HLOOKUP(DATE(YEAR(N$2),MONTH(N$2)-1,1),Table_BCTC_Nam[],Sheet_BaoCaoTaiChinh!$A$78,0),Sheet_BaoCaoTaiChinh!$D$78)
+ IFERROR(HLOOKUP(DATE(YEAR(N$2),MONTH(N$2)-1,1),Table_BCTC_Nam[],Sheet_BaoCaoTaiChinh!$A$79,0),Sheet_BaoCaoTaiChinh!$D$79)
+ IFERROR(HLOOKUP(DATE(YEAR(N$2),MONTH(N$2)-1,1),Table_BCTC_Nam[],Sheet_BaoCaoTaiChinh!$A$88,0),Sheet_BaoCaoTaiChinh!$D$88)
+ IFERROR(HLOOKUP(DATE(YEAR(N$2),MONTH(N$2)-1,1),Table_BCTC_Nam[],Sheet_BaoCaoTaiChinh!$A$89,0),Sheet_BaoCaoTaiChinh!$D$89)
+ IFERROR(HLOOKUP(DATE(YEAR(N$2),MONTH(N$2)-1,1),Table_BCTC_Nam[],Sheet_BaoCaoTaiChinh!$A$90,0),Sheet_BaoCaoTaiChinh!$D$90)
)/2))</f>
        <v>0</v>
      </c>
      <c r="O31" s="128">
        <f>O30/(-(O12+O13+O21+O22+O23+O24+O25+O27+O28+O29)+
((
+ IFERROR(HLOOKUP(O$2,Table_BCTC_Thang[],Sheet_BaoCaoTaiChinh!$A$92,0),Sheet_BaoCaoTaiChinh!$D$92)
+ IFERROR(HLOOKUP(O$2,Table_BCTC_Thang[],Sheet_BaoCaoTaiChinh!$A$83,0),Sheet_BaoCaoTaiChinh!$D$83)
+ IFERROR(HLOOKUP(O$2,Table_BCTC_Thang[],Sheet_BaoCaoTaiChinh!$A$77,0),Sheet_BaoCaoTaiChinh!$D$77)
+ IFERROR(HLOOKUP(O$2,Table_BCTC_Thang[],Sheet_BaoCaoTaiChinh!$A$78,0),Sheet_BaoCaoTaiChinh!$D$78)
+ IFERROR(HLOOKUP(O$2,Table_BCTC_Thang[],Sheet_BaoCaoTaiChinh!$A$79,0),Sheet_BaoCaoTaiChinh!$D$79)
+ IFERROR(HLOOKUP(O$2,Table_BCTC_Thang[],Sheet_BaoCaoTaiChinh!$A$88,0),Sheet_BaoCaoTaiChinh!$D$88)
+ IFERROR(HLOOKUP(O$2,Table_BCTC_Thang[],Sheet_BaoCaoTaiChinh!$A$89,0),Sheet_BaoCaoTaiChinh!$D$89)
+ IFERROR(HLOOKUP(O$2,Table_BCTC_Thang[],Sheet_BaoCaoTaiChinh!$A$90,0),Sheet_BaoCaoTaiChinh!$D$90)
+ IFERROR(HLOOKUP(DATE(YEAR(O$2),MONTH(O$2)-1,1),Table_BCTC_Thang[],Sheet_BaoCaoTaiChinh!$A$92,0),Sheet_BaoCaoTaiChinh!$D$92)
+ IFERROR(HLOOKUP(DATE(YEAR(O$2),MONTH(O$2)-1,1),Table_BCTC_Nam[],Sheet_BaoCaoTaiChinh!$A$83,0),Sheet_BaoCaoTaiChinh!$D$83)
+ IFERROR(HLOOKUP(DATE(YEAR(O$2),MONTH(O$2)-1,1),Table_BCTC_Nam[],Sheet_BaoCaoTaiChinh!$A$77,0),Sheet_BaoCaoTaiChinh!$D$77)
+ IFERROR(HLOOKUP(DATE(YEAR(O$2),MONTH(O$2)-1,1),Table_BCTC_Nam[],Sheet_BaoCaoTaiChinh!$A$78,0),Sheet_BaoCaoTaiChinh!$D$78)
+ IFERROR(HLOOKUP(DATE(YEAR(O$2),MONTH(O$2)-1,1),Table_BCTC_Nam[],Sheet_BaoCaoTaiChinh!$A$79,0),Sheet_BaoCaoTaiChinh!$D$79)
+ IFERROR(HLOOKUP(DATE(YEAR(O$2),MONTH(O$2)-1,1),Table_BCTC_Nam[],Sheet_BaoCaoTaiChinh!$A$88,0),Sheet_BaoCaoTaiChinh!$D$88)
+ IFERROR(HLOOKUP(DATE(YEAR(O$2),MONTH(O$2)-1,1),Table_BCTC_Nam[],Sheet_BaoCaoTaiChinh!$A$89,0),Sheet_BaoCaoTaiChinh!$D$89)
+ IFERROR(HLOOKUP(DATE(YEAR(O$2),MONTH(O$2)-1,1),Table_BCTC_Nam[],Sheet_BaoCaoTaiChinh!$A$90,0),Sheet_BaoCaoTaiChinh!$D$90)
)/2))</f>
        <v>0</v>
      </c>
      <c r="P31" s="323"/>
      <c r="Q31" s="240"/>
      <c r="R31" s="87" t="s">
        <v>301</v>
      </c>
      <c r="S31" s="128">
        <f>S30/(-(S12+S13+S21+S22+S23+S24+S25+S27+S28+S29) +
(
+ IFERROR(HLOOKUP(S$1,Table_BCTC_Nam[],Sheet_BaoCaoTaiChinh!$A$92,0),Sheet_BaoCaoTaiChinh!$D$92)
+ IFERROR(HLOOKUP(S$1,Table_BCTC_Nam[],Sheet_BaoCaoTaiChinh!$A$83,0),Sheet_BaoCaoTaiChinh!$D$83)
+ IFERROR(HLOOKUP(S$1,Table_BCTC_Nam[],Sheet_BaoCaoTaiChinh!$A$77,0),Sheet_BaoCaoTaiChinh!$D$77)
+ IFERROR(HLOOKUP(S$1,Table_BCTC_Nam[],Sheet_BaoCaoTaiChinh!$A$78,0),Sheet_BaoCaoTaiChinh!$D$78)
+ IFERROR(HLOOKUP(S$1,Table_BCTC_Nam[],Sheet_BaoCaoTaiChinh!$A$79,0),Sheet_BaoCaoTaiChinh!$D$79)
+ IFERROR(HLOOKUP(S$1,Table_BCTC_Nam[],Sheet_BaoCaoTaiChinh!$A$88,0),Sheet_BaoCaoTaiChinh!$D$88)
+ IFERROR(HLOOKUP(S$1,Table_BCTC_Nam[],Sheet_BaoCaoTaiChinh!$A$89,0),Sheet_BaoCaoTaiChinh!$D$89)
+ IFERROR(HLOOKUP(S$1,Table_BCTC_Nam[],Sheet_BaoCaoTaiChinh!$A$90,0),Sheet_BaoCaoTaiChinh!$D$90)
+ IFERROR(HLOOKUP(S$1-1,Table_BCTC_Nam[],Sheet_BaoCaoTaiChinh!$A$92,0),Sheet_BaoCaoTaiChinh!$D$92)
+ IFERROR(HLOOKUP(S$1-1,Table_BCTC_Nam[],Sheet_BaoCaoTaiChinh!$A$83,0),Sheet_BaoCaoTaiChinh!$D$83)
+ IFERROR(HLOOKUP(S$1-1,Table_BCTC_Nam[],Sheet_BaoCaoTaiChinh!$A$77,0),Sheet_BaoCaoTaiChinh!$D$77)
+ IFERROR(HLOOKUP(S$1-1,Table_BCTC_Nam[],Sheet_BaoCaoTaiChinh!$A$78,0),Sheet_BaoCaoTaiChinh!$D$78)
+ IFERROR(HLOOKUP(S$1-1,Table_BCTC_Nam[],Sheet_BaoCaoTaiChinh!$A$79,0),Sheet_BaoCaoTaiChinh!$D$79)
+ IFERROR(HLOOKUP(S$1-1,Table_BCTC_Nam[],Sheet_BaoCaoTaiChinh!$A$88,0),Sheet_BaoCaoTaiChinh!$D$88)
+ IFERROR(HLOOKUP(S$1-1,Table_BCTC_Nam[],Sheet_BaoCaoTaiChinh!$A$89,0),Sheet_BaoCaoTaiChinh!$D$89)
+ IFERROR(HLOOKUP(S$1-1,Table_BCTC_Nam[],Sheet_BaoCaoTaiChinh!$A$90,0),Sheet_BaoCaoTaiChinh!$D$90)
)/2)</f>
        <v>0</v>
      </c>
      <c r="T31" s="240"/>
      <c r="U31" s="87" t="s">
        <v>301</v>
      </c>
      <c r="V31" s="128">
        <f>V30/(-(V12+V13+V21+V22+V23+V24+V25+V27+V28+V29)+
((
+ IFERROR(HLOOKUP(V$1,Table_BCTC_Thang[],Sheet_BaoCaoTaiChinh!$A$92,0),Sheet_BaoCaoTaiChinh!$D$92)
+ IFERROR(HLOOKUP(V$1,Table_BCTC_Thang[],Sheet_BaoCaoTaiChinh!$A$83,0),Sheet_BaoCaoTaiChinh!$D$83)
+ IFERROR(HLOOKUP(V$1,Table_BCTC_Thang[],Sheet_BaoCaoTaiChinh!$A$77,0),Sheet_BaoCaoTaiChinh!$D$77)
+ IFERROR(HLOOKUP(V$1,Table_BCTC_Thang[],Sheet_BaoCaoTaiChinh!$A$78,0),Sheet_BaoCaoTaiChinh!$D$78)
+ IFERROR(HLOOKUP(V$1,Table_BCTC_Thang[],Sheet_BaoCaoTaiChinh!$A$79,0),Sheet_BaoCaoTaiChinh!$D$79)
+ IFERROR(HLOOKUP(V$1,Table_BCTC_Thang[],Sheet_BaoCaoTaiChinh!$A$88,0),Sheet_BaoCaoTaiChinh!$D$88)
+ IFERROR(HLOOKUP(V$1,Table_BCTC_Thang[],Sheet_BaoCaoTaiChinh!$A$89,0),Sheet_BaoCaoTaiChinh!$D$89)
+ IFERROR(HLOOKUP(V$1,Table_BCTC_Thang[],Sheet_BaoCaoTaiChinh!$A$90,0),Sheet_BaoCaoTaiChinh!$D$90)
+ IFERROR(HLOOKUP(DATE(YEAR(V$1),MONTH(V$1)-1,1),Table_BCTC_Thang[],Sheet_BaoCaoTaiChinh!$A$92,0),Sheet_BaoCaoTaiChinh!$D$92)
+ IFERROR(HLOOKUP(DATE(YEAR(V$1),MONTH(V$1)-1,1),Table_BCTC_Nam[],Sheet_BaoCaoTaiChinh!$A$83,0),Sheet_BaoCaoTaiChinh!$D$83)
+ IFERROR(HLOOKUP(DATE(YEAR(V$1),MONTH(V$1)-1,1),Table_BCTC_Nam[],Sheet_BaoCaoTaiChinh!$A$77,0),Sheet_BaoCaoTaiChinh!$D$77)
+ IFERROR(HLOOKUP(DATE(YEAR(V$1),MONTH(V$1)-1,1),Table_BCTC_Nam[],Sheet_BaoCaoTaiChinh!$A$78,0),Sheet_BaoCaoTaiChinh!$D$78)
+ IFERROR(HLOOKUP(DATE(YEAR(V$1),MONTH(V$1)-1,1),Table_BCTC_Nam[],Sheet_BaoCaoTaiChinh!$A$79,0),Sheet_BaoCaoTaiChinh!$D$79)
+ IFERROR(HLOOKUP(DATE(YEAR(V$1),MONTH(V$1)-1,1),Table_BCTC_Nam[],Sheet_BaoCaoTaiChinh!$A$88,0),Sheet_BaoCaoTaiChinh!$D$88)
+ IFERROR(HLOOKUP(DATE(YEAR(V$1),MONTH(V$1)-1,1),Table_BCTC_Nam[],Sheet_BaoCaoTaiChinh!$A$89,0),Sheet_BaoCaoTaiChinh!$D$89)
+ IFERROR(HLOOKUP(DATE(YEAR(V$1),MONTH(V$1)-1,1),Table_BCTC_Nam[],Sheet_BaoCaoTaiChinh!$A$90,0),Sheet_BaoCaoTaiChinh!$D$90)
)/2))</f>
        <v>0</v>
      </c>
    </row>
    <row r="32" spans="2:22" ht="18" customHeight="1" outlineLevel="1" x14ac:dyDescent="0.3">
      <c r="B32" s="126" t="s">
        <v>98</v>
      </c>
      <c r="C32" s="332">
        <f>+C33+C34+C36+C41</f>
        <v>0</v>
      </c>
      <c r="D32" s="332">
        <f t="shared" ref="D32:O32" si="10">+D33+D34+D36+D41</f>
        <v>0</v>
      </c>
      <c r="E32" s="332">
        <f t="shared" si="10"/>
        <v>0</v>
      </c>
      <c r="F32" s="332">
        <f t="shared" si="10"/>
        <v>0</v>
      </c>
      <c r="G32" s="332">
        <f t="shared" si="10"/>
        <v>0</v>
      </c>
      <c r="H32" s="332">
        <f t="shared" si="10"/>
        <v>0</v>
      </c>
      <c r="I32" s="332">
        <f t="shared" si="10"/>
        <v>0</v>
      </c>
      <c r="J32" s="332">
        <f t="shared" si="10"/>
        <v>0</v>
      </c>
      <c r="K32" s="332">
        <f t="shared" si="10"/>
        <v>0</v>
      </c>
      <c r="L32" s="332">
        <f t="shared" si="10"/>
        <v>0</v>
      </c>
      <c r="M32" s="332">
        <f t="shared" si="10"/>
        <v>0</v>
      </c>
      <c r="N32" s="332">
        <f t="shared" si="10"/>
        <v>0</v>
      </c>
      <c r="O32" s="332">
        <f t="shared" si="10"/>
        <v>0</v>
      </c>
      <c r="P32" s="333"/>
      <c r="Q32" s="240"/>
      <c r="R32" s="126" t="s">
        <v>98</v>
      </c>
      <c r="S32" s="127">
        <f>+S33+S34+S36+S41</f>
        <v>0</v>
      </c>
      <c r="T32" s="240"/>
      <c r="U32" s="126" t="s">
        <v>98</v>
      </c>
      <c r="V32" s="127">
        <f>+V33+V34+V36+V41</f>
        <v>0</v>
      </c>
    </row>
    <row r="33" spans="2:22" s="21" customFormat="1" ht="18" customHeight="1" outlineLevel="1" x14ac:dyDescent="0.3">
      <c r="B33" s="54" t="s">
        <v>302</v>
      </c>
      <c r="C33" s="328" cm="1">
        <f t="array" ref="C33">IFERROR(
SUM(_xlfn._xlws.FILTER(Table_ThuChiKD[Giá trị sau phí],
(Table_ThuChiKD[Loại GD] = "THU") *
(Table_ThuChiKD[Nội dung GD] ="Thu chi bán hàng") *
(YEAR(Table_ThuChiKD[Ngày GD]) = C$2)
)),0)
- IFERROR(
SUM(_xlfn._xlws.FILTER(Table_ThuChiKD[Giá trị sau phí],
(Table_ThuChiKD[Loại GD] = "CHI") *
(Table_ThuChiKD[Nội dung GD] ="Thu chi bán hàng") *
(YEAR(Table_ThuChiKD[Ngày GD]) = C$2)
)),0)
-IFERROR(
SUM(_xlfn._xlws.FILTER(Table_NopNS[Giá trị tính thuế],
(Table_NopNS[Ngân sách] = "Thuế VAT")*
(Table_NopNS[Năm]=C$2)
)),0)</f>
        <v>0</v>
      </c>
      <c r="D33" s="334" cm="1">
        <f t="array" ref="D33">IFERROR(
SUM(_xlfn._xlws.FILTER(Table_ThuChiKD[Giá trị sau phí],
(Table_ThuChiKD[Loại GD] = "THU") *
(Table_ThuChiKD[Nội dung GD] ="Thu chi bán hàng") *
(YEAR(Table_ThuChiKD[Ngày GD]) = YEAR(D$2)) *
(MONTH(Table_ThuChiKD[Ngày GD]) = MONTH(D$2))
)),0)
-IFERROR(
SUM(_xlfn._xlws.FILTER(Table_ThuChiKD[Giá trị sau phí],
(Table_ThuChiKD[Loại GD] = "CHI") *
(Table_ThuChiKD[Nội dung GD] ="Thu chi bán hàng") *
(YEAR(Table_ThuChiKD[Ngày GD]) = YEAR(D$2)) *
(MONTH(Table_ThuChiKD[Ngày GD]) = MONTH(D$2))
)),0)
-IFERROR(
SUM(_xlfn._xlws.FILTER(Table_NopNS[Giá trị tính thuế],
(Table_NopNS[Ngân sách] = "Thuế VAT")*
(Table_NopNS[Năm]=YEAR(D$2))*
(Table_NopNS[Tháng] = MONTH(D$2))
)),0)</f>
        <v>0</v>
      </c>
      <c r="E33" s="334" cm="1">
        <f t="array" ref="E33">IFERROR(
SUM(_xlfn._xlws.FILTER(Table_ThuChiKD[Giá trị sau phí],
(Table_ThuChiKD[Loại GD] = "THU") *
(Table_ThuChiKD[Nội dung GD] ="Thu chi bán hàng") *
(YEAR(Table_ThuChiKD[Ngày GD]) = YEAR(E$2)) *
(MONTH(Table_ThuChiKD[Ngày GD]) = MONTH(E$2))
)),0)
-IFERROR(
SUM(_xlfn._xlws.FILTER(Table_ThuChiKD[Giá trị sau phí],
(Table_ThuChiKD[Loại GD] = "CHI") *
(Table_ThuChiKD[Nội dung GD] ="Thu chi bán hàng") *
(YEAR(Table_ThuChiKD[Ngày GD]) = YEAR(E$2)) *
(MONTH(Table_ThuChiKD[Ngày GD]) = MONTH(E$2))
)),0)
-IFERROR(
SUM(_xlfn._xlws.FILTER(Table_NopNS[Giá trị tính thuế],
(Table_NopNS[Ngân sách] = "Thuế VAT")*
(Table_NopNS[Năm]=YEAR(E$2))*
(Table_NopNS[Tháng] = MONTH(E$2))
)),0)</f>
        <v>0</v>
      </c>
      <c r="F33" s="334" cm="1">
        <f t="array" ref="F33">IFERROR(
SUM(_xlfn._xlws.FILTER(Table_ThuChiKD[Giá trị sau phí],
(Table_ThuChiKD[Loại GD] = "THU") *
(Table_ThuChiKD[Nội dung GD] ="Thu chi bán hàng") *
(YEAR(Table_ThuChiKD[Ngày GD]) = YEAR(F$2)) *
(MONTH(Table_ThuChiKD[Ngày GD]) = MONTH(F$2))
)),0)
-IFERROR(
SUM(_xlfn._xlws.FILTER(Table_ThuChiKD[Giá trị sau phí],
(Table_ThuChiKD[Loại GD] = "CHI") *
(Table_ThuChiKD[Nội dung GD] ="Thu chi bán hàng") *
(YEAR(Table_ThuChiKD[Ngày GD]) = YEAR(F$2)) *
(MONTH(Table_ThuChiKD[Ngày GD]) = MONTH(F$2))
)),0)
-IFERROR(
SUM(_xlfn._xlws.FILTER(Table_NopNS[Giá trị tính thuế],
(Table_NopNS[Ngân sách] = "Thuế VAT")*
(Table_NopNS[Năm]=YEAR(F$2))*
(Table_NopNS[Tháng] = MONTH(F$2))
)),0)</f>
        <v>0</v>
      </c>
      <c r="G33" s="334" cm="1">
        <f t="array" ref="G33">IFERROR(
SUM(_xlfn._xlws.FILTER(Table_ThuChiKD[Giá trị sau phí],
(Table_ThuChiKD[Loại GD] = "THU") *
(Table_ThuChiKD[Nội dung GD] ="Thu chi bán hàng") *
(YEAR(Table_ThuChiKD[Ngày GD]) = YEAR(G$2)) *
(MONTH(Table_ThuChiKD[Ngày GD]) = MONTH(G$2))
)),0)
-IFERROR(
SUM(_xlfn._xlws.FILTER(Table_ThuChiKD[Giá trị sau phí],
(Table_ThuChiKD[Loại GD] = "CHI") *
(Table_ThuChiKD[Nội dung GD] ="Thu chi bán hàng") *
(YEAR(Table_ThuChiKD[Ngày GD]) = YEAR(G$2)) *
(MONTH(Table_ThuChiKD[Ngày GD]) = MONTH(G$2))
)),0)
-IFERROR(
SUM(_xlfn._xlws.FILTER(Table_NopNS[Giá trị tính thuế],
(Table_NopNS[Ngân sách] = "Thuế VAT")*
(Table_NopNS[Năm]=YEAR(G$2))*
(Table_NopNS[Tháng] = MONTH(G$2))
)),0)</f>
        <v>0</v>
      </c>
      <c r="H33" s="334" cm="1">
        <f t="array" ref="H33">IFERROR(
SUM(_xlfn._xlws.FILTER(Table_ThuChiKD[Giá trị sau phí],
(Table_ThuChiKD[Loại GD] = "THU") *
(Table_ThuChiKD[Nội dung GD] ="Thu chi bán hàng") *
(YEAR(Table_ThuChiKD[Ngày GD]) = YEAR(H$2)) *
(MONTH(Table_ThuChiKD[Ngày GD]) = MONTH(H$2))
)),0)
-IFERROR(
SUM(_xlfn._xlws.FILTER(Table_ThuChiKD[Giá trị sau phí],
(Table_ThuChiKD[Loại GD] = "CHI") *
(Table_ThuChiKD[Nội dung GD] ="Thu chi bán hàng") *
(YEAR(Table_ThuChiKD[Ngày GD]) = YEAR(H$2)) *
(MONTH(Table_ThuChiKD[Ngày GD]) = MONTH(H$2))
)),0)
-IFERROR(
SUM(_xlfn._xlws.FILTER(Table_NopNS[Giá trị tính thuế],
(Table_NopNS[Ngân sách] = "Thuế VAT")*
(Table_NopNS[Năm]=YEAR(H$2))*
(Table_NopNS[Tháng] = MONTH(H$2))
)),0)</f>
        <v>0</v>
      </c>
      <c r="I33" s="334" cm="1">
        <f t="array" ref="I33">IFERROR(
SUM(_xlfn._xlws.FILTER(Table_ThuChiKD[Giá trị sau phí],
(Table_ThuChiKD[Loại GD] = "THU") *
(Table_ThuChiKD[Nội dung GD] ="Thu chi bán hàng") *
(YEAR(Table_ThuChiKD[Ngày GD]) = YEAR(I$2)) *
(MONTH(Table_ThuChiKD[Ngày GD]) = MONTH(I$2))
)),0)
-IFERROR(
SUM(_xlfn._xlws.FILTER(Table_ThuChiKD[Giá trị sau phí],
(Table_ThuChiKD[Loại GD] = "CHI") *
(Table_ThuChiKD[Nội dung GD] ="Thu chi bán hàng") *
(YEAR(Table_ThuChiKD[Ngày GD]) = YEAR(I$2)) *
(MONTH(Table_ThuChiKD[Ngày GD]) = MONTH(I$2))
)),0)
-IFERROR(
SUM(_xlfn._xlws.FILTER(Table_NopNS[Giá trị tính thuế],
(Table_NopNS[Ngân sách] = "Thuế VAT")*
(Table_NopNS[Năm]=YEAR(I$2))*
(Table_NopNS[Tháng] = MONTH(I$2))
)),0)</f>
        <v>0</v>
      </c>
      <c r="J33" s="334" cm="1">
        <f t="array" ref="J33">IFERROR(
SUM(_xlfn._xlws.FILTER(Table_ThuChiKD[Giá trị sau phí],
(Table_ThuChiKD[Loại GD] = "THU") *
(Table_ThuChiKD[Nội dung GD] ="Thu chi bán hàng") *
(YEAR(Table_ThuChiKD[Ngày GD]) = YEAR(J$2)) *
(MONTH(Table_ThuChiKD[Ngày GD]) = MONTH(J$2))
)),0)
-IFERROR(
SUM(_xlfn._xlws.FILTER(Table_ThuChiKD[Giá trị sau phí],
(Table_ThuChiKD[Loại GD] = "CHI") *
(Table_ThuChiKD[Nội dung GD] ="Thu chi bán hàng") *
(YEAR(Table_ThuChiKD[Ngày GD]) = YEAR(J$2)) *
(MONTH(Table_ThuChiKD[Ngày GD]) = MONTH(J$2))
)),0)
-IFERROR(
SUM(_xlfn._xlws.FILTER(Table_NopNS[Giá trị tính thuế],
(Table_NopNS[Ngân sách] = "Thuế VAT")*
(Table_NopNS[Năm]=YEAR(J$2))*
(Table_NopNS[Tháng] = MONTH(J$2))
)),0)</f>
        <v>0</v>
      </c>
      <c r="K33" s="334" cm="1">
        <f t="array" ref="K33">IFERROR(
SUM(_xlfn._xlws.FILTER(Table_ThuChiKD[Giá trị sau phí],
(Table_ThuChiKD[Loại GD] = "THU") *
(Table_ThuChiKD[Nội dung GD] ="Thu chi bán hàng") *
(YEAR(Table_ThuChiKD[Ngày GD]) = YEAR(K$2)) *
(MONTH(Table_ThuChiKD[Ngày GD]) = MONTH(K$2))
)),0)
-IFERROR(
SUM(_xlfn._xlws.FILTER(Table_ThuChiKD[Giá trị sau phí],
(Table_ThuChiKD[Loại GD] = "CHI") *
(Table_ThuChiKD[Nội dung GD] ="Thu chi bán hàng") *
(YEAR(Table_ThuChiKD[Ngày GD]) = YEAR(K$2)) *
(MONTH(Table_ThuChiKD[Ngày GD]) = MONTH(K$2))
)),0)
-IFERROR(
SUM(_xlfn._xlws.FILTER(Table_NopNS[Giá trị tính thuế],
(Table_NopNS[Ngân sách] = "Thuế VAT")*
(Table_NopNS[Năm]=YEAR(K$2))*
(Table_NopNS[Tháng] = MONTH(K$2))
)),0)</f>
        <v>0</v>
      </c>
      <c r="L33" s="334" cm="1">
        <f t="array" ref="L33">IFERROR(
SUM(_xlfn._xlws.FILTER(Table_ThuChiKD[Giá trị sau phí],
(Table_ThuChiKD[Loại GD] = "THU") *
(Table_ThuChiKD[Nội dung GD] ="Thu chi bán hàng") *
(YEAR(Table_ThuChiKD[Ngày GD]) = YEAR(L$2)) *
(MONTH(Table_ThuChiKD[Ngày GD]) = MONTH(L$2))
)),0)
-IFERROR(
SUM(_xlfn._xlws.FILTER(Table_ThuChiKD[Giá trị sau phí],
(Table_ThuChiKD[Loại GD] = "CHI") *
(Table_ThuChiKD[Nội dung GD] ="Thu chi bán hàng") *
(YEAR(Table_ThuChiKD[Ngày GD]) = YEAR(L$2)) *
(MONTH(Table_ThuChiKD[Ngày GD]) = MONTH(L$2))
)),0)
-IFERROR(
SUM(_xlfn._xlws.FILTER(Table_NopNS[Giá trị tính thuế],
(Table_NopNS[Ngân sách] = "Thuế VAT")*
(Table_NopNS[Năm]=YEAR(L$2))*
(Table_NopNS[Tháng] = MONTH(L$2))
)),0)</f>
        <v>0</v>
      </c>
      <c r="M33" s="334" cm="1">
        <f t="array" ref="M33">IFERROR(
SUM(_xlfn._xlws.FILTER(Table_ThuChiKD[Giá trị sau phí],
(Table_ThuChiKD[Loại GD] = "THU") *
(Table_ThuChiKD[Nội dung GD] ="Thu chi bán hàng") *
(YEAR(Table_ThuChiKD[Ngày GD]) = YEAR(M$2)) *
(MONTH(Table_ThuChiKD[Ngày GD]) = MONTH(M$2))
)),0)
-IFERROR(
SUM(_xlfn._xlws.FILTER(Table_ThuChiKD[Giá trị sau phí],
(Table_ThuChiKD[Loại GD] = "CHI") *
(Table_ThuChiKD[Nội dung GD] ="Thu chi bán hàng") *
(YEAR(Table_ThuChiKD[Ngày GD]) = YEAR(M$2)) *
(MONTH(Table_ThuChiKD[Ngày GD]) = MONTH(M$2))
)),0)
-IFERROR(
SUM(_xlfn._xlws.FILTER(Table_NopNS[Giá trị tính thuế],
(Table_NopNS[Ngân sách] = "Thuế VAT")*
(Table_NopNS[Năm]=YEAR(M$2))*
(Table_NopNS[Tháng] = MONTH(M$2))
)),0)</f>
        <v>0</v>
      </c>
      <c r="N33" s="334" cm="1">
        <f t="array" ref="N33">IFERROR(
SUM(_xlfn._xlws.FILTER(Table_ThuChiKD[Giá trị sau phí],
(Table_ThuChiKD[Loại GD] = "THU") *
(Table_ThuChiKD[Nội dung GD] ="Thu chi bán hàng") *
(YEAR(Table_ThuChiKD[Ngày GD]) = YEAR(N$2)) *
(MONTH(Table_ThuChiKD[Ngày GD]) = MONTH(N$2))
)),0)
-IFERROR(
SUM(_xlfn._xlws.FILTER(Table_ThuChiKD[Giá trị sau phí],
(Table_ThuChiKD[Loại GD] = "CHI") *
(Table_ThuChiKD[Nội dung GD] ="Thu chi bán hàng") *
(YEAR(Table_ThuChiKD[Ngày GD]) = YEAR(N$2)) *
(MONTH(Table_ThuChiKD[Ngày GD]) = MONTH(N$2))
)),0)
-IFERROR(
SUM(_xlfn._xlws.FILTER(Table_NopNS[Giá trị tính thuế],
(Table_NopNS[Ngân sách] = "Thuế VAT")*
(Table_NopNS[Năm]=YEAR(N$2))*
(Table_NopNS[Tháng] = MONTH(N$2))
)),0)</f>
        <v>0</v>
      </c>
      <c r="O33" s="334" cm="1">
        <f t="array" ref="O33">IFERROR(
SUM(_xlfn._xlws.FILTER(Table_ThuChiKD[Giá trị sau phí],
(Table_ThuChiKD[Loại GD] = "THU") *
(Table_ThuChiKD[Nội dung GD] ="Thu chi bán hàng") *
(YEAR(Table_ThuChiKD[Ngày GD]) = YEAR(O$2)) *
(MONTH(Table_ThuChiKD[Ngày GD]) = MONTH(O$2))
)),0)
-IFERROR(
SUM(_xlfn._xlws.FILTER(Table_ThuChiKD[Giá trị sau phí],
(Table_ThuChiKD[Loại GD] = "CHI") *
(Table_ThuChiKD[Nội dung GD] ="Thu chi bán hàng") *
(YEAR(Table_ThuChiKD[Ngày GD]) = YEAR(O$2)) *
(MONTH(Table_ThuChiKD[Ngày GD]) = MONTH(O$2))
)),0)
-IFERROR(
SUM(_xlfn._xlws.FILTER(Table_NopNS[Giá trị tính thuế],
(Table_NopNS[Ngân sách] = "Thuế VAT")*
(Table_NopNS[Năm]=YEAR(O$2))*
(Table_NopNS[Tháng] = MONTH(O$2))
)),0)</f>
        <v>0</v>
      </c>
      <c r="P33" s="323"/>
      <c r="Q33" s="247"/>
      <c r="R33" s="54" t="s">
        <v>302</v>
      </c>
      <c r="S33" s="328" cm="1">
        <f t="array" ref="S33">IFERROR(
SUM(_xlfn._xlws.FILTER(Table_ThuChiKD[Giá trị sau phí],
(Table_ThuChiKD[Loại GD] = "THU") *
(Table_ThuChiKD[Nội dung GD] ="Thu chi bán hàng") *
(YEAR(Table_ThuChiKD[Ngày GD]) = S$1)
)),0)
- IFERROR(
SUM(_xlfn._xlws.FILTER(Table_ThuChiKD[Giá trị sau phí],
(Table_ThuChiKD[Loại GD] = "CHI") *
(Table_ThuChiKD[Nội dung GD] ="Thu chi bán hàng") *
(YEAR(Table_ThuChiKD[Ngày GD]) = S$1)
)),0)
-IFERROR(
SUM(_xlfn._xlws.FILTER(Table_NopNS[Giá trị tính thuế],
(Table_NopNS[Ngân sách] = "Thuế VAT")*
(Table_NopNS[Năm]=S$1)
)),0)</f>
        <v>0</v>
      </c>
      <c r="T33" s="247"/>
      <c r="U33" s="54" t="s">
        <v>302</v>
      </c>
      <c r="V33" s="334" cm="1">
        <f t="array" ref="V33">IFERROR(
SUM(_xlfn._xlws.FILTER(Table_ThuChiKD[Giá trị sau phí],
(Table_ThuChiKD[Loại GD] = "THU") *
(Table_ThuChiKD[Nội dung GD] ="Thu chi bán hàng") *
(YEAR(Table_ThuChiKD[Ngày GD]) = YEAR(V$1)) *
(MONTH(Table_ThuChiKD[Ngày GD]) = MONTH(V$1))
)),0)
-IFERROR(
SUM(_xlfn._xlws.FILTER(Table_ThuChiKD[Giá trị sau phí],
(Table_ThuChiKD[Loại GD] = "CHI") *
(Table_ThuChiKD[Nội dung GD] ="Thu chi bán hàng") *
(YEAR(Table_ThuChiKD[Ngày GD]) = YEAR(V$1)) *
(MONTH(Table_ThuChiKD[Ngày GD]) = MONTH(V$1))
)),0)
-IFERROR(
SUM(_xlfn._xlws.FILTER(Table_NopNS[Giá trị tính thuế],
(Table_NopNS[Ngân sách] = "Thuế VAT")*
(Table_NopNS[Năm]=YEAR(V$1))*
(Table_NopNS[Tháng] = MONTH(V$1))
)),0)</f>
        <v>0</v>
      </c>
    </row>
    <row r="34" spans="2:22" ht="18" customHeight="1" outlineLevel="2" x14ac:dyDescent="0.3">
      <c r="B34" s="54" t="s">
        <v>303</v>
      </c>
      <c r="C34" s="335" cm="1">
        <f t="array" ref="C34">IFERROR(
SUM(_xlfn._xlws.FILTER(Table_NopNS[Giá trị tính thuế],
(Table_NopNS[Ngân sách] = "Thuế VAT")*
(Table_NopNS[Năm]=C$2)
)),0)</f>
        <v>0</v>
      </c>
      <c r="D34" s="334" cm="1">
        <f t="array" ref="D34">IFERROR(
SUM(_xlfn._xlws.FILTER(Table_NopNS[Giá trị tính thuế],
(Table_NopNS[Ngân sách] = "Thuế VAT")*
(Table_NopNS[Năm]=YEAR(D$2))*
(Table_NopNS[Tháng] = MONTH(D$2))
)),0)</f>
        <v>0</v>
      </c>
      <c r="E34" s="334" cm="1">
        <f t="array" ref="E34">IFERROR(
SUM(_xlfn._xlws.FILTER(Table_NopNS[Giá trị tính thuế],
(Table_NopNS[Ngân sách] = "Thuế VAT")*
(Table_NopNS[Năm]=YEAR(E$2))*
(Table_NopNS[Tháng] = MONTH(E$2))
)),0)</f>
        <v>0</v>
      </c>
      <c r="F34" s="334" cm="1">
        <f t="array" ref="F34">IFERROR(
SUM(_xlfn._xlws.FILTER(Table_NopNS[Giá trị tính thuế],
(Table_NopNS[Ngân sách] = "Thuế VAT")*
(Table_NopNS[Năm]=YEAR(F$2))*
(Table_NopNS[Tháng] = MONTH(F$2))
)),0)</f>
        <v>0</v>
      </c>
      <c r="G34" s="334" cm="1">
        <f t="array" ref="G34">IFERROR(
SUM(_xlfn._xlws.FILTER(Table_NopNS[Giá trị tính thuế],
(Table_NopNS[Ngân sách] = "Thuế VAT")*
(Table_NopNS[Năm]=YEAR(G$2))*
(Table_NopNS[Tháng] = MONTH(G$2))
)),0)</f>
        <v>0</v>
      </c>
      <c r="H34" s="334" cm="1">
        <f t="array" ref="H34">IFERROR(
SUM(_xlfn._xlws.FILTER(Table_NopNS[Giá trị tính thuế],
(Table_NopNS[Ngân sách] = "Thuế VAT")*
(Table_NopNS[Năm]=YEAR(H$2))*
(Table_NopNS[Tháng] = MONTH(H$2))
)),0)</f>
        <v>0</v>
      </c>
      <c r="I34" s="334" cm="1">
        <f t="array" ref="I34">IFERROR(
SUM(_xlfn._xlws.FILTER(Table_NopNS[Giá trị tính thuế],
(Table_NopNS[Ngân sách] = "Thuế VAT")*
(Table_NopNS[Năm]=YEAR(I$2))*
(Table_NopNS[Tháng] = MONTH(I$2))
)),0)</f>
        <v>0</v>
      </c>
      <c r="J34" s="334" cm="1">
        <f t="array" ref="J34">IFERROR(
SUM(_xlfn._xlws.FILTER(Table_NopNS[Giá trị tính thuế],
(Table_NopNS[Ngân sách] = "Thuế VAT")*
(Table_NopNS[Năm]=YEAR(J$2))*
(Table_NopNS[Tháng] = MONTH(J$2))
)),0)</f>
        <v>0</v>
      </c>
      <c r="K34" s="334" cm="1">
        <f t="array" ref="K34">IFERROR(
SUM(_xlfn._xlws.FILTER(Table_NopNS[Giá trị tính thuế],
(Table_NopNS[Ngân sách] = "Thuế VAT")*
(Table_NopNS[Năm]=YEAR(K$2))*
(Table_NopNS[Tháng] = MONTH(K$2))
)),0)</f>
        <v>0</v>
      </c>
      <c r="L34" s="334" cm="1">
        <f t="array" ref="L34">IFERROR(
SUM(_xlfn._xlws.FILTER(Table_NopNS[Giá trị tính thuế],
(Table_NopNS[Ngân sách] = "Thuế VAT")*
(Table_NopNS[Năm]=YEAR(L$2))*
(Table_NopNS[Tháng] = MONTH(L$2))
)),0)</f>
        <v>0</v>
      </c>
      <c r="M34" s="334" cm="1">
        <f t="array" ref="M34">IFERROR(
SUM(_xlfn._xlws.FILTER(Table_NopNS[Giá trị tính thuế],
(Table_NopNS[Ngân sách] = "Thuế VAT")*
(Table_NopNS[Năm]=YEAR(M$2))*
(Table_NopNS[Tháng] = MONTH(M$2))
)),0)</f>
        <v>0</v>
      </c>
      <c r="N34" s="334" cm="1">
        <f t="array" ref="N34">IFERROR(
SUM(_xlfn._xlws.FILTER(Table_NopNS[Giá trị tính thuế],
(Table_NopNS[Ngân sách] = "Thuế VAT")*
(Table_NopNS[Năm]=YEAR(N$2))*
(Table_NopNS[Tháng] = MONTH(N$2))
)),0)</f>
        <v>0</v>
      </c>
      <c r="O34" s="334" cm="1">
        <f t="array" ref="O34">IFERROR(
SUM(_xlfn._xlws.FILTER(Table_NopNS[Giá trị tính thuế],
(Table_NopNS[Ngân sách] = "Thuế VAT")*
(Table_NopNS[Năm]=YEAR(O$2))*
(Table_NopNS[Tháng] = MONTH(O$2))
)),0)</f>
        <v>0</v>
      </c>
      <c r="P34" s="334"/>
      <c r="Q34" s="240"/>
      <c r="R34" s="54" t="s">
        <v>303</v>
      </c>
      <c r="S34" s="335" cm="1">
        <f t="array" ref="S34">IFERROR(
SUM(_xlfn._xlws.FILTER(Table_NopNS[Giá trị tính thuế],
(Table_NopNS[Ngân sách] = "Thuế VAT")*
(Table_NopNS[Năm]=S$1)
)),0)</f>
        <v>0</v>
      </c>
      <c r="T34" s="240"/>
      <c r="U34" s="54" t="s">
        <v>303</v>
      </c>
      <c r="V34" s="334" cm="1">
        <f t="array" ref="V34">IFERROR(
SUM(_xlfn._xlws.FILTER(Table_NopNS[Giá trị tính thuế],
(Table_NopNS[Ngân sách] = "Thuế VAT")*
(Table_NopNS[Năm]=YEAR(V$1))*
(Table_NopNS[Tháng] = MONTH(V$1))
)),0)</f>
        <v>0</v>
      </c>
    </row>
    <row r="35" spans="2:22" ht="18" customHeight="1" outlineLevel="1" x14ac:dyDescent="0.3">
      <c r="B35" s="99" t="s">
        <v>101</v>
      </c>
      <c r="C35" s="123" t="e">
        <f t="shared" ref="C35:O35" si="11">(C9-C33)/C9</f>
        <v>#DIV/0!</v>
      </c>
      <c r="D35" s="123" t="e">
        <f t="shared" si="11"/>
        <v>#DIV/0!</v>
      </c>
      <c r="E35" s="123" t="e">
        <f t="shared" si="11"/>
        <v>#DIV/0!</v>
      </c>
      <c r="F35" s="123" t="e">
        <f t="shared" si="11"/>
        <v>#DIV/0!</v>
      </c>
      <c r="G35" s="123" t="e">
        <f t="shared" si="11"/>
        <v>#DIV/0!</v>
      </c>
      <c r="H35" s="123" t="e">
        <f t="shared" si="11"/>
        <v>#DIV/0!</v>
      </c>
      <c r="I35" s="123" t="e">
        <f t="shared" si="11"/>
        <v>#DIV/0!</v>
      </c>
      <c r="J35" s="123" t="e">
        <f t="shared" si="11"/>
        <v>#DIV/0!</v>
      </c>
      <c r="K35" s="123" t="e">
        <f t="shared" si="11"/>
        <v>#DIV/0!</v>
      </c>
      <c r="L35" s="123" t="e">
        <f t="shared" si="11"/>
        <v>#DIV/0!</v>
      </c>
      <c r="M35" s="123" t="e">
        <f t="shared" si="11"/>
        <v>#DIV/0!</v>
      </c>
      <c r="N35" s="123" t="e">
        <f t="shared" si="11"/>
        <v>#DIV/0!</v>
      </c>
      <c r="O35" s="123" t="e">
        <f t="shared" si="11"/>
        <v>#DIV/0!</v>
      </c>
      <c r="P35" s="323"/>
      <c r="Q35" s="240"/>
      <c r="R35" s="99" t="s">
        <v>101</v>
      </c>
      <c r="S35" s="123" t="e">
        <f>(S9-S33)/S9</f>
        <v>#DIV/0!</v>
      </c>
      <c r="T35" s="240"/>
      <c r="U35" s="99" t="s">
        <v>101</v>
      </c>
      <c r="V35" s="123" t="e">
        <f>(V9-V33)/V9</f>
        <v>#DIV/0!</v>
      </c>
    </row>
    <row r="36" spans="2:22" ht="18" customHeight="1" outlineLevel="1" x14ac:dyDescent="0.3">
      <c r="B36" s="124" t="s">
        <v>304</v>
      </c>
      <c r="C36" s="328">
        <f>+C37+C38+C39</f>
        <v>0</v>
      </c>
      <c r="D36" s="328">
        <f t="shared" ref="D36:O36" si="12">+D37+D38+D39</f>
        <v>0</v>
      </c>
      <c r="E36" s="328">
        <f t="shared" si="12"/>
        <v>0</v>
      </c>
      <c r="F36" s="328">
        <f t="shared" si="12"/>
        <v>0</v>
      </c>
      <c r="G36" s="328">
        <f t="shared" si="12"/>
        <v>0</v>
      </c>
      <c r="H36" s="328">
        <f t="shared" si="12"/>
        <v>0</v>
      </c>
      <c r="I36" s="328">
        <f t="shared" si="12"/>
        <v>0</v>
      </c>
      <c r="J36" s="328">
        <f t="shared" si="12"/>
        <v>0</v>
      </c>
      <c r="K36" s="328">
        <f t="shared" si="12"/>
        <v>0</v>
      </c>
      <c r="L36" s="328">
        <f t="shared" si="12"/>
        <v>0</v>
      </c>
      <c r="M36" s="328">
        <f t="shared" si="12"/>
        <v>0</v>
      </c>
      <c r="N36" s="328">
        <f t="shared" si="12"/>
        <v>0</v>
      </c>
      <c r="O36" s="328">
        <f t="shared" si="12"/>
        <v>0</v>
      </c>
      <c r="P36" s="323"/>
      <c r="Q36" s="240"/>
      <c r="R36" s="124" t="s">
        <v>304</v>
      </c>
      <c r="S36" s="107">
        <f>+S37+S38+S39</f>
        <v>0</v>
      </c>
      <c r="T36" s="240"/>
      <c r="U36" s="124" t="s">
        <v>304</v>
      </c>
      <c r="V36" s="107">
        <f>+V37+V38+V39</f>
        <v>0</v>
      </c>
    </row>
    <row r="37" spans="2:22" ht="18" customHeight="1" outlineLevel="2" x14ac:dyDescent="0.3">
      <c r="B37" s="73" t="s">
        <v>305</v>
      </c>
      <c r="C37" s="328" cm="1">
        <f t="array" ref="C37">IFERROR(
SUM(_xlfn._xlws.FILTER(Table_ThuChiKD[Giá trị sau phí],
(Table_ThuChiKD[Loại GD] = "THU") *
(Table_ThuChiKD[Nội dung GD] = "Thu chi mua hàng hóa, nguyên liệu, vật tư") *
(YEAR(Table_ThuChiKD[Ngày GD]) = $C$2)
)),0)
- IFERROR(
SUM(_xlfn._xlws.FILTER(Table_ThuChiKD[Giá trị sau phí],
(Table_ThuChiKD[Loại GD] = "CHI") *
(Table_ThuChiKD[Nội dung GD] ="Thu chi mua hàng hóa, nguyên liệu, vật tư") *
(YEAR(Table_ThuChiKD[Ngày GD]) = $C$2)
)),0)</f>
        <v>0</v>
      </c>
      <c r="D37" s="334" cm="1">
        <f t="array" ref="D37">IFERROR(
SUM(_xlfn._xlws.FILTER(Table_ThuChiKD[Giá trị sau phí],
(Table_ThuChiKD[Loại GD] = "THU") *
(Table_ThuChiKD[Nội dung GD] ="Thu chi mua hàng hóa, nguyên liệu, vật tư") *
(YEAR(Table_ThuChiKD[Ngày GD]) = YEAR(D$2)) *
(MONTH(Table_ThuChiKD[Ngày GD]) = MONTH(D$2))
)),0)
-IFERROR(
SUM(_xlfn._xlws.FILTER(Table_ThuChiKD[Giá trị sau phí],
(Table_ThuChiKD[Loại GD] = "CHI") *
(Table_ThuChiKD[Nội dung GD] ="Thu chi mua hàng hóa, nguyên liệu, vật tư") *
(YEAR(Table_ThuChiKD[Ngày GD]) = YEAR(D$2)) *
(MONTH(Table_ThuChiKD[Ngày GD]) = MONTH(D$2))
)),0)</f>
        <v>0</v>
      </c>
      <c r="E37" s="334" cm="1">
        <f t="array" ref="E37">IFERROR(
SUM(_xlfn._xlws.FILTER(Table_ThuChiKD[Giá trị sau phí],
(Table_ThuChiKD[Loại GD] = "THU") *
(Table_ThuChiKD[Nội dung GD] ="Thu chi mua hàng hóa, nguyên liệu, vật tư") *
(YEAR(Table_ThuChiKD[Ngày GD]) = YEAR(E$2)) *
(MONTH(Table_ThuChiKD[Ngày GD]) = MONTH(E$2))
)),0)
-IFERROR(
SUM(_xlfn._xlws.FILTER(Table_ThuChiKD[Giá trị sau phí],
(Table_ThuChiKD[Loại GD] = "CHI") *
(Table_ThuChiKD[Nội dung GD] ="Thu chi mua hàng hóa, nguyên liệu, vật tư") *
(YEAR(Table_ThuChiKD[Ngày GD]) = YEAR(E$2)) *
(MONTH(Table_ThuChiKD[Ngày GD]) = MONTH(E$2))
)),0)</f>
        <v>0</v>
      </c>
      <c r="F37" s="334" cm="1">
        <f t="array" ref="F37">IFERROR(
SUM(_xlfn._xlws.FILTER(Table_ThuChiKD[Giá trị sau phí],
(Table_ThuChiKD[Loại GD] = "THU") *
(Table_ThuChiKD[Nội dung GD] ="Thu chi mua hàng hóa, nguyên liệu, vật tư") *
(YEAR(Table_ThuChiKD[Ngày GD]) = YEAR(F$2)) *
(MONTH(Table_ThuChiKD[Ngày GD]) = MONTH(F$2))
)),0)
-IFERROR(
SUM(_xlfn._xlws.FILTER(Table_ThuChiKD[Giá trị sau phí],
(Table_ThuChiKD[Loại GD] = "CHI") *
(Table_ThuChiKD[Nội dung GD] ="Thu chi mua hàng hóa, nguyên liệu, vật tư") *
(YEAR(Table_ThuChiKD[Ngày GD]) = YEAR(F$2)) *
(MONTH(Table_ThuChiKD[Ngày GD]) = MONTH(F$2))
)),0)</f>
        <v>0</v>
      </c>
      <c r="G37" s="334" cm="1">
        <f t="array" ref="G37">IFERROR(
SUM(_xlfn._xlws.FILTER(Table_ThuChiKD[Giá trị sau phí],
(Table_ThuChiKD[Loại GD] = "THU") *
(Table_ThuChiKD[Nội dung GD] ="Thu chi mua hàng hóa, nguyên liệu, vật tư") *
(YEAR(Table_ThuChiKD[Ngày GD]) = YEAR(G$2)) *
(MONTH(Table_ThuChiKD[Ngày GD]) = MONTH(G$2))
)),0)
-IFERROR(
SUM(_xlfn._xlws.FILTER(Table_ThuChiKD[Giá trị sau phí],
(Table_ThuChiKD[Loại GD] = "CHI") *
(Table_ThuChiKD[Nội dung GD] ="Thu chi mua hàng hóa, nguyên liệu, vật tư") *
(YEAR(Table_ThuChiKD[Ngày GD]) = YEAR(G$2)) *
(MONTH(Table_ThuChiKD[Ngày GD]) = MONTH(G$2))
)),0)</f>
        <v>0</v>
      </c>
      <c r="H37" s="334" cm="1">
        <f t="array" ref="H37">IFERROR(
SUM(_xlfn._xlws.FILTER(Table_ThuChiKD[Giá trị sau phí],
(Table_ThuChiKD[Loại GD] = "THU") *
(Table_ThuChiKD[Nội dung GD] ="Thu chi mua hàng hóa, nguyên liệu, vật tư") *
(YEAR(Table_ThuChiKD[Ngày GD]) = YEAR(H$2)) *
(MONTH(Table_ThuChiKD[Ngày GD]) = MONTH(H$2))
)),0)
-IFERROR(
SUM(_xlfn._xlws.FILTER(Table_ThuChiKD[Giá trị sau phí],
(Table_ThuChiKD[Loại GD] = "CHI") *
(Table_ThuChiKD[Nội dung GD] ="Thu chi mua hàng hóa, nguyên liệu, vật tư") *
(YEAR(Table_ThuChiKD[Ngày GD]) = YEAR(H$2)) *
(MONTH(Table_ThuChiKD[Ngày GD]) = MONTH(H$2))
)),0)</f>
        <v>0</v>
      </c>
      <c r="I37" s="334" cm="1">
        <f t="array" ref="I37">IFERROR(
SUM(_xlfn._xlws.FILTER(Table_ThuChiKD[Giá trị sau phí],
(Table_ThuChiKD[Loại GD] = "THU") *
(Table_ThuChiKD[Nội dung GD] ="Thu chi mua hàng hóa, nguyên liệu, vật tư") *
(YEAR(Table_ThuChiKD[Ngày GD]) = YEAR(I$2)) *
(MONTH(Table_ThuChiKD[Ngày GD]) = MONTH(I$2))
)),0)
-IFERROR(
SUM(_xlfn._xlws.FILTER(Table_ThuChiKD[Giá trị sau phí],
(Table_ThuChiKD[Loại GD] = "CHI") *
(Table_ThuChiKD[Nội dung GD] ="Thu chi mua hàng hóa, nguyên liệu, vật tư") *
(YEAR(Table_ThuChiKD[Ngày GD]) = YEAR(I$2)) *
(MONTH(Table_ThuChiKD[Ngày GD]) = MONTH(I$2))
)),0)</f>
        <v>0</v>
      </c>
      <c r="J37" s="334" cm="1">
        <f t="array" ref="J37">IFERROR(
SUM(_xlfn._xlws.FILTER(Table_ThuChiKD[Giá trị sau phí],
(Table_ThuChiKD[Loại GD] = "THU") *
(Table_ThuChiKD[Nội dung GD] ="Thu chi mua hàng hóa, nguyên liệu, vật tư") *
(YEAR(Table_ThuChiKD[Ngày GD]) = YEAR(J$2)) *
(MONTH(Table_ThuChiKD[Ngày GD]) = MONTH(J$2))
)),0)
-IFERROR(
SUM(_xlfn._xlws.FILTER(Table_ThuChiKD[Giá trị sau phí],
(Table_ThuChiKD[Loại GD] = "CHI") *
(Table_ThuChiKD[Nội dung GD] ="Thu chi mua hàng hóa, nguyên liệu, vật tư") *
(YEAR(Table_ThuChiKD[Ngày GD]) = YEAR(J$2)) *
(MONTH(Table_ThuChiKD[Ngày GD]) = MONTH(J$2))
)),0)</f>
        <v>0</v>
      </c>
      <c r="K37" s="334" cm="1">
        <f t="array" ref="K37">IFERROR(
SUM(_xlfn._xlws.FILTER(Table_ThuChiKD[Giá trị sau phí],
(Table_ThuChiKD[Loại GD] = "THU") *
(Table_ThuChiKD[Nội dung GD] ="Thu chi mua hàng hóa, nguyên liệu, vật tư") *
(YEAR(Table_ThuChiKD[Ngày GD]) = YEAR(K$2)) *
(MONTH(Table_ThuChiKD[Ngày GD]) = MONTH(K$2))
)),0)
-IFERROR(
SUM(_xlfn._xlws.FILTER(Table_ThuChiKD[Giá trị sau phí],
(Table_ThuChiKD[Loại GD] = "CHI") *
(Table_ThuChiKD[Nội dung GD] ="Thu chi mua hàng hóa, nguyên liệu, vật tư") *
(YEAR(Table_ThuChiKD[Ngày GD]) = YEAR(K$2)) *
(MONTH(Table_ThuChiKD[Ngày GD]) = MONTH(K$2))
)),0)</f>
        <v>0</v>
      </c>
      <c r="L37" s="334" cm="1">
        <f t="array" ref="L37">IFERROR(
SUM(_xlfn._xlws.FILTER(Table_ThuChiKD[Giá trị sau phí],
(Table_ThuChiKD[Loại GD] = "THU") *
(Table_ThuChiKD[Nội dung GD] ="Thu chi mua hàng hóa, nguyên liệu, vật tư") *
(YEAR(Table_ThuChiKD[Ngày GD]) = YEAR(L$2)) *
(MONTH(Table_ThuChiKD[Ngày GD]) = MONTH(L$2))
)),0)
-IFERROR(
SUM(_xlfn._xlws.FILTER(Table_ThuChiKD[Giá trị sau phí],
(Table_ThuChiKD[Loại GD] = "CHI") *
(Table_ThuChiKD[Nội dung GD] ="Thu chi mua hàng hóa, nguyên liệu, vật tư") *
(YEAR(Table_ThuChiKD[Ngày GD]) = YEAR(L$2)) *
(MONTH(Table_ThuChiKD[Ngày GD]) = MONTH(L$2))
)),0)</f>
        <v>0</v>
      </c>
      <c r="M37" s="334" cm="1">
        <f t="array" ref="M37">IFERROR(
SUM(_xlfn._xlws.FILTER(Table_ThuChiKD[Giá trị sau phí],
(Table_ThuChiKD[Loại GD] = "THU") *
(Table_ThuChiKD[Nội dung GD] ="Thu chi mua hàng hóa, nguyên liệu, vật tư") *
(YEAR(Table_ThuChiKD[Ngày GD]) = YEAR(M$2)) *
(MONTH(Table_ThuChiKD[Ngày GD]) = MONTH(M$2))
)),0)
-IFERROR(
SUM(_xlfn._xlws.FILTER(Table_ThuChiKD[Giá trị sau phí],
(Table_ThuChiKD[Loại GD] = "CHI") *
(Table_ThuChiKD[Nội dung GD] ="Thu chi mua hàng hóa, nguyên liệu, vật tư") *
(YEAR(Table_ThuChiKD[Ngày GD]) = YEAR(M$2)) *
(MONTH(Table_ThuChiKD[Ngày GD]) = MONTH(M$2))
)),0)</f>
        <v>0</v>
      </c>
      <c r="N37" s="334" cm="1">
        <f t="array" ref="N37">IFERROR(
SUM(_xlfn._xlws.FILTER(Table_ThuChiKD[Giá trị sau phí],
(Table_ThuChiKD[Loại GD] = "THU") *
(Table_ThuChiKD[Nội dung GD] ="Thu chi mua hàng hóa, nguyên liệu, vật tư") *
(YEAR(Table_ThuChiKD[Ngày GD]) = YEAR(N$2)) *
(MONTH(Table_ThuChiKD[Ngày GD]) = MONTH(N$2))
)),0)
-IFERROR(
SUM(_xlfn._xlws.FILTER(Table_ThuChiKD[Giá trị sau phí],
(Table_ThuChiKD[Loại GD] = "CHI") *
(Table_ThuChiKD[Nội dung GD] ="Thu chi mua hàng hóa, nguyên liệu, vật tư") *
(YEAR(Table_ThuChiKD[Ngày GD]) = YEAR(N$2)) *
(MONTH(Table_ThuChiKD[Ngày GD]) = MONTH(N$2))
)),0)</f>
        <v>0</v>
      </c>
      <c r="O37" s="334" cm="1">
        <f t="array" ref="O37">IFERROR(
SUM(_xlfn._xlws.FILTER(Table_ThuChiKD[Giá trị sau phí],
(Table_ThuChiKD[Loại GD] = "THU") *
(Table_ThuChiKD[Nội dung GD] ="Thu chi mua hàng hóa, nguyên liệu, vật tư") *
(YEAR(Table_ThuChiKD[Ngày GD]) = YEAR(O$2)) *
(MONTH(Table_ThuChiKD[Ngày GD]) = MONTH(O$2))
)),0)
-IFERROR(
SUM(_xlfn._xlws.FILTER(Table_ThuChiKD[Giá trị sau phí],
(Table_ThuChiKD[Loại GD] = "CHI") *
(Table_ThuChiKD[Nội dung GD] ="Thu chi mua hàng hóa, nguyên liệu, vật tư") *
(YEAR(Table_ThuChiKD[Ngày GD]) = YEAR(O$2)) *
(MONTH(Table_ThuChiKD[Ngày GD]) = MONTH(O$2))
)),0)</f>
        <v>0</v>
      </c>
      <c r="P37" s="323"/>
      <c r="Q37" s="240"/>
      <c r="R37" s="73" t="s">
        <v>305</v>
      </c>
      <c r="S37" s="328" cm="1">
        <f t="array" ref="S37">IFERROR(
SUM(_xlfn._xlws.FILTER(Table_ThuChiKD[Giá trị sau phí],
(Table_ThuChiKD[Loại GD] = "THU") *
(Table_ThuChiKD[Nội dung GD] = "Thu chi mua hàng hóa, nguyên liệu, vật tư") *
(YEAR(Table_ThuChiKD[Ngày GD]) = S$1)
)),0)
- IFERROR(
SUM(_xlfn._xlws.FILTER(Table_ThuChiKD[Giá trị sau phí],
(Table_ThuChiKD[Loại GD] = "CHI") *
(Table_ThuChiKD[Nội dung GD] ="Thu chi mua hàng hóa, nguyên liệu, vật tư") *
(YEAR(Table_ThuChiKD[Ngày GD]) = S$1)
)),0)</f>
        <v>0</v>
      </c>
      <c r="T37" s="240"/>
      <c r="U37" s="73" t="s">
        <v>305</v>
      </c>
      <c r="V37" s="334" cm="1">
        <f t="array" ref="V37">IFERROR(
SUM(_xlfn._xlws.FILTER(Table_ThuChiKD[Giá trị sau phí],
(Table_ThuChiKD[Loại GD] = "THU") *
(Table_ThuChiKD[Nội dung GD] ="Thu chi mua hàng hóa, nguyên liệu, vật tư") *
(YEAR(Table_ThuChiKD[Ngày GD]) = YEAR(V$1)) *
(MONTH(Table_ThuChiKD[Ngày GD]) = MONTH(V$1))
)),0)
-IFERROR(
SUM(_xlfn._xlws.FILTER(Table_ThuChiKD[Giá trị sau phí],
(Table_ThuChiKD[Loại GD] = "CHI") *
(Table_ThuChiKD[Nội dung GD] ="Thu chi mua hàng hóa, nguyên liệu, vật tư") *
(YEAR(Table_ThuChiKD[Ngày GD]) = YEAR(V$1)) *
(MONTH(Table_ThuChiKD[Ngày GD]) = MONTH(V$1))
)),0)</f>
        <v>0</v>
      </c>
    </row>
    <row r="38" spans="2:22" ht="18" customHeight="1" outlineLevel="2" x14ac:dyDescent="0.3">
      <c r="B38" s="73" t="s">
        <v>306</v>
      </c>
      <c r="C38" s="328" cm="1">
        <f t="array" ref="C38">IFERROR(
SUM(_xlfn._xlws.FILTER(Table_ThuChiKD[Giá trị sau phí],
(Table_ThuChiKD[Loại GD] = "THU") *
(Table_ThuChiKD[Nội dung GD] = "Thu chi chi phí tiện ích") *
(YEAR(Table_ThuChiKD[Ngày GD]) = $C$2)
)),0)
- IFERROR(
SUM(_xlfn._xlws.FILTER(Table_ThuChiKD[Giá trị sau phí],
(Table_ThuChiKD[Loại GD] = "CHI") *
(Table_ThuChiKD[Nội dung GD] ="Thu chi chi phí tiện ích") *
(YEAR(Table_ThuChiKD[Ngày GD]) = $C$2)
)),0)
+IFERROR(
SUM(_xlfn._xlws.FILTER(Table_ThuChiKD[Giá trị sau phí],
(Table_ThuChiKD[Loại GD] = "THU") *
(Table_ThuChiKD[Nội dung GD] = "Thu chi chi phí marketing &amp; bán hàng") *
(YEAR(Table_ThuChiKD[Ngày GD]) = $C$2)
)),0)
- IFERROR(
SUM(_xlfn._xlws.FILTER(Table_ThuChiKD[Giá trị sau phí],
(Table_ThuChiKD[Loại GD] = "CHI") *
(Table_ThuChiKD[Nội dung GD] ="Thu chi chi phí marketing &amp; bán hàng") *
(YEAR(Table_ThuChiKD[Ngày GD]) = $C$2)
)),0)
+IFERROR(
SUM(_xlfn._xlws.FILTER(Table_ThuChiKD[Giá trị sau phí],
(Table_ThuChiKD[Loại GD] = "THU") *
(Table_ThuChiKD[Nội dung GD] = "Thu chi chi phí vận tải và dịch vụ khác") *
(YEAR(Table_ThuChiKD[Ngày GD]) = $C$2)
)),0)
- IFERROR(
SUM(_xlfn._xlws.FILTER(Table_ThuChiKD[Giá trị sau phí],
(Table_ThuChiKD[Loại GD] = "CHI") *
(Table_ThuChiKD[Nội dung GD] ="Thu chi chi phí vận tải và dịch vụ khác") *
(YEAR(Table_ThuChiKD[Ngày GD]) = $C$2)
)),0)</f>
        <v>0</v>
      </c>
      <c r="D38" s="334" cm="1">
        <f t="array" ref="D38">IFERROR(
SUM(_xlfn._xlws.FILTER(Table_ThuChiKD[Giá trị sau phí],
(Table_ThuChiKD[Loại GD] = "THU") *
(Table_ThuChiKD[Nội dung GD] ="Thu chi chi phí tiện ích") *
(YEAR(Table_ThuChiKD[Ngày GD]) = YEAR(D$2)) *
(MONTH(Table_ThuChiKD[Ngày GD]) = MONTH(D$2))
)),0)
-IFERROR(
SUM(_xlfn._xlws.FILTER(Table_ThuChiKD[Giá trị sau phí],
(Table_ThuChiKD[Loại GD] = "CHI") *
(Table_ThuChiKD[Nội dung GD] ="Thu chi chi phí tiện ích") *
(YEAR(Table_ThuChiKD[Ngày GD]) = YEAR(D$2)) *
(MONTH(Table_ThuChiKD[Ngày GD]) = MONTH(D$2))
)),0)
+IFERROR(
SUM(_xlfn._xlws.FILTER(Table_ThuChiKD[Giá trị sau phí],
(Table_ThuChiKD[Loại GD] = "THU") *
(Table_ThuChiKD[Nội dung GD] ="Thu chi chi phí marketing &amp; bán hàng") *
(YEAR(Table_ThuChiKD[Ngày GD]) = YEAR(D$2)) *
(MONTH(Table_ThuChiKD[Ngày GD]) = MONTH(D$2))
)),0)
-IFERROR(
SUM(_xlfn._xlws.FILTER(Table_ThuChiKD[Giá trị sau phí],
(Table_ThuChiKD[Loại GD] = "CHI") *
(Table_ThuChiKD[Nội dung GD] ="Thu chi chi phí marketing &amp; bán hàng") *
(YEAR(Table_ThuChiKD[Ngày GD]) = YEAR(D$2)) *
(MONTH(Table_ThuChiKD[Ngày GD]) = MONTH(D$2))
)),0)
+IFERROR(
SUM(_xlfn._xlws.FILTER(Table_ThuChiKD[Giá trị sau phí],
(Table_ThuChiKD[Loại GD] = "THU") *
(Table_ThuChiKD[Nội dung GD] ="Thu chi chi phí vận tải và dịch vụ khác") *
(YEAR(Table_ThuChiKD[Ngày GD]) = YEAR(D$2)) *
(MONTH(Table_ThuChiKD[Ngày GD]) = MONTH(D$2))
)),0)
-IFERROR(
SUM(_xlfn._xlws.FILTER(Table_ThuChiKD[Giá trị sau phí],
(Table_ThuChiKD[Loại GD] = "CHI") *
(Table_ThuChiKD[Nội dung GD] ="Thu chi chi phí vận tải và dịch vụ khác") *
(YEAR(Table_ThuChiKD[Ngày GD]) = YEAR(D$2)) *
(MONTH(Table_ThuChiKD[Ngày GD]) = MONTH(D$2))
)),0)</f>
        <v>0</v>
      </c>
      <c r="E38" s="334" cm="1">
        <f t="array" ref="E38">IFERROR(
SUM(_xlfn._xlws.FILTER(Table_ThuChiKD[Giá trị sau phí],
(Table_ThuChiKD[Loại GD] = "THU") *
(Table_ThuChiKD[Nội dung GD] ="Thu chi chi phí tiện ích") *
(YEAR(Table_ThuChiKD[Ngày GD]) = YEAR(E$2)) *
(MONTH(Table_ThuChiKD[Ngày GD]) = MONTH(E$2))
)),0)
-IFERROR(
SUM(_xlfn._xlws.FILTER(Table_ThuChiKD[Giá trị sau phí],
(Table_ThuChiKD[Loại GD] = "CHI") *
(Table_ThuChiKD[Nội dung GD] ="Thu chi chi phí tiện ích") *
(YEAR(Table_ThuChiKD[Ngày GD]) = YEAR(E$2)) *
(MONTH(Table_ThuChiKD[Ngày GD]) = MONTH(E$2))
)),0)
+IFERROR(
SUM(_xlfn._xlws.FILTER(Table_ThuChiKD[Giá trị sau phí],
(Table_ThuChiKD[Loại GD] = "THU") *
(Table_ThuChiKD[Nội dung GD] ="Thu chi chi phí marketing &amp; bán hàng") *
(YEAR(Table_ThuChiKD[Ngày GD]) = YEAR(E$2)) *
(MONTH(Table_ThuChiKD[Ngày GD]) = MONTH(E$2))
)),0)
-IFERROR(
SUM(_xlfn._xlws.FILTER(Table_ThuChiKD[Giá trị sau phí],
(Table_ThuChiKD[Loại GD] = "CHI") *
(Table_ThuChiKD[Nội dung GD] ="Thu chi chi phí marketing &amp; bán hàng") *
(YEAR(Table_ThuChiKD[Ngày GD]) = YEAR(E$2)) *
(MONTH(Table_ThuChiKD[Ngày GD]) = MONTH(E$2))
)),0)
+IFERROR(
SUM(_xlfn._xlws.FILTER(Table_ThuChiKD[Giá trị sau phí],
(Table_ThuChiKD[Loại GD] = "THU") *
(Table_ThuChiKD[Nội dung GD] ="Thu chi chi phí vận tải và dịch vụ khác") *
(YEAR(Table_ThuChiKD[Ngày GD]) = YEAR(E$2)) *
(MONTH(Table_ThuChiKD[Ngày GD]) = MONTH(E$2))
)),0)
-IFERROR(
SUM(_xlfn._xlws.FILTER(Table_ThuChiKD[Giá trị sau phí],
(Table_ThuChiKD[Loại GD] = "CHI") *
(Table_ThuChiKD[Nội dung GD] ="Thu chi chi phí vận tải và dịch vụ khác") *
(YEAR(Table_ThuChiKD[Ngày GD]) = YEAR(E$2)) *
(MONTH(Table_ThuChiKD[Ngày GD]) = MONTH(E$2))
)),0)</f>
        <v>0</v>
      </c>
      <c r="F38" s="334" cm="1">
        <f t="array" ref="F38">IFERROR(
SUM(_xlfn._xlws.FILTER(Table_ThuChiKD[Giá trị sau phí],
(Table_ThuChiKD[Loại GD] = "THU") *
(Table_ThuChiKD[Nội dung GD] ="Thu chi chi phí tiện ích") *
(YEAR(Table_ThuChiKD[Ngày GD]) = YEAR(F$2)) *
(MONTH(Table_ThuChiKD[Ngày GD]) = MONTH(F$2))
)),0)
-IFERROR(
SUM(_xlfn._xlws.FILTER(Table_ThuChiKD[Giá trị sau phí],
(Table_ThuChiKD[Loại GD] = "CHI") *
(Table_ThuChiKD[Nội dung GD] ="Thu chi chi phí tiện ích") *
(YEAR(Table_ThuChiKD[Ngày GD]) = YEAR(F$2)) *
(MONTH(Table_ThuChiKD[Ngày GD]) = MONTH(F$2))
)),0)
+IFERROR(
SUM(_xlfn._xlws.FILTER(Table_ThuChiKD[Giá trị sau phí],
(Table_ThuChiKD[Loại GD] = "THU") *
(Table_ThuChiKD[Nội dung GD] ="Thu chi chi phí marketing &amp; bán hàng") *
(YEAR(Table_ThuChiKD[Ngày GD]) = YEAR(F$2)) *
(MONTH(Table_ThuChiKD[Ngày GD]) = MONTH(F$2))
)),0)
-IFERROR(
SUM(_xlfn._xlws.FILTER(Table_ThuChiKD[Giá trị sau phí],
(Table_ThuChiKD[Loại GD] = "CHI") *
(Table_ThuChiKD[Nội dung GD] ="Thu chi chi phí marketing &amp; bán hàng") *
(YEAR(Table_ThuChiKD[Ngày GD]) = YEAR(F$2)) *
(MONTH(Table_ThuChiKD[Ngày GD]) = MONTH(F$2))
)),0)
+IFERROR(
SUM(_xlfn._xlws.FILTER(Table_ThuChiKD[Giá trị sau phí],
(Table_ThuChiKD[Loại GD] = "THU") *
(Table_ThuChiKD[Nội dung GD] ="Thu chi chi phí vận tải và dịch vụ khác") *
(YEAR(Table_ThuChiKD[Ngày GD]) = YEAR(F$2)) *
(MONTH(Table_ThuChiKD[Ngày GD]) = MONTH(F$2))
)),0)
-IFERROR(
SUM(_xlfn._xlws.FILTER(Table_ThuChiKD[Giá trị sau phí],
(Table_ThuChiKD[Loại GD] = "CHI") *
(Table_ThuChiKD[Nội dung GD] ="Thu chi chi phí vận tải và dịch vụ khác") *
(YEAR(Table_ThuChiKD[Ngày GD]) = YEAR(F$2)) *
(MONTH(Table_ThuChiKD[Ngày GD]) = MONTH(F$2))
)),0)</f>
        <v>0</v>
      </c>
      <c r="G38" s="334" cm="1">
        <f t="array" ref="G38">IFERROR(
SUM(_xlfn._xlws.FILTER(Table_ThuChiKD[Giá trị sau phí],
(Table_ThuChiKD[Loại GD] = "THU") *
(Table_ThuChiKD[Nội dung GD] ="Thu chi chi phí tiện ích") *
(YEAR(Table_ThuChiKD[Ngày GD]) = YEAR(G$2)) *
(MONTH(Table_ThuChiKD[Ngày GD]) = MONTH(G$2))
)),0)
-IFERROR(
SUM(_xlfn._xlws.FILTER(Table_ThuChiKD[Giá trị sau phí],
(Table_ThuChiKD[Loại GD] = "CHI") *
(Table_ThuChiKD[Nội dung GD] ="Thu chi chi phí tiện ích") *
(YEAR(Table_ThuChiKD[Ngày GD]) = YEAR(G$2)) *
(MONTH(Table_ThuChiKD[Ngày GD]) = MONTH(G$2))
)),0)
+IFERROR(
SUM(_xlfn._xlws.FILTER(Table_ThuChiKD[Giá trị sau phí],
(Table_ThuChiKD[Loại GD] = "THU") *
(Table_ThuChiKD[Nội dung GD] ="Thu chi chi phí marketing &amp; bán hàng") *
(YEAR(Table_ThuChiKD[Ngày GD]) = YEAR(G$2)) *
(MONTH(Table_ThuChiKD[Ngày GD]) = MONTH(G$2))
)),0)
-IFERROR(
SUM(_xlfn._xlws.FILTER(Table_ThuChiKD[Giá trị sau phí],
(Table_ThuChiKD[Loại GD] = "CHI") *
(Table_ThuChiKD[Nội dung GD] ="Thu chi chi phí marketing &amp; bán hàng") *
(YEAR(Table_ThuChiKD[Ngày GD]) = YEAR(G$2)) *
(MONTH(Table_ThuChiKD[Ngày GD]) = MONTH(G$2))
)),0)
+IFERROR(
SUM(_xlfn._xlws.FILTER(Table_ThuChiKD[Giá trị sau phí],
(Table_ThuChiKD[Loại GD] = "THU") *
(Table_ThuChiKD[Nội dung GD] ="Thu chi chi phí vận tải và dịch vụ khác") *
(YEAR(Table_ThuChiKD[Ngày GD]) = YEAR(G$2)) *
(MONTH(Table_ThuChiKD[Ngày GD]) = MONTH(G$2))
)),0)
-IFERROR(
SUM(_xlfn._xlws.FILTER(Table_ThuChiKD[Giá trị sau phí],
(Table_ThuChiKD[Loại GD] = "CHI") *
(Table_ThuChiKD[Nội dung GD] ="Thu chi chi phí vận tải và dịch vụ khác") *
(YEAR(Table_ThuChiKD[Ngày GD]) = YEAR(G$2)) *
(MONTH(Table_ThuChiKD[Ngày GD]) = MONTH(G$2))
)),0)</f>
        <v>0</v>
      </c>
      <c r="H38" s="334" cm="1">
        <f t="array" ref="H38">IFERROR(
SUM(_xlfn._xlws.FILTER(Table_ThuChiKD[Giá trị sau phí],
(Table_ThuChiKD[Loại GD] = "THU") *
(Table_ThuChiKD[Nội dung GD] ="Thu chi chi phí tiện ích") *
(YEAR(Table_ThuChiKD[Ngày GD]) = YEAR(H$2)) *
(MONTH(Table_ThuChiKD[Ngày GD]) = MONTH(H$2))
)),0)
-IFERROR(
SUM(_xlfn._xlws.FILTER(Table_ThuChiKD[Giá trị sau phí],
(Table_ThuChiKD[Loại GD] = "CHI") *
(Table_ThuChiKD[Nội dung GD] ="Thu chi chi phí tiện ích") *
(YEAR(Table_ThuChiKD[Ngày GD]) = YEAR(H$2)) *
(MONTH(Table_ThuChiKD[Ngày GD]) = MONTH(H$2))
)),0)
+IFERROR(
SUM(_xlfn._xlws.FILTER(Table_ThuChiKD[Giá trị sau phí],
(Table_ThuChiKD[Loại GD] = "THU") *
(Table_ThuChiKD[Nội dung GD] ="Thu chi chi phí marketing &amp; bán hàng") *
(YEAR(Table_ThuChiKD[Ngày GD]) = YEAR(H$2)) *
(MONTH(Table_ThuChiKD[Ngày GD]) = MONTH(H$2))
)),0)
-IFERROR(
SUM(_xlfn._xlws.FILTER(Table_ThuChiKD[Giá trị sau phí],
(Table_ThuChiKD[Loại GD] = "CHI") *
(Table_ThuChiKD[Nội dung GD] ="Thu chi chi phí marketing &amp; bán hàng") *
(YEAR(Table_ThuChiKD[Ngày GD]) = YEAR(H$2)) *
(MONTH(Table_ThuChiKD[Ngày GD]) = MONTH(H$2))
)),0)
+IFERROR(
SUM(_xlfn._xlws.FILTER(Table_ThuChiKD[Giá trị sau phí],
(Table_ThuChiKD[Loại GD] = "THU") *
(Table_ThuChiKD[Nội dung GD] ="Thu chi chi phí vận tải và dịch vụ khác") *
(YEAR(Table_ThuChiKD[Ngày GD]) = YEAR(H$2)) *
(MONTH(Table_ThuChiKD[Ngày GD]) = MONTH(H$2))
)),0)
-IFERROR(
SUM(_xlfn._xlws.FILTER(Table_ThuChiKD[Giá trị sau phí],
(Table_ThuChiKD[Loại GD] = "CHI") *
(Table_ThuChiKD[Nội dung GD] ="Thu chi chi phí vận tải và dịch vụ khác") *
(YEAR(Table_ThuChiKD[Ngày GD]) = YEAR(H$2)) *
(MONTH(Table_ThuChiKD[Ngày GD]) = MONTH(H$2))
)),0)</f>
        <v>0</v>
      </c>
      <c r="I38" s="334" cm="1">
        <f t="array" ref="I38">IFERROR(
SUM(_xlfn._xlws.FILTER(Table_ThuChiKD[Giá trị sau phí],
(Table_ThuChiKD[Loại GD] = "THU") *
(Table_ThuChiKD[Nội dung GD] ="Thu chi chi phí tiện ích") *
(YEAR(Table_ThuChiKD[Ngày GD]) = YEAR(I$2)) *
(MONTH(Table_ThuChiKD[Ngày GD]) = MONTH(I$2))
)),0)
-IFERROR(
SUM(_xlfn._xlws.FILTER(Table_ThuChiKD[Giá trị sau phí],
(Table_ThuChiKD[Loại GD] = "CHI") *
(Table_ThuChiKD[Nội dung GD] ="Thu chi chi phí tiện ích") *
(YEAR(Table_ThuChiKD[Ngày GD]) = YEAR(I$2)) *
(MONTH(Table_ThuChiKD[Ngày GD]) = MONTH(I$2))
)),0)
+IFERROR(
SUM(_xlfn._xlws.FILTER(Table_ThuChiKD[Giá trị sau phí],
(Table_ThuChiKD[Loại GD] = "THU") *
(Table_ThuChiKD[Nội dung GD] ="Thu chi chi phí marketing &amp; bán hàng") *
(YEAR(Table_ThuChiKD[Ngày GD]) = YEAR(I$2)) *
(MONTH(Table_ThuChiKD[Ngày GD]) = MONTH(I$2))
)),0)
-IFERROR(
SUM(_xlfn._xlws.FILTER(Table_ThuChiKD[Giá trị sau phí],
(Table_ThuChiKD[Loại GD] = "CHI") *
(Table_ThuChiKD[Nội dung GD] ="Thu chi chi phí marketing &amp; bán hàng") *
(YEAR(Table_ThuChiKD[Ngày GD]) = YEAR(I$2)) *
(MONTH(Table_ThuChiKD[Ngày GD]) = MONTH(I$2))
)),0)
+IFERROR(
SUM(_xlfn._xlws.FILTER(Table_ThuChiKD[Giá trị sau phí],
(Table_ThuChiKD[Loại GD] = "THU") *
(Table_ThuChiKD[Nội dung GD] ="Thu chi chi phí vận tải và dịch vụ khác") *
(YEAR(Table_ThuChiKD[Ngày GD]) = YEAR(I$2)) *
(MONTH(Table_ThuChiKD[Ngày GD]) = MONTH(I$2))
)),0)
-IFERROR(
SUM(_xlfn._xlws.FILTER(Table_ThuChiKD[Giá trị sau phí],
(Table_ThuChiKD[Loại GD] = "CHI") *
(Table_ThuChiKD[Nội dung GD] ="Thu chi chi phí vận tải và dịch vụ khác") *
(YEAR(Table_ThuChiKD[Ngày GD]) = YEAR(I$2)) *
(MONTH(Table_ThuChiKD[Ngày GD]) = MONTH(I$2))
)),0)</f>
        <v>0</v>
      </c>
      <c r="J38" s="334" cm="1">
        <f t="array" ref="J38">IFERROR(
SUM(_xlfn._xlws.FILTER(Table_ThuChiKD[Giá trị sau phí],
(Table_ThuChiKD[Loại GD] = "THU") *
(Table_ThuChiKD[Nội dung GD] ="Thu chi chi phí tiện ích") *
(YEAR(Table_ThuChiKD[Ngày GD]) = YEAR(J$2)) *
(MONTH(Table_ThuChiKD[Ngày GD]) = MONTH(J$2))
)),0)
-IFERROR(
SUM(_xlfn._xlws.FILTER(Table_ThuChiKD[Giá trị sau phí],
(Table_ThuChiKD[Loại GD] = "CHI") *
(Table_ThuChiKD[Nội dung GD] ="Thu chi chi phí tiện ích") *
(YEAR(Table_ThuChiKD[Ngày GD]) = YEAR(J$2)) *
(MONTH(Table_ThuChiKD[Ngày GD]) = MONTH(J$2))
)),0)
+IFERROR(
SUM(_xlfn._xlws.FILTER(Table_ThuChiKD[Giá trị sau phí],
(Table_ThuChiKD[Loại GD] = "THU") *
(Table_ThuChiKD[Nội dung GD] ="Thu chi chi phí marketing &amp; bán hàng") *
(YEAR(Table_ThuChiKD[Ngày GD]) = YEAR(J$2)) *
(MONTH(Table_ThuChiKD[Ngày GD]) = MONTH(J$2))
)),0)
-IFERROR(
SUM(_xlfn._xlws.FILTER(Table_ThuChiKD[Giá trị sau phí],
(Table_ThuChiKD[Loại GD] = "CHI") *
(Table_ThuChiKD[Nội dung GD] ="Thu chi chi phí marketing &amp; bán hàng") *
(YEAR(Table_ThuChiKD[Ngày GD]) = YEAR(J$2)) *
(MONTH(Table_ThuChiKD[Ngày GD]) = MONTH(J$2))
)),0)
+IFERROR(
SUM(_xlfn._xlws.FILTER(Table_ThuChiKD[Giá trị sau phí],
(Table_ThuChiKD[Loại GD] = "THU") *
(Table_ThuChiKD[Nội dung GD] ="Thu chi chi phí vận tải và dịch vụ khác") *
(YEAR(Table_ThuChiKD[Ngày GD]) = YEAR(J$2)) *
(MONTH(Table_ThuChiKD[Ngày GD]) = MONTH(J$2))
)),0)
-IFERROR(
SUM(_xlfn._xlws.FILTER(Table_ThuChiKD[Giá trị sau phí],
(Table_ThuChiKD[Loại GD] = "CHI") *
(Table_ThuChiKD[Nội dung GD] ="Thu chi chi phí vận tải và dịch vụ khác") *
(YEAR(Table_ThuChiKD[Ngày GD]) = YEAR(J$2)) *
(MONTH(Table_ThuChiKD[Ngày GD]) = MONTH(J$2))
)),0)</f>
        <v>0</v>
      </c>
      <c r="K38" s="334" cm="1">
        <f t="array" ref="K38">IFERROR(
SUM(_xlfn._xlws.FILTER(Table_ThuChiKD[Giá trị sau phí],
(Table_ThuChiKD[Loại GD] = "THU") *
(Table_ThuChiKD[Nội dung GD] ="Thu chi chi phí tiện ích") *
(YEAR(Table_ThuChiKD[Ngày GD]) = YEAR(K$2)) *
(MONTH(Table_ThuChiKD[Ngày GD]) = MONTH(K$2))
)),0)
-IFERROR(
SUM(_xlfn._xlws.FILTER(Table_ThuChiKD[Giá trị sau phí],
(Table_ThuChiKD[Loại GD] = "CHI") *
(Table_ThuChiKD[Nội dung GD] ="Thu chi chi phí tiện ích") *
(YEAR(Table_ThuChiKD[Ngày GD]) = YEAR(K$2)) *
(MONTH(Table_ThuChiKD[Ngày GD]) = MONTH(K$2))
)),0)
+IFERROR(
SUM(_xlfn._xlws.FILTER(Table_ThuChiKD[Giá trị sau phí],
(Table_ThuChiKD[Loại GD] = "THU") *
(Table_ThuChiKD[Nội dung GD] ="Thu chi chi phí marketing &amp; bán hàng") *
(YEAR(Table_ThuChiKD[Ngày GD]) = YEAR(K$2)) *
(MONTH(Table_ThuChiKD[Ngày GD]) = MONTH(K$2))
)),0)
-IFERROR(
SUM(_xlfn._xlws.FILTER(Table_ThuChiKD[Giá trị sau phí],
(Table_ThuChiKD[Loại GD] = "CHI") *
(Table_ThuChiKD[Nội dung GD] ="Thu chi chi phí marketing &amp; bán hàng") *
(YEAR(Table_ThuChiKD[Ngày GD]) = YEAR(K$2)) *
(MONTH(Table_ThuChiKD[Ngày GD]) = MONTH(K$2))
)),0)
+IFERROR(
SUM(_xlfn._xlws.FILTER(Table_ThuChiKD[Giá trị sau phí],
(Table_ThuChiKD[Loại GD] = "THU") *
(Table_ThuChiKD[Nội dung GD] ="Thu chi chi phí vận tải và dịch vụ khác") *
(YEAR(Table_ThuChiKD[Ngày GD]) = YEAR(K$2)) *
(MONTH(Table_ThuChiKD[Ngày GD]) = MONTH(K$2))
)),0)
-IFERROR(
SUM(_xlfn._xlws.FILTER(Table_ThuChiKD[Giá trị sau phí],
(Table_ThuChiKD[Loại GD] = "CHI") *
(Table_ThuChiKD[Nội dung GD] ="Thu chi chi phí vận tải và dịch vụ khác") *
(YEAR(Table_ThuChiKD[Ngày GD]) = YEAR(K$2)) *
(MONTH(Table_ThuChiKD[Ngày GD]) = MONTH(K$2))
)),0)</f>
        <v>0</v>
      </c>
      <c r="L38" s="334" cm="1">
        <f t="array" ref="L38">IFERROR(
SUM(_xlfn._xlws.FILTER(Table_ThuChiKD[Giá trị sau phí],
(Table_ThuChiKD[Loại GD] = "THU") *
(Table_ThuChiKD[Nội dung GD] ="Thu chi chi phí tiện ích") *
(YEAR(Table_ThuChiKD[Ngày GD]) = YEAR(L$2)) *
(MONTH(Table_ThuChiKD[Ngày GD]) = MONTH(L$2))
)),0)
-IFERROR(
SUM(_xlfn._xlws.FILTER(Table_ThuChiKD[Giá trị sau phí],
(Table_ThuChiKD[Loại GD] = "CHI") *
(Table_ThuChiKD[Nội dung GD] ="Thu chi chi phí tiện ích") *
(YEAR(Table_ThuChiKD[Ngày GD]) = YEAR(L$2)) *
(MONTH(Table_ThuChiKD[Ngày GD]) = MONTH(L$2))
)),0)
+IFERROR(
SUM(_xlfn._xlws.FILTER(Table_ThuChiKD[Giá trị sau phí],
(Table_ThuChiKD[Loại GD] = "THU") *
(Table_ThuChiKD[Nội dung GD] ="Thu chi chi phí marketing &amp; bán hàng") *
(YEAR(Table_ThuChiKD[Ngày GD]) = YEAR(L$2)) *
(MONTH(Table_ThuChiKD[Ngày GD]) = MONTH(L$2))
)),0)
-IFERROR(
SUM(_xlfn._xlws.FILTER(Table_ThuChiKD[Giá trị sau phí],
(Table_ThuChiKD[Loại GD] = "CHI") *
(Table_ThuChiKD[Nội dung GD] ="Thu chi chi phí marketing &amp; bán hàng") *
(YEAR(Table_ThuChiKD[Ngày GD]) = YEAR(L$2)) *
(MONTH(Table_ThuChiKD[Ngày GD]) = MONTH(L$2))
)),0)
+IFERROR(
SUM(_xlfn._xlws.FILTER(Table_ThuChiKD[Giá trị sau phí],
(Table_ThuChiKD[Loại GD] = "THU") *
(Table_ThuChiKD[Nội dung GD] ="Thu chi chi phí vận tải và dịch vụ khác") *
(YEAR(Table_ThuChiKD[Ngày GD]) = YEAR(L$2)) *
(MONTH(Table_ThuChiKD[Ngày GD]) = MONTH(L$2))
)),0)
-IFERROR(
SUM(_xlfn._xlws.FILTER(Table_ThuChiKD[Giá trị sau phí],
(Table_ThuChiKD[Loại GD] = "CHI") *
(Table_ThuChiKD[Nội dung GD] ="Thu chi chi phí vận tải và dịch vụ khác") *
(YEAR(Table_ThuChiKD[Ngày GD]) = YEAR(L$2)) *
(MONTH(Table_ThuChiKD[Ngày GD]) = MONTH(L$2))
)),0)</f>
        <v>0</v>
      </c>
      <c r="M38" s="334" cm="1">
        <f t="array" ref="M38">IFERROR(
SUM(_xlfn._xlws.FILTER(Table_ThuChiKD[Giá trị sau phí],
(Table_ThuChiKD[Loại GD] = "THU") *
(Table_ThuChiKD[Nội dung GD] ="Thu chi chi phí tiện ích") *
(YEAR(Table_ThuChiKD[Ngày GD]) = YEAR(M$2)) *
(MONTH(Table_ThuChiKD[Ngày GD]) = MONTH(M$2))
)),0)
-IFERROR(
SUM(_xlfn._xlws.FILTER(Table_ThuChiKD[Giá trị sau phí],
(Table_ThuChiKD[Loại GD] = "CHI") *
(Table_ThuChiKD[Nội dung GD] ="Thu chi chi phí tiện ích") *
(YEAR(Table_ThuChiKD[Ngày GD]) = YEAR(M$2)) *
(MONTH(Table_ThuChiKD[Ngày GD]) = MONTH(M$2))
)),0)
+IFERROR(
SUM(_xlfn._xlws.FILTER(Table_ThuChiKD[Giá trị sau phí],
(Table_ThuChiKD[Loại GD] = "THU") *
(Table_ThuChiKD[Nội dung GD] ="Thu chi chi phí marketing &amp; bán hàng") *
(YEAR(Table_ThuChiKD[Ngày GD]) = YEAR(M$2)) *
(MONTH(Table_ThuChiKD[Ngày GD]) = MONTH(M$2))
)),0)
-IFERROR(
SUM(_xlfn._xlws.FILTER(Table_ThuChiKD[Giá trị sau phí],
(Table_ThuChiKD[Loại GD] = "CHI") *
(Table_ThuChiKD[Nội dung GD] ="Thu chi chi phí marketing &amp; bán hàng") *
(YEAR(Table_ThuChiKD[Ngày GD]) = YEAR(M$2)) *
(MONTH(Table_ThuChiKD[Ngày GD]) = MONTH(M$2))
)),0)
+IFERROR(
SUM(_xlfn._xlws.FILTER(Table_ThuChiKD[Giá trị sau phí],
(Table_ThuChiKD[Loại GD] = "THU") *
(Table_ThuChiKD[Nội dung GD] ="Thu chi chi phí vận tải và dịch vụ khác") *
(YEAR(Table_ThuChiKD[Ngày GD]) = YEAR(M$2)) *
(MONTH(Table_ThuChiKD[Ngày GD]) = MONTH(M$2))
)),0)
-IFERROR(
SUM(_xlfn._xlws.FILTER(Table_ThuChiKD[Giá trị sau phí],
(Table_ThuChiKD[Loại GD] = "CHI") *
(Table_ThuChiKD[Nội dung GD] ="Thu chi chi phí vận tải và dịch vụ khác") *
(YEAR(Table_ThuChiKD[Ngày GD]) = YEAR(M$2)) *
(MONTH(Table_ThuChiKD[Ngày GD]) = MONTH(M$2))
)),0)</f>
        <v>0</v>
      </c>
      <c r="N38" s="334" cm="1">
        <f t="array" ref="N38">IFERROR(
SUM(_xlfn._xlws.FILTER(Table_ThuChiKD[Giá trị sau phí],
(Table_ThuChiKD[Loại GD] = "THU") *
(Table_ThuChiKD[Nội dung GD] ="Thu chi chi phí tiện ích") *
(YEAR(Table_ThuChiKD[Ngày GD]) = YEAR(N$2)) *
(MONTH(Table_ThuChiKD[Ngày GD]) = MONTH(N$2))
)),0)
-IFERROR(
SUM(_xlfn._xlws.FILTER(Table_ThuChiKD[Giá trị sau phí],
(Table_ThuChiKD[Loại GD] = "CHI") *
(Table_ThuChiKD[Nội dung GD] ="Thu chi chi phí tiện ích") *
(YEAR(Table_ThuChiKD[Ngày GD]) = YEAR(N$2)) *
(MONTH(Table_ThuChiKD[Ngày GD]) = MONTH(N$2))
)),0)
+IFERROR(
SUM(_xlfn._xlws.FILTER(Table_ThuChiKD[Giá trị sau phí],
(Table_ThuChiKD[Loại GD] = "THU") *
(Table_ThuChiKD[Nội dung GD] ="Thu chi chi phí marketing &amp; bán hàng") *
(YEAR(Table_ThuChiKD[Ngày GD]) = YEAR(N$2)) *
(MONTH(Table_ThuChiKD[Ngày GD]) = MONTH(N$2))
)),0)
-IFERROR(
SUM(_xlfn._xlws.FILTER(Table_ThuChiKD[Giá trị sau phí],
(Table_ThuChiKD[Loại GD] = "CHI") *
(Table_ThuChiKD[Nội dung GD] ="Thu chi chi phí marketing &amp; bán hàng") *
(YEAR(Table_ThuChiKD[Ngày GD]) = YEAR(N$2)) *
(MONTH(Table_ThuChiKD[Ngày GD]) = MONTH(N$2))
)),0)
+IFERROR(
SUM(_xlfn._xlws.FILTER(Table_ThuChiKD[Giá trị sau phí],
(Table_ThuChiKD[Loại GD] = "THU") *
(Table_ThuChiKD[Nội dung GD] ="Thu chi chi phí vận tải và dịch vụ khác") *
(YEAR(Table_ThuChiKD[Ngày GD]) = YEAR(N$2)) *
(MONTH(Table_ThuChiKD[Ngày GD]) = MONTH(N$2))
)),0)
-IFERROR(
SUM(_xlfn._xlws.FILTER(Table_ThuChiKD[Giá trị sau phí],
(Table_ThuChiKD[Loại GD] = "CHI") *
(Table_ThuChiKD[Nội dung GD] ="Thu chi chi phí vận tải và dịch vụ khác") *
(YEAR(Table_ThuChiKD[Ngày GD]) = YEAR(N$2)) *
(MONTH(Table_ThuChiKD[Ngày GD]) = MONTH(N$2))
)),0)</f>
        <v>0</v>
      </c>
      <c r="O38" s="334" cm="1">
        <f t="array" ref="O38">IFERROR(
SUM(_xlfn._xlws.FILTER(Table_ThuChiKD[Giá trị sau phí],
(Table_ThuChiKD[Loại GD] = "THU") *
(Table_ThuChiKD[Nội dung GD] ="Thu chi chi phí tiện ích") *
(YEAR(Table_ThuChiKD[Ngày GD]) = YEAR(O$2)) *
(MONTH(Table_ThuChiKD[Ngày GD]) = MONTH(O$2))
)),0)
-IFERROR(
SUM(_xlfn._xlws.FILTER(Table_ThuChiKD[Giá trị sau phí],
(Table_ThuChiKD[Loại GD] = "CHI") *
(Table_ThuChiKD[Nội dung GD] ="Thu chi chi phí tiện ích") *
(YEAR(Table_ThuChiKD[Ngày GD]) = YEAR(O$2)) *
(MONTH(Table_ThuChiKD[Ngày GD]) = MONTH(O$2))
)),0)
+IFERROR(
SUM(_xlfn._xlws.FILTER(Table_ThuChiKD[Giá trị sau phí],
(Table_ThuChiKD[Loại GD] = "THU") *
(Table_ThuChiKD[Nội dung GD] ="Thu chi chi phí marketing &amp; bán hàng") *
(YEAR(Table_ThuChiKD[Ngày GD]) = YEAR(O$2)) *
(MONTH(Table_ThuChiKD[Ngày GD]) = MONTH(O$2))
)),0)
-IFERROR(
SUM(_xlfn._xlws.FILTER(Table_ThuChiKD[Giá trị sau phí],
(Table_ThuChiKD[Loại GD] = "CHI") *
(Table_ThuChiKD[Nội dung GD] ="Thu chi chi phí marketing &amp; bán hàng") *
(YEAR(Table_ThuChiKD[Ngày GD]) = YEAR(O$2)) *
(MONTH(Table_ThuChiKD[Ngày GD]) = MONTH(O$2))
)),0)
+IFERROR(
SUM(_xlfn._xlws.FILTER(Table_ThuChiKD[Giá trị sau phí],
(Table_ThuChiKD[Loại GD] = "THU") *
(Table_ThuChiKD[Nội dung GD] ="Thu chi chi phí vận tải và dịch vụ khác") *
(YEAR(Table_ThuChiKD[Ngày GD]) = YEAR(O$2)) *
(MONTH(Table_ThuChiKD[Ngày GD]) = MONTH(O$2))
)),0)
-IFERROR(
SUM(_xlfn._xlws.FILTER(Table_ThuChiKD[Giá trị sau phí],
(Table_ThuChiKD[Loại GD] = "CHI") *
(Table_ThuChiKD[Nội dung GD] ="Thu chi chi phí vận tải và dịch vụ khác") *
(YEAR(Table_ThuChiKD[Ngày GD]) = YEAR(O$2)) *
(MONTH(Table_ThuChiKD[Ngày GD]) = MONTH(O$2))
)),0)</f>
        <v>0</v>
      </c>
      <c r="P38" s="323"/>
      <c r="Q38" s="240"/>
      <c r="R38" s="73" t="s">
        <v>306</v>
      </c>
      <c r="S38" s="328" cm="1">
        <f t="array" ref="S38">IFERROR(
SUM(_xlfn._xlws.FILTER(Table_ThuChiKD[Giá trị sau phí],
(Table_ThuChiKD[Loại GD] = "THU") *
(Table_ThuChiKD[Nội dung GD] = "Thu chi chi phí tiện ích") *
(YEAR(Table_ThuChiKD[Ngày GD]) = S$1)
)),0)
- IFERROR(
SUM(_xlfn._xlws.FILTER(Table_ThuChiKD[Giá trị sau phí],
(Table_ThuChiKD[Loại GD] = "CHI") *
(Table_ThuChiKD[Nội dung GD] ="Thu chi chi phí tiện ích") *
(YEAR(Table_ThuChiKD[Ngày GD]) = S$1)
)),0)
+IFERROR(
SUM(_xlfn._xlws.FILTER(Table_ThuChiKD[Giá trị sau phí],
(Table_ThuChiKD[Loại GD] = "THU") *
(Table_ThuChiKD[Nội dung GD] = "Thu chi chi phí marketing &amp; bán hàng") *
(YEAR(Table_ThuChiKD[Ngày GD]) = S$1)
)),0)
- IFERROR(
SUM(_xlfn._xlws.FILTER(Table_ThuChiKD[Giá trị sau phí],
(Table_ThuChiKD[Loại GD] = "CHI") *
(Table_ThuChiKD[Nội dung GD] ="Thu chi chi phí marketing &amp; bán hàng") *
(YEAR(Table_ThuChiKD[Ngày GD]) = S$1)
)),0)
+IFERROR(
SUM(_xlfn._xlws.FILTER(Table_ThuChiKD[Giá trị sau phí],
(Table_ThuChiKD[Loại GD] = "THU") *
(Table_ThuChiKD[Nội dung GD] = "Thu chi chi phí vận tải và dịch vụ khác") *
(YEAR(Table_ThuChiKD[Ngày GD]) = S$1)
)),0)
- IFERROR(
SUM(_xlfn._xlws.FILTER(Table_ThuChiKD[Giá trị sau phí],
(Table_ThuChiKD[Loại GD] = "CHI") *
(Table_ThuChiKD[Nội dung GD] ="Thu chi chi phí vận tải và dịch vụ khác") *
(YEAR(Table_ThuChiKD[Ngày GD]) = S$1)
)),0)</f>
        <v>0</v>
      </c>
      <c r="T38" s="240"/>
      <c r="U38" s="73" t="s">
        <v>306</v>
      </c>
      <c r="V38" s="334" cm="1">
        <f t="array" ref="V38">IFERROR(
SUM(_xlfn._xlws.FILTER(Table_ThuChiKD[Giá trị sau phí],
(Table_ThuChiKD[Loại GD] = "THU") *
(Table_ThuChiKD[Nội dung GD] ="Thu chi chi phí tiện ích") *
(YEAR(Table_ThuChiKD[Ngày GD]) = YEAR(V$1)) *
(MONTH(Table_ThuChiKD[Ngày GD]) = MONTH(V$1))
)),0)
-IFERROR(
SUM(_xlfn._xlws.FILTER(Table_ThuChiKD[Giá trị sau phí],
(Table_ThuChiKD[Loại GD] = "CHI") *
(Table_ThuChiKD[Nội dung GD] ="Thu chi chi phí tiện ích") *
(YEAR(Table_ThuChiKD[Ngày GD]) = YEAR(V$1)) *
(MONTH(Table_ThuChiKD[Ngày GD]) = MONTH(V$1))
)),0)
+IFERROR(
SUM(_xlfn._xlws.FILTER(Table_ThuChiKD[Giá trị sau phí],
(Table_ThuChiKD[Loại GD] = "THU") *
(Table_ThuChiKD[Nội dung GD] ="Thu chi chi phí marketing &amp; bán hàng") *
(YEAR(Table_ThuChiKD[Ngày GD]) = YEAR(V$1)) *
(MONTH(Table_ThuChiKD[Ngày GD]) = MONTH(V$1))
)),0)
-IFERROR(
SUM(_xlfn._xlws.FILTER(Table_ThuChiKD[Giá trị sau phí],
(Table_ThuChiKD[Loại GD] = "CHI") *
(Table_ThuChiKD[Nội dung GD] ="Thu chi chi phí marketing &amp; bán hàng") *
(YEAR(Table_ThuChiKD[Ngày GD]) = YEAR(V$1)) *
(MONTH(Table_ThuChiKD[Ngày GD]) = MONTH(V$1))
)),0)
+IFERROR(
SUM(_xlfn._xlws.FILTER(Table_ThuChiKD[Giá trị sau phí],
(Table_ThuChiKD[Loại GD] = "THU") *
(Table_ThuChiKD[Nội dung GD] ="Thu chi chi phí vận tải và dịch vụ khác") *
(YEAR(Table_ThuChiKD[Ngày GD]) = YEAR(V$1)) *
(MONTH(Table_ThuChiKD[Ngày GD]) = MONTH(V$1))
)),0)
-IFERROR(
SUM(_xlfn._xlws.FILTER(Table_ThuChiKD[Giá trị sau phí],
(Table_ThuChiKD[Loại GD] = "CHI") *
(Table_ThuChiKD[Nội dung GD] ="Thu chi chi phí vận tải và dịch vụ khác") *
(YEAR(Table_ThuChiKD[Ngày GD]) = YEAR(V$1)) *
(MONTH(Table_ThuChiKD[Ngày GD]) = MONTH(V$1))
)),0)</f>
        <v>0</v>
      </c>
    </row>
    <row r="39" spans="2:22" ht="18" customHeight="1" outlineLevel="2" x14ac:dyDescent="0.3">
      <c r="B39" s="73" t="s">
        <v>307</v>
      </c>
      <c r="C39" s="328" cm="1">
        <f t="array" ref="C39">IFERROR(
SUM(_xlfn._xlws.FILTER(Table_ThuChiKD[Giá trị sau phí],
(Table_ThuChiKD[Loại GD] = "THU") *
(Table_ThuChiKD[Nội dung GD] = "Tiền trả người lao động") *
(YEAR(Table_ThuChiKD[Ngày GD]) = $C$2)
)),0)
- IFERROR(
SUM(_xlfn._xlws.FILTER(Table_ThuChiKD[Giá trị sau phí],
(Table_ThuChiKD[Loại GD] = "CHI") *
(Table_ThuChiKD[Nội dung GD] ="Tiền trả người lao động") *
(YEAR(Table_ThuChiKD[Ngày GD]) = $C$2)
)),0)</f>
        <v>0</v>
      </c>
      <c r="D39" s="334" cm="1">
        <f t="array" ref="D39">IFERROR(
SUM(_xlfn._xlws.FILTER(Table_ThuChiKD[Giá trị sau phí],
(Table_ThuChiKD[Loại GD] = "THU") *
(Table_ThuChiKD[Nội dung GD] ="Tiền trả người lao động") *
(YEAR(Table_ThuChiKD[Ngày GD]) = YEAR(D$2)) *
(MONTH(Table_ThuChiKD[Ngày GD]) = MONTH(D$2))
)),0)
-IFERROR(
SUM(_xlfn._xlws.FILTER(Table_ThuChiKD[Giá trị sau phí],
(Table_ThuChiKD[Loại GD] = "CHI") *
(Table_ThuChiKD[Nội dung GD] ="Tiền trả người lao động") *
(YEAR(Table_ThuChiKD[Ngày GD]) = YEAR(D$2)) *
(MONTH(Table_ThuChiKD[Ngày GD]) = MONTH(D$2))
)),0)</f>
        <v>0</v>
      </c>
      <c r="E39" s="334" cm="1">
        <f t="array" ref="E39">IFERROR(
SUM(_xlfn._xlws.FILTER(Table_ThuChiKD[Giá trị sau phí],
(Table_ThuChiKD[Loại GD] = "THU") *
(Table_ThuChiKD[Nội dung GD] ="Tiền trả người lao động") *
(YEAR(Table_ThuChiKD[Ngày GD]) = YEAR(E$2)) *
(MONTH(Table_ThuChiKD[Ngày GD]) = MONTH(E$2))
)),0)
-IFERROR(
SUM(_xlfn._xlws.FILTER(Table_ThuChiKD[Giá trị sau phí],
(Table_ThuChiKD[Loại GD] = "CHI") *
(Table_ThuChiKD[Nội dung GD] ="Tiền trả người lao động") *
(YEAR(Table_ThuChiKD[Ngày GD]) = YEAR(E$2)) *
(MONTH(Table_ThuChiKD[Ngày GD]) = MONTH(E$2))
)),0)</f>
        <v>0</v>
      </c>
      <c r="F39" s="334" cm="1">
        <f t="array" ref="F39">IFERROR(
SUM(_xlfn._xlws.FILTER(Table_ThuChiKD[Giá trị sau phí],
(Table_ThuChiKD[Loại GD] = "THU") *
(Table_ThuChiKD[Nội dung GD] ="Tiền trả người lao động") *
(YEAR(Table_ThuChiKD[Ngày GD]) = YEAR(F$2)) *
(MONTH(Table_ThuChiKD[Ngày GD]) = MONTH(F$2))
)),0)
-IFERROR(
SUM(_xlfn._xlws.FILTER(Table_ThuChiKD[Giá trị sau phí],
(Table_ThuChiKD[Loại GD] = "CHI") *
(Table_ThuChiKD[Nội dung GD] ="Tiền trả người lao động") *
(YEAR(Table_ThuChiKD[Ngày GD]) = YEAR(F$2)) *
(MONTH(Table_ThuChiKD[Ngày GD]) = MONTH(F$2))
)),0)</f>
        <v>0</v>
      </c>
      <c r="G39" s="334" cm="1">
        <f t="array" ref="G39">IFERROR(
SUM(_xlfn._xlws.FILTER(Table_ThuChiKD[Giá trị sau phí],
(Table_ThuChiKD[Loại GD] = "THU") *
(Table_ThuChiKD[Nội dung GD] ="Tiền trả người lao động") *
(YEAR(Table_ThuChiKD[Ngày GD]) = YEAR(G$2)) *
(MONTH(Table_ThuChiKD[Ngày GD]) = MONTH(G$2))
)),0)
-IFERROR(
SUM(_xlfn._xlws.FILTER(Table_ThuChiKD[Giá trị sau phí],
(Table_ThuChiKD[Loại GD] = "CHI") *
(Table_ThuChiKD[Nội dung GD] ="Tiền trả người lao động") *
(YEAR(Table_ThuChiKD[Ngày GD]) = YEAR(G$2)) *
(MONTH(Table_ThuChiKD[Ngày GD]) = MONTH(G$2))
)),0)</f>
        <v>0</v>
      </c>
      <c r="H39" s="334" cm="1">
        <f t="array" ref="H39">IFERROR(
SUM(_xlfn._xlws.FILTER(Table_ThuChiKD[Giá trị sau phí],
(Table_ThuChiKD[Loại GD] = "THU") *
(Table_ThuChiKD[Nội dung GD] ="Tiền trả người lao động") *
(YEAR(Table_ThuChiKD[Ngày GD]) = YEAR(H$2)) *
(MONTH(Table_ThuChiKD[Ngày GD]) = MONTH(H$2))
)),0)
-IFERROR(
SUM(_xlfn._xlws.FILTER(Table_ThuChiKD[Giá trị sau phí],
(Table_ThuChiKD[Loại GD] = "CHI") *
(Table_ThuChiKD[Nội dung GD] ="Tiền trả người lao động") *
(YEAR(Table_ThuChiKD[Ngày GD]) = YEAR(H$2)) *
(MONTH(Table_ThuChiKD[Ngày GD]) = MONTH(H$2))
)),0)</f>
        <v>0</v>
      </c>
      <c r="I39" s="334" cm="1">
        <f t="array" ref="I39">IFERROR(
SUM(_xlfn._xlws.FILTER(Table_ThuChiKD[Giá trị sau phí],
(Table_ThuChiKD[Loại GD] = "THU") *
(Table_ThuChiKD[Nội dung GD] ="Tiền trả người lao động") *
(YEAR(Table_ThuChiKD[Ngày GD]) = YEAR(I$2)) *
(MONTH(Table_ThuChiKD[Ngày GD]) = MONTH(I$2))
)),0)
-IFERROR(
SUM(_xlfn._xlws.FILTER(Table_ThuChiKD[Giá trị sau phí],
(Table_ThuChiKD[Loại GD] = "CHI") *
(Table_ThuChiKD[Nội dung GD] ="Tiền trả người lao động") *
(YEAR(Table_ThuChiKD[Ngày GD]) = YEAR(I$2)) *
(MONTH(Table_ThuChiKD[Ngày GD]) = MONTH(I$2))
)),0)</f>
        <v>0</v>
      </c>
      <c r="J39" s="334" cm="1">
        <f t="array" ref="J39">IFERROR(
SUM(_xlfn._xlws.FILTER(Table_ThuChiKD[Giá trị sau phí],
(Table_ThuChiKD[Loại GD] = "THU") *
(Table_ThuChiKD[Nội dung GD] ="Tiền trả người lao động") *
(YEAR(Table_ThuChiKD[Ngày GD]) = YEAR(J$2)) *
(MONTH(Table_ThuChiKD[Ngày GD]) = MONTH(J$2))
)),0)
-IFERROR(
SUM(_xlfn._xlws.FILTER(Table_ThuChiKD[Giá trị sau phí],
(Table_ThuChiKD[Loại GD] = "CHI") *
(Table_ThuChiKD[Nội dung GD] ="Tiền trả người lao động") *
(YEAR(Table_ThuChiKD[Ngày GD]) = YEAR(J$2)) *
(MONTH(Table_ThuChiKD[Ngày GD]) = MONTH(J$2))
)),0)</f>
        <v>0</v>
      </c>
      <c r="K39" s="334" cm="1">
        <f t="array" ref="K39">IFERROR(
SUM(_xlfn._xlws.FILTER(Table_ThuChiKD[Giá trị sau phí],
(Table_ThuChiKD[Loại GD] = "THU") *
(Table_ThuChiKD[Nội dung GD] ="Tiền trả người lao động") *
(YEAR(Table_ThuChiKD[Ngày GD]) = YEAR(K$2)) *
(MONTH(Table_ThuChiKD[Ngày GD]) = MONTH(K$2))
)),0)
-IFERROR(
SUM(_xlfn._xlws.FILTER(Table_ThuChiKD[Giá trị sau phí],
(Table_ThuChiKD[Loại GD] = "CHI") *
(Table_ThuChiKD[Nội dung GD] ="Tiền trả người lao động") *
(YEAR(Table_ThuChiKD[Ngày GD]) = YEAR(K$2)) *
(MONTH(Table_ThuChiKD[Ngày GD]) = MONTH(K$2))
)),0)</f>
        <v>0</v>
      </c>
      <c r="L39" s="334" cm="1">
        <f t="array" ref="L39">IFERROR(
SUM(_xlfn._xlws.FILTER(Table_ThuChiKD[Giá trị sau phí],
(Table_ThuChiKD[Loại GD] = "THU") *
(Table_ThuChiKD[Nội dung GD] ="Tiền trả người lao động") *
(YEAR(Table_ThuChiKD[Ngày GD]) = YEAR(L$2)) *
(MONTH(Table_ThuChiKD[Ngày GD]) = MONTH(L$2))
)),0)
-IFERROR(
SUM(_xlfn._xlws.FILTER(Table_ThuChiKD[Giá trị sau phí],
(Table_ThuChiKD[Loại GD] = "CHI") *
(Table_ThuChiKD[Nội dung GD] ="Tiền trả người lao động") *
(YEAR(Table_ThuChiKD[Ngày GD]) = YEAR(L$2)) *
(MONTH(Table_ThuChiKD[Ngày GD]) = MONTH(L$2))
)),0)</f>
        <v>0</v>
      </c>
      <c r="M39" s="334" cm="1">
        <f t="array" ref="M39">IFERROR(
SUM(_xlfn._xlws.FILTER(Table_ThuChiKD[Giá trị sau phí],
(Table_ThuChiKD[Loại GD] = "THU") *
(Table_ThuChiKD[Nội dung GD] ="Tiền trả người lao động") *
(YEAR(Table_ThuChiKD[Ngày GD]) = YEAR(M$2)) *
(MONTH(Table_ThuChiKD[Ngày GD]) = MONTH(M$2))
)),0)
-IFERROR(
SUM(_xlfn._xlws.FILTER(Table_ThuChiKD[Giá trị sau phí],
(Table_ThuChiKD[Loại GD] = "CHI") *
(Table_ThuChiKD[Nội dung GD] ="Tiền trả người lao động") *
(YEAR(Table_ThuChiKD[Ngày GD]) = YEAR(M$2)) *
(MONTH(Table_ThuChiKD[Ngày GD]) = MONTH(M$2))
)),0)</f>
        <v>0</v>
      </c>
      <c r="N39" s="334" cm="1">
        <f t="array" ref="N39">IFERROR(
SUM(_xlfn._xlws.FILTER(Table_ThuChiKD[Giá trị sau phí],
(Table_ThuChiKD[Loại GD] = "THU") *
(Table_ThuChiKD[Nội dung GD] ="Tiền trả người lao động") *
(YEAR(Table_ThuChiKD[Ngày GD]) = YEAR(N$2)) *
(MONTH(Table_ThuChiKD[Ngày GD]) = MONTH(N$2))
)),0)
-IFERROR(
SUM(_xlfn._xlws.FILTER(Table_ThuChiKD[Giá trị sau phí],
(Table_ThuChiKD[Loại GD] = "CHI") *
(Table_ThuChiKD[Nội dung GD] ="Tiền trả người lao động") *
(YEAR(Table_ThuChiKD[Ngày GD]) = YEAR(N$2)) *
(MONTH(Table_ThuChiKD[Ngày GD]) = MONTH(N$2))
)),0)</f>
        <v>0</v>
      </c>
      <c r="O39" s="334" cm="1">
        <f t="array" ref="O39">IFERROR(
SUM(_xlfn._xlws.FILTER(Table_ThuChiKD[Giá trị sau phí],
(Table_ThuChiKD[Loại GD] = "THU") *
(Table_ThuChiKD[Nội dung GD] ="Tiền trả người lao động") *
(YEAR(Table_ThuChiKD[Ngày GD]) = YEAR(O$2)) *
(MONTH(Table_ThuChiKD[Ngày GD]) = MONTH(O$2))
)),0)
-IFERROR(
SUM(_xlfn._xlws.FILTER(Table_ThuChiKD[Giá trị sau phí],
(Table_ThuChiKD[Loại GD] = "CHI") *
(Table_ThuChiKD[Nội dung GD] ="Tiền trả người lao động") *
(YEAR(Table_ThuChiKD[Ngày GD]) = YEAR(O$2)) *
(MONTH(Table_ThuChiKD[Ngày GD]) = MONTH(O$2))
)),0)</f>
        <v>0</v>
      </c>
      <c r="P39" s="323"/>
      <c r="Q39" s="240"/>
      <c r="R39" s="73" t="s">
        <v>307</v>
      </c>
      <c r="S39" s="328" cm="1">
        <f t="array" ref="S39">IFERROR(
SUM(_xlfn._xlws.FILTER(Table_ThuChiKD[Giá trị sau phí],
(Table_ThuChiKD[Loại GD] = "THU") *
(Table_ThuChiKD[Nội dung GD] = "Tiền trả người lao động") *
(YEAR(Table_ThuChiKD[Ngày GD]) = S$1)
)),0)
- IFERROR(
SUM(_xlfn._xlws.FILTER(Table_ThuChiKD[Giá trị sau phí],
(Table_ThuChiKD[Loại GD] = "CHI") *
(Table_ThuChiKD[Nội dung GD] ="Tiền trả người lao động") *
(YEAR(Table_ThuChiKD[Ngày GD]) = S$1)
)),0)</f>
        <v>0</v>
      </c>
      <c r="T39" s="240"/>
      <c r="U39" s="73" t="s">
        <v>307</v>
      </c>
      <c r="V39" s="334" cm="1">
        <f t="array" ref="V39">IFERROR(
SUM(_xlfn._xlws.FILTER(Table_ThuChiKD[Giá trị sau phí],
(Table_ThuChiKD[Loại GD] = "THU") *
(Table_ThuChiKD[Nội dung GD] ="Tiền trả người lao động") *
(YEAR(Table_ThuChiKD[Ngày GD]) = YEAR(V$1)) *
(MONTH(Table_ThuChiKD[Ngày GD]) = MONTH(V$1))
)),0)
-IFERROR(
SUM(_xlfn._xlws.FILTER(Table_ThuChiKD[Giá trị sau phí],
(Table_ThuChiKD[Loại GD] = "CHI") *
(Table_ThuChiKD[Nội dung GD] ="Tiền trả người lao động") *
(YEAR(Table_ThuChiKD[Ngày GD]) = YEAR(V$1)) *
(MONTH(Table_ThuChiKD[Ngày GD]) = MONTH(V$1))
)),0)</f>
        <v>0</v>
      </c>
    </row>
    <row r="40" spans="2:22" ht="18" customHeight="1" outlineLevel="2" x14ac:dyDescent="0.3">
      <c r="B40" s="99" t="s">
        <v>106</v>
      </c>
      <c r="C40" s="125" t="e">
        <f t="shared" ref="C40:O40" si="13">(SUM(C12:C15)+C17+SUM(C21:C25)-C36)/(SUM(C12:C15)+C17+SUM(C21:C25))</f>
        <v>#DIV/0!</v>
      </c>
      <c r="D40" s="125" t="e">
        <f t="shared" si="13"/>
        <v>#DIV/0!</v>
      </c>
      <c r="E40" s="125" t="e">
        <f t="shared" si="13"/>
        <v>#DIV/0!</v>
      </c>
      <c r="F40" s="125" t="e">
        <f t="shared" si="13"/>
        <v>#DIV/0!</v>
      </c>
      <c r="G40" s="125" t="e">
        <f t="shared" si="13"/>
        <v>#DIV/0!</v>
      </c>
      <c r="H40" s="125" t="e">
        <f t="shared" si="13"/>
        <v>#DIV/0!</v>
      </c>
      <c r="I40" s="125" t="e">
        <f t="shared" si="13"/>
        <v>#DIV/0!</v>
      </c>
      <c r="J40" s="125" t="e">
        <f t="shared" si="13"/>
        <v>#DIV/0!</v>
      </c>
      <c r="K40" s="125" t="e">
        <f t="shared" si="13"/>
        <v>#DIV/0!</v>
      </c>
      <c r="L40" s="125" t="e">
        <f t="shared" si="13"/>
        <v>#DIV/0!</v>
      </c>
      <c r="M40" s="125" t="e">
        <f t="shared" si="13"/>
        <v>#DIV/0!</v>
      </c>
      <c r="N40" s="125" t="e">
        <f t="shared" si="13"/>
        <v>#DIV/0!</v>
      </c>
      <c r="O40" s="125" t="e">
        <f t="shared" si="13"/>
        <v>#DIV/0!</v>
      </c>
      <c r="P40" s="323"/>
      <c r="Q40" s="240"/>
      <c r="R40" s="99" t="s">
        <v>106</v>
      </c>
      <c r="S40" s="125" t="e">
        <f>(SUM(S12:S15)+S17+SUM(S21:S25)-S36)/(SUM(S12:S15)+S17+SUM(S21:S25))</f>
        <v>#DIV/0!</v>
      </c>
      <c r="T40" s="240"/>
      <c r="U40" s="99" t="s">
        <v>106</v>
      </c>
      <c r="V40" s="125" t="e">
        <f>(SUM(V12:V15)+V17+SUM(V21:V25)-V36)/(SUM(V12:V15)+V17+SUM(V21:V25))</f>
        <v>#DIV/0!</v>
      </c>
    </row>
    <row r="41" spans="2:22" ht="18" customHeight="1" outlineLevel="1" x14ac:dyDescent="0.3">
      <c r="B41" s="124" t="s">
        <v>308</v>
      </c>
      <c r="C41" s="328" cm="1">
        <f t="array" ref="C41">IFERROR(
SUM(_xlfn._xlws.FILTER(Table_ThuChiKD[Giá trị sau phí],
(Table_ThuChiKD[Loại GD] = "THU") *
(Table_ThuChiKD[Nội dung GD] = "Thu chi thuế phí &amp; lệ phí trả NSNN") *
(YEAR(Table_ThuChiKD[Ngày GD]) = $C$2)
)),0)
- IFERROR(
SUM(_xlfn._xlws.FILTER(Table_ThuChiKD[Giá trị sau phí],
(Table_ThuChiKD[Loại GD] = "CHI") *
(Table_ThuChiKD[Nội dung GD] ="Thu chi thuế phí &amp; lệ phí trả NSNN") *
(YEAR(Table_ThuChiKD[Ngày GD]) = $C$2)
)),0)
+IFERROR(
SUM(_xlfn._xlws.FILTER(Table_ThuChiKD[Giá trị sau phí],
(Table_ThuChiKD[Loại GD] = "THU") *
(Table_ThuChiKD[Nội dung GD] = "Thuế TNDN đã nộp") *
(YEAR(Table_ThuChiKD[Ngày GD]) = $C$2)
)),0)
- IFERROR(
SUM(_xlfn._xlws.FILTER(Table_ThuChiKD[Giá trị sau phí],
(Table_ThuChiKD[Loại GD] = "CHI") *
(Table_ThuChiKD[Nội dung GD] ="Thuế TNDN đã nộp") *
(YEAR(Table_ThuChiKD[Ngày GD]) = $C$2)
)),0)</f>
        <v>0</v>
      </c>
      <c r="D41" s="323" cm="1">
        <f t="array" ref="D41">IFERROR(
SUM(_xlfn._xlws.FILTER(Table_ThuChiKD[Giá trị sau phí],
(Table_ThuChiKD[Loại GD] = "THU") *
(Table_ThuChiKD[Nội dung GD] ="Thu chi thuế phí &amp; lệ phí trả NSNN") *
(YEAR(Table_ThuChiKD[Ngày GD]) = YEAR(D$2)) *
(MONTH(Table_ThuChiKD[Ngày GD]) = MONTH(D$2))
)),0)
-IFERROR(
SUM(_xlfn._xlws.FILTER(Table_ThuChiKD[Giá trị sau phí],
(Table_ThuChiKD[Loại GD] = "CHI") *
(Table_ThuChiKD[Nội dung GD] ="Thu chi thuế phí &amp; lệ phí trả NSNN") *
(YEAR(Table_ThuChiKD[Ngày GD]) = YEAR(D$2)) *
(MONTH(Table_ThuChiKD[Ngày GD]) = MONTH(D$2))
)),0)
+IFERROR(
SUM(_xlfn._xlws.FILTER(Table_ThuChiKD[Giá trị sau phí],
(Table_ThuChiKD[Loại GD] = "THU") *
(Table_ThuChiKD[Nội dung GD] ="Thuế TNDN đã nộp") *
(YEAR(Table_ThuChiKD[Ngày GD]) = YEAR(D$2)) *
(MONTH(Table_ThuChiKD[Ngày GD]) = MONTH(D$2))
)),0)
-IFERROR(
SUM(_xlfn._xlws.FILTER(Table_ThuChiKD[Giá trị sau phí],
(Table_ThuChiKD[Loại GD] = "CHI") *
(Table_ThuChiKD[Nội dung GD] ="Thuế TNDN đã nộp") *
(YEAR(Table_ThuChiKD[Ngày GD]) = YEAR(D$2)) *
(MONTH(Table_ThuChiKD[Ngày GD]) = MONTH(D$2))
)),0)</f>
        <v>0</v>
      </c>
      <c r="E41" s="323" cm="1">
        <f t="array" ref="E41">IFERROR(
SUM(_xlfn._xlws.FILTER(Table_ThuChiKD[Giá trị sau phí],
(Table_ThuChiKD[Loại GD] = "THU") *
(Table_ThuChiKD[Nội dung GD] ="Thu chi thuế phí &amp; lệ phí trả NSNN") *
(YEAR(Table_ThuChiKD[Ngày GD]) = YEAR(E$2)) *
(MONTH(Table_ThuChiKD[Ngày GD]) = MONTH(E$2))
)),0)
-IFERROR(
SUM(_xlfn._xlws.FILTER(Table_ThuChiKD[Giá trị sau phí],
(Table_ThuChiKD[Loại GD] = "CHI") *
(Table_ThuChiKD[Nội dung GD] ="Thu chi thuế phí &amp; lệ phí trả NSNN") *
(YEAR(Table_ThuChiKD[Ngày GD]) = YEAR(E$2)) *
(MONTH(Table_ThuChiKD[Ngày GD]) = MONTH(E$2))
)),0)
+IFERROR(
SUM(_xlfn._xlws.FILTER(Table_ThuChiKD[Giá trị sau phí],
(Table_ThuChiKD[Loại GD] = "THU") *
(Table_ThuChiKD[Nội dung GD] ="Thuế TNDN đã nộp") *
(YEAR(Table_ThuChiKD[Ngày GD]) = YEAR(E$2)) *
(MONTH(Table_ThuChiKD[Ngày GD]) = MONTH(E$2))
)),0)
-IFERROR(
SUM(_xlfn._xlws.FILTER(Table_ThuChiKD[Giá trị sau phí],
(Table_ThuChiKD[Loại GD] = "CHI") *
(Table_ThuChiKD[Nội dung GD] ="Thuế TNDN đã nộp") *
(YEAR(Table_ThuChiKD[Ngày GD]) = YEAR(E$2)) *
(MONTH(Table_ThuChiKD[Ngày GD]) = MONTH(E$2))
)),0)</f>
        <v>0</v>
      </c>
      <c r="F41" s="323" cm="1">
        <f t="array" ref="F41">IFERROR(
SUM(_xlfn._xlws.FILTER(Table_ThuChiKD[Giá trị sau phí],
(Table_ThuChiKD[Loại GD] = "THU") *
(Table_ThuChiKD[Nội dung GD] ="Thu chi thuế phí &amp; lệ phí trả NSNN") *
(YEAR(Table_ThuChiKD[Ngày GD]) = YEAR(F$2)) *
(MONTH(Table_ThuChiKD[Ngày GD]) = MONTH(F$2))
)),0)
-IFERROR(
SUM(_xlfn._xlws.FILTER(Table_ThuChiKD[Giá trị sau phí],
(Table_ThuChiKD[Loại GD] = "CHI") *
(Table_ThuChiKD[Nội dung GD] ="Thu chi thuế phí &amp; lệ phí trả NSNN") *
(YEAR(Table_ThuChiKD[Ngày GD]) = YEAR(F$2)) *
(MONTH(Table_ThuChiKD[Ngày GD]) = MONTH(F$2))
)),0)
+IFERROR(
SUM(_xlfn._xlws.FILTER(Table_ThuChiKD[Giá trị sau phí],
(Table_ThuChiKD[Loại GD] = "THU") *
(Table_ThuChiKD[Nội dung GD] ="Thuế TNDN đã nộp") *
(YEAR(Table_ThuChiKD[Ngày GD]) = YEAR(F$2)) *
(MONTH(Table_ThuChiKD[Ngày GD]) = MONTH(F$2))
)),0)
-IFERROR(
SUM(_xlfn._xlws.FILTER(Table_ThuChiKD[Giá trị sau phí],
(Table_ThuChiKD[Loại GD] = "CHI") *
(Table_ThuChiKD[Nội dung GD] ="Thuế TNDN đã nộp") *
(YEAR(Table_ThuChiKD[Ngày GD]) = YEAR(F$2)) *
(MONTH(Table_ThuChiKD[Ngày GD]) = MONTH(F$2))
)),0)</f>
        <v>0</v>
      </c>
      <c r="G41" s="323" cm="1">
        <f t="array" ref="G41">IFERROR(
SUM(_xlfn._xlws.FILTER(Table_ThuChiKD[Giá trị sau phí],
(Table_ThuChiKD[Loại GD] = "THU") *
(Table_ThuChiKD[Nội dung GD] ="Thu chi thuế phí &amp; lệ phí trả NSNN") *
(YEAR(Table_ThuChiKD[Ngày GD]) = YEAR(G$2)) *
(MONTH(Table_ThuChiKD[Ngày GD]) = MONTH(G$2))
)),0)
-IFERROR(
SUM(_xlfn._xlws.FILTER(Table_ThuChiKD[Giá trị sau phí],
(Table_ThuChiKD[Loại GD] = "CHI") *
(Table_ThuChiKD[Nội dung GD] ="Thu chi thuế phí &amp; lệ phí trả NSNN") *
(YEAR(Table_ThuChiKD[Ngày GD]) = YEAR(G$2)) *
(MONTH(Table_ThuChiKD[Ngày GD]) = MONTH(G$2))
)),0)
+IFERROR(
SUM(_xlfn._xlws.FILTER(Table_ThuChiKD[Giá trị sau phí],
(Table_ThuChiKD[Loại GD] = "THU") *
(Table_ThuChiKD[Nội dung GD] ="Thuế TNDN đã nộp") *
(YEAR(Table_ThuChiKD[Ngày GD]) = YEAR(G$2)) *
(MONTH(Table_ThuChiKD[Ngày GD]) = MONTH(G$2))
)),0)
-IFERROR(
SUM(_xlfn._xlws.FILTER(Table_ThuChiKD[Giá trị sau phí],
(Table_ThuChiKD[Loại GD] = "CHI") *
(Table_ThuChiKD[Nội dung GD] ="Thuế TNDN đã nộp") *
(YEAR(Table_ThuChiKD[Ngày GD]) = YEAR(G$2)) *
(MONTH(Table_ThuChiKD[Ngày GD]) = MONTH(G$2))
)),0)</f>
        <v>0</v>
      </c>
      <c r="H41" s="323" cm="1">
        <f t="array" ref="H41">IFERROR(
SUM(_xlfn._xlws.FILTER(Table_ThuChiKD[Giá trị sau phí],
(Table_ThuChiKD[Loại GD] = "THU") *
(Table_ThuChiKD[Nội dung GD] ="Thu chi thuế phí &amp; lệ phí trả NSNN") *
(YEAR(Table_ThuChiKD[Ngày GD]) = YEAR(H$2)) *
(MONTH(Table_ThuChiKD[Ngày GD]) = MONTH(H$2))
)),0)
-IFERROR(
SUM(_xlfn._xlws.FILTER(Table_ThuChiKD[Giá trị sau phí],
(Table_ThuChiKD[Loại GD] = "CHI") *
(Table_ThuChiKD[Nội dung GD] ="Thu chi thuế phí &amp; lệ phí trả NSNN") *
(YEAR(Table_ThuChiKD[Ngày GD]) = YEAR(H$2)) *
(MONTH(Table_ThuChiKD[Ngày GD]) = MONTH(H$2))
)),0)
+IFERROR(
SUM(_xlfn._xlws.FILTER(Table_ThuChiKD[Giá trị sau phí],
(Table_ThuChiKD[Loại GD] = "THU") *
(Table_ThuChiKD[Nội dung GD] ="Thuế TNDN đã nộp") *
(YEAR(Table_ThuChiKD[Ngày GD]) = YEAR(H$2)) *
(MONTH(Table_ThuChiKD[Ngày GD]) = MONTH(H$2))
)),0)
-IFERROR(
SUM(_xlfn._xlws.FILTER(Table_ThuChiKD[Giá trị sau phí],
(Table_ThuChiKD[Loại GD] = "CHI") *
(Table_ThuChiKD[Nội dung GD] ="Thuế TNDN đã nộp") *
(YEAR(Table_ThuChiKD[Ngày GD]) = YEAR(H$2)) *
(MONTH(Table_ThuChiKD[Ngày GD]) = MONTH(H$2))
)),0)</f>
        <v>0</v>
      </c>
      <c r="I41" s="323" cm="1">
        <f t="array" ref="I41">IFERROR(
SUM(_xlfn._xlws.FILTER(Table_ThuChiKD[Giá trị sau phí],
(Table_ThuChiKD[Loại GD] = "THU") *
(Table_ThuChiKD[Nội dung GD] ="Thu chi thuế phí &amp; lệ phí trả NSNN") *
(YEAR(Table_ThuChiKD[Ngày GD]) = YEAR(I$2)) *
(MONTH(Table_ThuChiKD[Ngày GD]) = MONTH(I$2))
)),0)
-IFERROR(
SUM(_xlfn._xlws.FILTER(Table_ThuChiKD[Giá trị sau phí],
(Table_ThuChiKD[Loại GD] = "CHI") *
(Table_ThuChiKD[Nội dung GD] ="Thu chi thuế phí &amp; lệ phí trả NSNN") *
(YEAR(Table_ThuChiKD[Ngày GD]) = YEAR(I$2)) *
(MONTH(Table_ThuChiKD[Ngày GD]) = MONTH(I$2))
)),0)
+IFERROR(
SUM(_xlfn._xlws.FILTER(Table_ThuChiKD[Giá trị sau phí],
(Table_ThuChiKD[Loại GD] = "THU") *
(Table_ThuChiKD[Nội dung GD] ="Thuế TNDN đã nộp") *
(YEAR(Table_ThuChiKD[Ngày GD]) = YEAR(I$2)) *
(MONTH(Table_ThuChiKD[Ngày GD]) = MONTH(I$2))
)),0)
-IFERROR(
SUM(_xlfn._xlws.FILTER(Table_ThuChiKD[Giá trị sau phí],
(Table_ThuChiKD[Loại GD] = "CHI") *
(Table_ThuChiKD[Nội dung GD] ="Thuế TNDN đã nộp") *
(YEAR(Table_ThuChiKD[Ngày GD]) = YEAR(I$2)) *
(MONTH(Table_ThuChiKD[Ngày GD]) = MONTH(I$2))
)),0)</f>
        <v>0</v>
      </c>
      <c r="J41" s="323" cm="1">
        <f t="array" ref="J41">IFERROR(
SUM(_xlfn._xlws.FILTER(Table_ThuChiKD[Giá trị sau phí],
(Table_ThuChiKD[Loại GD] = "THU") *
(Table_ThuChiKD[Nội dung GD] ="Thu chi thuế phí &amp; lệ phí trả NSNN") *
(YEAR(Table_ThuChiKD[Ngày GD]) = YEAR(J$2)) *
(MONTH(Table_ThuChiKD[Ngày GD]) = MONTH(J$2))
)),0)
-IFERROR(
SUM(_xlfn._xlws.FILTER(Table_ThuChiKD[Giá trị sau phí],
(Table_ThuChiKD[Loại GD] = "CHI") *
(Table_ThuChiKD[Nội dung GD] ="Thu chi thuế phí &amp; lệ phí trả NSNN") *
(YEAR(Table_ThuChiKD[Ngày GD]) = YEAR(J$2)) *
(MONTH(Table_ThuChiKD[Ngày GD]) = MONTH(J$2))
)),0)
+IFERROR(
SUM(_xlfn._xlws.FILTER(Table_ThuChiKD[Giá trị sau phí],
(Table_ThuChiKD[Loại GD] = "THU") *
(Table_ThuChiKD[Nội dung GD] ="Thuế TNDN đã nộp") *
(YEAR(Table_ThuChiKD[Ngày GD]) = YEAR(J$2)) *
(MONTH(Table_ThuChiKD[Ngày GD]) = MONTH(J$2))
)),0)
-IFERROR(
SUM(_xlfn._xlws.FILTER(Table_ThuChiKD[Giá trị sau phí],
(Table_ThuChiKD[Loại GD] = "CHI") *
(Table_ThuChiKD[Nội dung GD] ="Thuế TNDN đã nộp") *
(YEAR(Table_ThuChiKD[Ngày GD]) = YEAR(J$2)) *
(MONTH(Table_ThuChiKD[Ngày GD]) = MONTH(J$2))
)),0)</f>
        <v>0</v>
      </c>
      <c r="K41" s="323" cm="1">
        <f t="array" ref="K41">IFERROR(
SUM(_xlfn._xlws.FILTER(Table_ThuChiKD[Giá trị sau phí],
(Table_ThuChiKD[Loại GD] = "THU") *
(Table_ThuChiKD[Nội dung GD] ="Thu chi thuế phí &amp; lệ phí trả NSNN") *
(YEAR(Table_ThuChiKD[Ngày GD]) = YEAR(K$2)) *
(MONTH(Table_ThuChiKD[Ngày GD]) = MONTH(K$2))
)),0)
-IFERROR(
SUM(_xlfn._xlws.FILTER(Table_ThuChiKD[Giá trị sau phí],
(Table_ThuChiKD[Loại GD] = "CHI") *
(Table_ThuChiKD[Nội dung GD] ="Thu chi thuế phí &amp; lệ phí trả NSNN") *
(YEAR(Table_ThuChiKD[Ngày GD]) = YEAR(K$2)) *
(MONTH(Table_ThuChiKD[Ngày GD]) = MONTH(K$2))
)),0)
+IFERROR(
SUM(_xlfn._xlws.FILTER(Table_ThuChiKD[Giá trị sau phí],
(Table_ThuChiKD[Loại GD] = "THU") *
(Table_ThuChiKD[Nội dung GD] ="Thuế TNDN đã nộp") *
(YEAR(Table_ThuChiKD[Ngày GD]) = YEAR(K$2)) *
(MONTH(Table_ThuChiKD[Ngày GD]) = MONTH(K$2))
)),0)
-IFERROR(
SUM(_xlfn._xlws.FILTER(Table_ThuChiKD[Giá trị sau phí],
(Table_ThuChiKD[Loại GD] = "CHI") *
(Table_ThuChiKD[Nội dung GD] ="Thuế TNDN đã nộp") *
(YEAR(Table_ThuChiKD[Ngày GD]) = YEAR(K$2)) *
(MONTH(Table_ThuChiKD[Ngày GD]) = MONTH(K$2))
)),0)</f>
        <v>0</v>
      </c>
      <c r="L41" s="323" cm="1">
        <f t="array" ref="L41">IFERROR(
SUM(_xlfn._xlws.FILTER(Table_ThuChiKD[Giá trị sau phí],
(Table_ThuChiKD[Loại GD] = "THU") *
(Table_ThuChiKD[Nội dung GD] ="Thu chi thuế phí &amp; lệ phí trả NSNN") *
(YEAR(Table_ThuChiKD[Ngày GD]) = YEAR(L$2)) *
(MONTH(Table_ThuChiKD[Ngày GD]) = MONTH(L$2))
)),0)
-IFERROR(
SUM(_xlfn._xlws.FILTER(Table_ThuChiKD[Giá trị sau phí],
(Table_ThuChiKD[Loại GD] = "CHI") *
(Table_ThuChiKD[Nội dung GD] ="Thu chi thuế phí &amp; lệ phí trả NSNN") *
(YEAR(Table_ThuChiKD[Ngày GD]) = YEAR(L$2)) *
(MONTH(Table_ThuChiKD[Ngày GD]) = MONTH(L$2))
)),0)
+IFERROR(
SUM(_xlfn._xlws.FILTER(Table_ThuChiKD[Giá trị sau phí],
(Table_ThuChiKD[Loại GD] = "THU") *
(Table_ThuChiKD[Nội dung GD] ="Thuế TNDN đã nộp") *
(YEAR(Table_ThuChiKD[Ngày GD]) = YEAR(L$2)) *
(MONTH(Table_ThuChiKD[Ngày GD]) = MONTH(L$2))
)),0)
-IFERROR(
SUM(_xlfn._xlws.FILTER(Table_ThuChiKD[Giá trị sau phí],
(Table_ThuChiKD[Loại GD] = "CHI") *
(Table_ThuChiKD[Nội dung GD] ="Thuế TNDN đã nộp") *
(YEAR(Table_ThuChiKD[Ngày GD]) = YEAR(L$2)) *
(MONTH(Table_ThuChiKD[Ngày GD]) = MONTH(L$2))
)),0)</f>
        <v>0</v>
      </c>
      <c r="M41" s="323" cm="1">
        <f t="array" ref="M41">IFERROR(
SUM(_xlfn._xlws.FILTER(Table_ThuChiKD[Giá trị sau phí],
(Table_ThuChiKD[Loại GD] = "THU") *
(Table_ThuChiKD[Nội dung GD] ="Thu chi thuế phí &amp; lệ phí trả NSNN") *
(YEAR(Table_ThuChiKD[Ngày GD]) = YEAR(M$2)) *
(MONTH(Table_ThuChiKD[Ngày GD]) = MONTH(M$2))
)),0)
-IFERROR(
SUM(_xlfn._xlws.FILTER(Table_ThuChiKD[Giá trị sau phí],
(Table_ThuChiKD[Loại GD] = "CHI") *
(Table_ThuChiKD[Nội dung GD] ="Thu chi thuế phí &amp; lệ phí trả NSNN") *
(YEAR(Table_ThuChiKD[Ngày GD]) = YEAR(M$2)) *
(MONTH(Table_ThuChiKD[Ngày GD]) = MONTH(M$2))
)),0)
+IFERROR(
SUM(_xlfn._xlws.FILTER(Table_ThuChiKD[Giá trị sau phí],
(Table_ThuChiKD[Loại GD] = "THU") *
(Table_ThuChiKD[Nội dung GD] ="Thuế TNDN đã nộp") *
(YEAR(Table_ThuChiKD[Ngày GD]) = YEAR(M$2)) *
(MONTH(Table_ThuChiKD[Ngày GD]) = MONTH(M$2))
)),0)
-IFERROR(
SUM(_xlfn._xlws.FILTER(Table_ThuChiKD[Giá trị sau phí],
(Table_ThuChiKD[Loại GD] = "CHI") *
(Table_ThuChiKD[Nội dung GD] ="Thuế TNDN đã nộp") *
(YEAR(Table_ThuChiKD[Ngày GD]) = YEAR(M$2)) *
(MONTH(Table_ThuChiKD[Ngày GD]) = MONTH(M$2))
)),0)</f>
        <v>0</v>
      </c>
      <c r="N41" s="323" cm="1">
        <f t="array" ref="N41">IFERROR(
SUM(_xlfn._xlws.FILTER(Table_ThuChiKD[Giá trị sau phí],
(Table_ThuChiKD[Loại GD] = "THU") *
(Table_ThuChiKD[Nội dung GD] ="Thu chi thuế phí &amp; lệ phí trả NSNN") *
(YEAR(Table_ThuChiKD[Ngày GD]) = YEAR(N$2)) *
(MONTH(Table_ThuChiKD[Ngày GD]) = MONTH(N$2))
)),0)
-IFERROR(
SUM(_xlfn._xlws.FILTER(Table_ThuChiKD[Giá trị sau phí],
(Table_ThuChiKD[Loại GD] = "CHI") *
(Table_ThuChiKD[Nội dung GD] ="Thu chi thuế phí &amp; lệ phí trả NSNN") *
(YEAR(Table_ThuChiKD[Ngày GD]) = YEAR(N$2)) *
(MONTH(Table_ThuChiKD[Ngày GD]) = MONTH(N$2))
)),0)
+IFERROR(
SUM(_xlfn._xlws.FILTER(Table_ThuChiKD[Giá trị sau phí],
(Table_ThuChiKD[Loại GD] = "THU") *
(Table_ThuChiKD[Nội dung GD] ="Thuế TNDN đã nộp") *
(YEAR(Table_ThuChiKD[Ngày GD]) = YEAR(N$2)) *
(MONTH(Table_ThuChiKD[Ngày GD]) = MONTH(N$2))
)),0)
-IFERROR(
SUM(_xlfn._xlws.FILTER(Table_ThuChiKD[Giá trị sau phí],
(Table_ThuChiKD[Loại GD] = "CHI") *
(Table_ThuChiKD[Nội dung GD] ="Thuế TNDN đã nộp") *
(YEAR(Table_ThuChiKD[Ngày GD]) = YEAR(N$2)) *
(MONTH(Table_ThuChiKD[Ngày GD]) = MONTH(N$2))
)),0)</f>
        <v>0</v>
      </c>
      <c r="O41" s="323" cm="1">
        <f t="array" ref="O41">IFERROR(
SUM(_xlfn._xlws.FILTER(Table_ThuChiKD[Giá trị sau phí],
(Table_ThuChiKD[Loại GD] = "THU") *
(Table_ThuChiKD[Nội dung GD] ="Thu chi thuế phí &amp; lệ phí trả NSNN") *
(YEAR(Table_ThuChiKD[Ngày GD]) = YEAR(O$2)) *
(MONTH(Table_ThuChiKD[Ngày GD]) = MONTH(O$2))
)),0)
-IFERROR(
SUM(_xlfn._xlws.FILTER(Table_ThuChiKD[Giá trị sau phí],
(Table_ThuChiKD[Loại GD] = "CHI") *
(Table_ThuChiKD[Nội dung GD] ="Thu chi thuế phí &amp; lệ phí trả NSNN") *
(YEAR(Table_ThuChiKD[Ngày GD]) = YEAR(O$2)) *
(MONTH(Table_ThuChiKD[Ngày GD]) = MONTH(O$2))
)),0)
+IFERROR(
SUM(_xlfn._xlws.FILTER(Table_ThuChiKD[Giá trị sau phí],
(Table_ThuChiKD[Loại GD] = "THU") *
(Table_ThuChiKD[Nội dung GD] ="Thuế TNDN đã nộp") *
(YEAR(Table_ThuChiKD[Ngày GD]) = YEAR(O$2)) *
(MONTH(Table_ThuChiKD[Ngày GD]) = MONTH(O$2))
)),0)
-IFERROR(
SUM(_xlfn._xlws.FILTER(Table_ThuChiKD[Giá trị sau phí],
(Table_ThuChiKD[Loại GD] = "CHI") *
(Table_ThuChiKD[Nội dung GD] ="Thuế TNDN đã nộp") *
(YEAR(Table_ThuChiKD[Ngày GD]) = YEAR(O$2)) *
(MONTH(Table_ThuChiKD[Ngày GD]) = MONTH(O$2))
)),0)</f>
        <v>0</v>
      </c>
      <c r="P41" s="323"/>
      <c r="Q41" s="240"/>
      <c r="R41" s="124" t="s">
        <v>308</v>
      </c>
      <c r="S41" s="328" cm="1">
        <f t="array" ref="S41">IFERROR(
SUM(_xlfn._xlws.FILTER(Table_ThuChiKD[Giá trị sau phí],
(Table_ThuChiKD[Loại GD] = "THU") *
(Table_ThuChiKD[Nội dung GD] = "Thu chi thuế phí &amp; lệ phí trả NSNN") *
(YEAR(Table_ThuChiKD[Ngày GD]) = S$1)
)),0)
- IFERROR(
SUM(_xlfn._xlws.FILTER(Table_ThuChiKD[Giá trị sau phí],
(Table_ThuChiKD[Loại GD] = "CHI") *
(Table_ThuChiKD[Nội dung GD] ="Thu chi thuế phí &amp; lệ phí trả NSNN") *
(YEAR(Table_ThuChiKD[Ngày GD]) = S$1)
)),0)
+IFERROR(
SUM(_xlfn._xlws.FILTER(Table_ThuChiKD[Giá trị sau phí],
(Table_ThuChiKD[Loại GD] = "THU") *
(Table_ThuChiKD[Nội dung GD] = "Thuế TNDN đã nộp") *
(YEAR(Table_ThuChiKD[Ngày GD]) = S$1)
)),0)
- IFERROR(
SUM(_xlfn._xlws.FILTER(Table_ThuChiKD[Giá trị sau phí],
(Table_ThuChiKD[Loại GD] = "CHI") *
(Table_ThuChiKD[Nội dung GD] ="Thuế TNDN đã nộp") *
(YEAR(Table_ThuChiKD[Ngày GD]) = S$1)
)),0)</f>
        <v>0</v>
      </c>
      <c r="T41" s="240"/>
      <c r="U41" s="124" t="s">
        <v>308</v>
      </c>
      <c r="V41" s="323" cm="1">
        <f t="array" ref="V41">IFERROR(
SUM(_xlfn._xlws.FILTER(Table_ThuChiKD[Giá trị sau phí],
(Table_ThuChiKD[Loại GD] = "THU") *
(Table_ThuChiKD[Nội dung GD] ="Thu chi thuế phí &amp; lệ phí trả NSNN") *
(YEAR(Table_ThuChiKD[Ngày GD]) = YEAR(V$1)) *
(MONTH(Table_ThuChiKD[Ngày GD]) = MONTH(V$1))
)),0)
-IFERROR(
SUM(_xlfn._xlws.FILTER(Table_ThuChiKD[Giá trị sau phí],
(Table_ThuChiKD[Loại GD] = "CHI") *
(Table_ThuChiKD[Nội dung GD] ="Thu chi thuế phí &amp; lệ phí trả NSNN") *
(YEAR(Table_ThuChiKD[Ngày GD]) = YEAR(V$1)) *
(MONTH(Table_ThuChiKD[Ngày GD]) = MONTH(V$1))
)),0)
+IFERROR(
SUM(_xlfn._xlws.FILTER(Table_ThuChiKD[Giá trị sau phí],
(Table_ThuChiKD[Loại GD] = "THU") *
(Table_ThuChiKD[Nội dung GD] ="Thuế TNDN đã nộp") *
(YEAR(Table_ThuChiKD[Ngày GD]) = YEAR(V$1)) *
(MONTH(Table_ThuChiKD[Ngày GD]) = MONTH(V$1))
)),0)
-IFERROR(
SUM(_xlfn._xlws.FILTER(Table_ThuChiKD[Giá trị sau phí],
(Table_ThuChiKD[Loại GD] = "CHI") *
(Table_ThuChiKD[Nội dung GD] ="Thuế TNDN đã nộp") *
(YEAR(Table_ThuChiKD[Ngày GD]) = YEAR(V$1)) *
(MONTH(Table_ThuChiKD[Ngày GD]) = MONTH(V$1))
)),0)</f>
        <v>0</v>
      </c>
    </row>
    <row r="42" spans="2:22" ht="18" customHeight="1" outlineLevel="1" x14ac:dyDescent="0.3">
      <c r="B42" s="74" t="s">
        <v>309</v>
      </c>
      <c r="C42" s="325">
        <f t="shared" ref="C42:O42" si="14">+SUM(C43:C45)</f>
        <v>0</v>
      </c>
      <c r="D42" s="325">
        <f t="shared" si="14"/>
        <v>0</v>
      </c>
      <c r="E42" s="325">
        <f t="shared" si="14"/>
        <v>0</v>
      </c>
      <c r="F42" s="325">
        <f t="shared" si="14"/>
        <v>0</v>
      </c>
      <c r="G42" s="325">
        <f t="shared" si="14"/>
        <v>0</v>
      </c>
      <c r="H42" s="325">
        <f t="shared" si="14"/>
        <v>0</v>
      </c>
      <c r="I42" s="325">
        <f t="shared" si="14"/>
        <v>0</v>
      </c>
      <c r="J42" s="325">
        <f t="shared" si="14"/>
        <v>0</v>
      </c>
      <c r="K42" s="325">
        <f t="shared" si="14"/>
        <v>0</v>
      </c>
      <c r="L42" s="325">
        <f t="shared" si="14"/>
        <v>0</v>
      </c>
      <c r="M42" s="325">
        <f t="shared" si="14"/>
        <v>0</v>
      </c>
      <c r="N42" s="325">
        <f t="shared" si="14"/>
        <v>0</v>
      </c>
      <c r="O42" s="325">
        <f t="shared" si="14"/>
        <v>0</v>
      </c>
      <c r="P42" s="324"/>
      <c r="Q42" s="240"/>
      <c r="R42" s="74" t="s">
        <v>309</v>
      </c>
      <c r="S42" s="105">
        <f>+SUM(S43:S45)</f>
        <v>0</v>
      </c>
      <c r="T42" s="240"/>
      <c r="U42" s="74" t="s">
        <v>309</v>
      </c>
      <c r="V42" s="105">
        <f>+SUM(V43:V45)</f>
        <v>0</v>
      </c>
    </row>
    <row r="43" spans="2:22" ht="18" customHeight="1" outlineLevel="2" x14ac:dyDescent="0.3">
      <c r="B43" s="73" t="s">
        <v>310</v>
      </c>
      <c r="C43" s="328" cm="1">
        <f t="array" ref="C43" xml:space="preserve">
-IFERROR(SUM(_xlfn._xlws.FILTER(Table_ThuChiTC[Giá trị GD],
(Table_ThuChiTC[Loại GD]="CHI")*
(Table_ThuChiTC[Nội dung GD]=Sheet_ThuChiTC!$F$9)*
(Table_ThuChiTC[Ngày GD]&gt;=D2)*
(Table_ThuChiTC[Ngày GD]&lt;P2)
)),0)
+IFERROR(SUM(_xlfn._xlws.FILTER(Table_ThuChiTC[Giá trị GD],
(Table_ThuChiTC[Loại GD]="THU")*
(Table_ThuChiTC[Nội dung GD]=Sheet_ThuChiTC!$F$11)*
(Table_ThuChiTC[Ngày GD]&gt;=D2)*
(Table_ThuChiTC[Ngày GD]&lt;P2)
)),0)
-IFERROR(SUM(_xlfn._xlws.FILTER(Table_ThuChiTC[Giá trị GD],
(Table_ThuChiTC[Loại GD]="CHI")*
(Table_ThuChiTC[Nội dung GD]=Sheet_ThuChiTC!$F$11)*
(Table_ThuChiTC[Ngày GD]&gt;=D2)*
(Table_ThuChiTC[Ngày GD]&lt;P2)
)),0)</f>
        <v>0</v>
      </c>
      <c r="D43" s="334" cm="1">
        <f t="array" ref="D43" xml:space="preserve">
-IFERROR(SUM(_xlfn._xlws.FILTER(Table_ThuChiTC[Giá trị GD],
(Table_ThuChiTC[Loại GD]="CHI")*
(Table_ThuChiTC[Nội dung GD]=Sheet_ThuChiTC!$F$9)*
(Table_ThuChiTC[Ngày GD]&gt;=D2)*
(Table_ThuChiTC[Ngày GD]&lt;E2)
)),0)
+IFERROR(SUM(_xlfn._xlws.FILTER(Table_ThuChiTC[Giá trị GD],
(Table_ThuChiTC[Loại GD]="THU")*
(Table_ThuChiTC[Nội dung GD]=Sheet_ThuChiTC!$F$11)*
(Table_ThuChiTC[Ngày GD]&gt;=D2)*
(Table_ThuChiTC[Ngày GD]&lt;E2)
)),0)
-IFERROR(SUM(_xlfn._xlws.FILTER(Table_ThuChiTC[Giá trị GD],
(Table_ThuChiTC[Loại GD]="CHI")*
(Table_ThuChiTC[Nội dung GD]=Sheet_ThuChiTC!$F$11)*
(Table_ThuChiTC[Ngày GD]&gt;=D2)*
(Table_ThuChiTC[Ngày GD]&lt;E2)
)),0)</f>
        <v>0</v>
      </c>
      <c r="E43" s="334" cm="1">
        <f t="array" ref="E43" xml:space="preserve">
-IFERROR(SUM(_xlfn._xlws.FILTER(Table_ThuChiTC[Giá trị GD],
(Table_ThuChiTC[Loại GD]="CHI")*
(Table_ThuChiTC[Nội dung GD]=Sheet_ThuChiTC!$F$9)*
(Table_ThuChiTC[Ngày GD]&gt;=E2)*
(Table_ThuChiTC[Ngày GD]&lt;F2)
)),0)
+IFERROR(SUM(_xlfn._xlws.FILTER(Table_ThuChiTC[Giá trị GD],
(Table_ThuChiTC[Loại GD]="THU")*
(Table_ThuChiTC[Nội dung GD]=Sheet_ThuChiTC!$F$11)*
(Table_ThuChiTC[Ngày GD]&gt;=E2)*
(Table_ThuChiTC[Ngày GD]&lt;F2)
)),0)
-IFERROR(SUM(_xlfn._xlws.FILTER(Table_ThuChiTC[Giá trị GD],
(Table_ThuChiTC[Loại GD]="CHI")*
(Table_ThuChiTC[Nội dung GD]=Sheet_ThuChiTC!$F$11)*
(Table_ThuChiTC[Ngày GD]&gt;=E2)*
(Table_ThuChiTC[Ngày GD]&lt;F2)
)),0)</f>
        <v>0</v>
      </c>
      <c r="F43" s="334" cm="1">
        <f t="array" ref="F43" xml:space="preserve">
-IFERROR(SUM(_xlfn._xlws.FILTER(Table_ThuChiTC[Giá trị GD],
(Table_ThuChiTC[Loại GD]="CHI")*
(Table_ThuChiTC[Nội dung GD]=Sheet_ThuChiTC!$F$9)*
(Table_ThuChiTC[Ngày GD]&gt;=F2)*
(Table_ThuChiTC[Ngày GD]&lt;G2)
)),0)
+IFERROR(SUM(_xlfn._xlws.FILTER(Table_ThuChiTC[Giá trị GD],
(Table_ThuChiTC[Loại GD]="THU")*
(Table_ThuChiTC[Nội dung GD]=Sheet_ThuChiTC!$F$11)*
(Table_ThuChiTC[Ngày GD]&gt;=F2)*
(Table_ThuChiTC[Ngày GD]&lt;G2)
)),0)
-IFERROR(SUM(_xlfn._xlws.FILTER(Table_ThuChiTC[Giá trị GD],
(Table_ThuChiTC[Loại GD]="CHI")*
(Table_ThuChiTC[Nội dung GD]=Sheet_ThuChiTC!$F$11)*
(Table_ThuChiTC[Ngày GD]&gt;=F2)*
(Table_ThuChiTC[Ngày GD]&lt;G2)
)),0)</f>
        <v>0</v>
      </c>
      <c r="G43" s="334" cm="1">
        <f t="array" ref="G43" xml:space="preserve">
-IFERROR(SUM(_xlfn._xlws.FILTER(Table_ThuChiTC[Giá trị GD],
(Table_ThuChiTC[Loại GD]="CHI")*
(Table_ThuChiTC[Nội dung GD]=Sheet_ThuChiTC!$F$9)*
(Table_ThuChiTC[Ngày GD]&gt;=G2)*
(Table_ThuChiTC[Ngày GD]&lt;H2)
)),0)
+IFERROR(SUM(_xlfn._xlws.FILTER(Table_ThuChiTC[Giá trị GD],
(Table_ThuChiTC[Loại GD]="THU")*
(Table_ThuChiTC[Nội dung GD]=Sheet_ThuChiTC!$F$11)*
(Table_ThuChiTC[Ngày GD]&gt;=G2)*
(Table_ThuChiTC[Ngày GD]&lt;H2)
)),0)
-IFERROR(SUM(_xlfn._xlws.FILTER(Table_ThuChiTC[Giá trị GD],
(Table_ThuChiTC[Loại GD]="CHI")*
(Table_ThuChiTC[Nội dung GD]=Sheet_ThuChiTC!$F$11)*
(Table_ThuChiTC[Ngày GD]&gt;=G2)*
(Table_ThuChiTC[Ngày GD]&lt;H2)
)),0)</f>
        <v>0</v>
      </c>
      <c r="H43" s="334" cm="1">
        <f t="array" ref="H43" xml:space="preserve">
-IFERROR(SUM(_xlfn._xlws.FILTER(Table_ThuChiTC[Giá trị GD],
(Table_ThuChiTC[Loại GD]="CHI")*
(Table_ThuChiTC[Nội dung GD]=Sheet_ThuChiTC!$F$9)*
(Table_ThuChiTC[Ngày GD]&gt;=H2)*
(Table_ThuChiTC[Ngày GD]&lt;I2)
)),0)
+IFERROR(SUM(_xlfn._xlws.FILTER(Table_ThuChiTC[Giá trị GD],
(Table_ThuChiTC[Loại GD]="THU")*
(Table_ThuChiTC[Nội dung GD]=Sheet_ThuChiTC!$F$11)*
(Table_ThuChiTC[Ngày GD]&gt;=H2)*
(Table_ThuChiTC[Ngày GD]&lt;I2)
)),0)
-IFERROR(SUM(_xlfn._xlws.FILTER(Table_ThuChiTC[Giá trị GD],
(Table_ThuChiTC[Loại GD]="CHI")*
(Table_ThuChiTC[Nội dung GD]=Sheet_ThuChiTC!$F$11)*
(Table_ThuChiTC[Ngày GD]&gt;=H2)*
(Table_ThuChiTC[Ngày GD]&lt;I2)
)),0)</f>
        <v>0</v>
      </c>
      <c r="I43" s="334" cm="1">
        <f t="array" ref="I43" xml:space="preserve">
-IFERROR(SUM(_xlfn._xlws.FILTER(Table_ThuChiTC[Giá trị GD],
(Table_ThuChiTC[Loại GD]="CHI")*
(Table_ThuChiTC[Nội dung GD]=Sheet_ThuChiTC!$F$9)*
(Table_ThuChiTC[Ngày GD]&gt;=I2)*
(Table_ThuChiTC[Ngày GD]&lt;J2)
)),0)
+IFERROR(SUM(_xlfn._xlws.FILTER(Table_ThuChiTC[Giá trị GD],
(Table_ThuChiTC[Loại GD]="THU")*
(Table_ThuChiTC[Nội dung GD]=Sheet_ThuChiTC!$F$11)*
(Table_ThuChiTC[Ngày GD]&gt;=I2)*
(Table_ThuChiTC[Ngày GD]&lt;J2)
)),0)
-IFERROR(SUM(_xlfn._xlws.FILTER(Table_ThuChiTC[Giá trị GD],
(Table_ThuChiTC[Loại GD]="CHI")*
(Table_ThuChiTC[Nội dung GD]=Sheet_ThuChiTC!$F$11)*
(Table_ThuChiTC[Ngày GD]&gt;=I2)*
(Table_ThuChiTC[Ngày GD]&lt;J2)
)),0)</f>
        <v>0</v>
      </c>
      <c r="J43" s="334" cm="1">
        <f t="array" ref="J43" xml:space="preserve">
-IFERROR(SUM(_xlfn._xlws.FILTER(Table_ThuChiTC[Giá trị GD],
(Table_ThuChiTC[Loại GD]="CHI")*
(Table_ThuChiTC[Nội dung GD]=Sheet_ThuChiTC!$F$9)*
(Table_ThuChiTC[Ngày GD]&gt;=J2)*
(Table_ThuChiTC[Ngày GD]&lt;K2)
)),0)
+IFERROR(SUM(_xlfn._xlws.FILTER(Table_ThuChiTC[Giá trị GD],
(Table_ThuChiTC[Loại GD]="THU")*
(Table_ThuChiTC[Nội dung GD]=Sheet_ThuChiTC!$F$11)*
(Table_ThuChiTC[Ngày GD]&gt;=J2)*
(Table_ThuChiTC[Ngày GD]&lt;K2)
)),0)
-IFERROR(SUM(_xlfn._xlws.FILTER(Table_ThuChiTC[Giá trị GD],
(Table_ThuChiTC[Loại GD]="CHI")*
(Table_ThuChiTC[Nội dung GD]=Sheet_ThuChiTC!$F$11)*
(Table_ThuChiTC[Ngày GD]&gt;=J2)*
(Table_ThuChiTC[Ngày GD]&lt;K2)
)),0)</f>
        <v>0</v>
      </c>
      <c r="K43" s="334" cm="1">
        <f t="array" ref="K43" xml:space="preserve">
-IFERROR(SUM(_xlfn._xlws.FILTER(Table_ThuChiTC[Giá trị GD],
(Table_ThuChiTC[Loại GD]="CHI")*
(Table_ThuChiTC[Nội dung GD]=Sheet_ThuChiTC!$F$9)*
(Table_ThuChiTC[Ngày GD]&gt;=K2)*
(Table_ThuChiTC[Ngày GD]&lt;L2)
)),0)
+IFERROR(SUM(_xlfn._xlws.FILTER(Table_ThuChiTC[Giá trị GD],
(Table_ThuChiTC[Loại GD]="THU")*
(Table_ThuChiTC[Nội dung GD]=Sheet_ThuChiTC!$F$11)*
(Table_ThuChiTC[Ngày GD]&gt;=K2)*
(Table_ThuChiTC[Ngày GD]&lt;L2)
)),0)
-IFERROR(SUM(_xlfn._xlws.FILTER(Table_ThuChiTC[Giá trị GD],
(Table_ThuChiTC[Loại GD]="CHI")*
(Table_ThuChiTC[Nội dung GD]=Sheet_ThuChiTC!$F$11)*
(Table_ThuChiTC[Ngày GD]&gt;=K2)*
(Table_ThuChiTC[Ngày GD]&lt;L2)
)),0)</f>
        <v>0</v>
      </c>
      <c r="L43" s="334" cm="1">
        <f t="array" ref="L43" xml:space="preserve">
-IFERROR(SUM(_xlfn._xlws.FILTER(Table_ThuChiTC[Giá trị GD],
(Table_ThuChiTC[Loại GD]="CHI")*
(Table_ThuChiTC[Nội dung GD]=Sheet_ThuChiTC!$F$9)*
(Table_ThuChiTC[Ngày GD]&gt;=L2)*
(Table_ThuChiTC[Ngày GD]&lt;M2)
)),0)
+IFERROR(SUM(_xlfn._xlws.FILTER(Table_ThuChiTC[Giá trị GD],
(Table_ThuChiTC[Loại GD]="THU")*
(Table_ThuChiTC[Nội dung GD]=Sheet_ThuChiTC!$F$11)*
(Table_ThuChiTC[Ngày GD]&gt;=L2)*
(Table_ThuChiTC[Ngày GD]&lt;M2)
)),0)
-IFERROR(SUM(_xlfn._xlws.FILTER(Table_ThuChiTC[Giá trị GD],
(Table_ThuChiTC[Loại GD]="CHI")*
(Table_ThuChiTC[Nội dung GD]=Sheet_ThuChiTC!$F$11)*
(Table_ThuChiTC[Ngày GD]&gt;=L2)*
(Table_ThuChiTC[Ngày GD]&lt;M2)
)),0)</f>
        <v>0</v>
      </c>
      <c r="M43" s="334" cm="1">
        <f t="array" ref="M43" xml:space="preserve">
-IFERROR(SUM(_xlfn._xlws.FILTER(Table_ThuChiTC[Giá trị GD],
(Table_ThuChiTC[Loại GD]="CHI")*
(Table_ThuChiTC[Nội dung GD]=Sheet_ThuChiTC!$F$9)*
(Table_ThuChiTC[Ngày GD]&gt;=M2)*
(Table_ThuChiTC[Ngày GD]&lt;N2)
)),0)
+IFERROR(SUM(_xlfn._xlws.FILTER(Table_ThuChiTC[Giá trị GD],
(Table_ThuChiTC[Loại GD]="THU")*
(Table_ThuChiTC[Nội dung GD]=Sheet_ThuChiTC!$F$11)*
(Table_ThuChiTC[Ngày GD]&gt;=M2)*
(Table_ThuChiTC[Ngày GD]&lt;N2)
)),0)
-IFERROR(SUM(_xlfn._xlws.FILTER(Table_ThuChiTC[Giá trị GD],
(Table_ThuChiTC[Loại GD]="CHI")*
(Table_ThuChiTC[Nội dung GD]=Sheet_ThuChiTC!$F$11)*
(Table_ThuChiTC[Ngày GD]&gt;=M2)*
(Table_ThuChiTC[Ngày GD]&lt;N2)
)),0)</f>
        <v>0</v>
      </c>
      <c r="N43" s="334" cm="1">
        <f t="array" ref="N43" xml:space="preserve">
-IFERROR(SUM(_xlfn._xlws.FILTER(Table_ThuChiTC[Giá trị GD],
(Table_ThuChiTC[Loại GD]="CHI")*
(Table_ThuChiTC[Nội dung GD]=Sheet_ThuChiTC!$F$9)*
(Table_ThuChiTC[Ngày GD]&gt;=N2)*
(Table_ThuChiTC[Ngày GD]&lt;O2)
)),0)
+IFERROR(SUM(_xlfn._xlws.FILTER(Table_ThuChiTC[Giá trị GD],
(Table_ThuChiTC[Loại GD]="THU")*
(Table_ThuChiTC[Nội dung GD]=Sheet_ThuChiTC!$F$11)*
(Table_ThuChiTC[Ngày GD]&gt;=N2)*
(Table_ThuChiTC[Ngày GD]&lt;O2)
)),0)
-IFERROR(SUM(_xlfn._xlws.FILTER(Table_ThuChiTC[Giá trị GD],
(Table_ThuChiTC[Loại GD]="CHI")*
(Table_ThuChiTC[Nội dung GD]=Sheet_ThuChiTC!$F$11)*
(Table_ThuChiTC[Ngày GD]&gt;=N2)*
(Table_ThuChiTC[Ngày GD]&lt;O2)
)),0)</f>
        <v>0</v>
      </c>
      <c r="O43" s="334" cm="1">
        <f t="array" ref="O43" xml:space="preserve">
-IFERROR(SUM(_xlfn._xlws.FILTER(Table_ThuChiTC[Giá trị GD],
(Table_ThuChiTC[Loại GD]="CHI")*
(Table_ThuChiTC[Nội dung GD]=Sheet_ThuChiTC!$F$9)*
(Table_ThuChiTC[Ngày GD]&gt;=O2)*
(Table_ThuChiTC[Ngày GD]&lt;P2)
)),0)
+IFERROR(SUM(_xlfn._xlws.FILTER(Table_ThuChiTC[Giá trị GD],
(Table_ThuChiTC[Loại GD]="THU")*
(Table_ThuChiTC[Nội dung GD]=Sheet_ThuChiTC!$F$11)*
(Table_ThuChiTC[Ngày GD]&gt;=O2)*
(Table_ThuChiTC[Ngày GD]&lt;P2)
)),0)
-IFERROR(SUM(_xlfn._xlws.FILTER(Table_ThuChiTC[Giá trị GD],
(Table_ThuChiTC[Loại GD]="CHI")*
(Table_ThuChiTC[Nội dung GD]=Sheet_ThuChiTC!$F$11)*
(Table_ThuChiTC[Ngày GD]&gt;=O2)*
(Table_ThuChiTC[Ngày GD]&lt;P2)
)),0)</f>
        <v>0</v>
      </c>
      <c r="P43" s="323"/>
      <c r="Q43" s="240"/>
      <c r="R43" s="73" t="s">
        <v>310</v>
      </c>
      <c r="S43" s="328" cm="1">
        <f t="array" ref="S43" xml:space="preserve">
-IFERROR(SUM(_xlfn._xlws.FILTER(Table_ThuChiTC[Giá trị GD],
(Table_ThuChiTC[Loại GD]="CHI")*
(Table_ThuChiTC[Nội dung GD]="Thu chi từ biến động gốc vay, thuê tài chính")*
(Table_ThuChiTC[Ngày GD]&gt;=DATE(S$1,1,1))*
(Table_ThuChiTC[Ngày GD]&lt;DATE(S$1+1,1,1))
)),0)
+IFERROR(SUM(_xlfn._xlws.FILTER(Table_ThuChiTC[Giá trị GD],
(Table_ThuChiTC[Loại GD]="THU")*
(Table_ThuChiTC[Nội dung GD]="Tiền trả lãi vay")*
(Table_ThuChiTC[Ngày GD]&gt;=DATE(S$1,1,1))*
(Table_ThuChiTC[Ngày GD]&lt;DATE(S$1+1,1,1))
)),0)
-IFERROR(SUM(_xlfn._xlws.FILTER(Table_ThuChiTC[Giá trị GD],
(Table_ThuChiTC[Loại GD]="CHI")*
(Table_ThuChiTC[Nội dung GD]="Tiền trả lãi vay")*
(Table_ThuChiTC[Ngày GD]&gt;=DATE(S$1,1,1))*
(Table_ThuChiTC[Ngày GD]&lt;DATE(S$1+1,1,1))
)),0)</f>
        <v>0</v>
      </c>
      <c r="T43" s="240"/>
      <c r="U43" s="73" t="s">
        <v>310</v>
      </c>
      <c r="V43" s="334" cm="1">
        <f t="array" ref="V43" xml:space="preserve">
-IFERROR(SUM(_xlfn._xlws.FILTER(Table_ThuChiTC[Giá trị GD],
(Table_ThuChiTC[Loại GD]="CHI")*
(Table_ThuChiTC[Nội dung GD]="Thu chi từ biến động gốc vay, thuê tài chính")*
(Table_ThuChiTC[Ngày GD]&gt;=V$1)*
(Table_ThuChiTC[Ngày GD]&lt;DATE(YEAR(V$1),MONTH(V$1)+1,1))
)),0)
+IFERROR(SUM(_xlfn._xlws.FILTER(Table_ThuChiTC[Giá trị GD],
(Table_ThuChiTC[Loại GD]="THU")*
(Table_ThuChiTC[Nội dung GD]="Tiền trả lãi vay")*
(Table_ThuChiTC[Ngày GD]&gt;=V$1)*
(Table_ThuChiTC[Ngày GD]&lt;DATE(YEAR(V$1),MONTH(V$1)+1,1))
)),0)
-IFERROR(SUM(_xlfn._xlws.FILTER(Table_ThuChiTC[Giá trị GD],
(Table_ThuChiTC[Loại GD]="CHI")*
(Table_ThuChiTC[Nội dung GD]="Tiền trả lãi vay")*
(Table_ThuChiTC[Ngày GD]&gt;=V$1)*
(Table_ThuChiTC[Ngày GD]&lt;DATE(YEAR(V$1),MONTH(V$1)+1,1))
)),0)</f>
        <v>0</v>
      </c>
    </row>
    <row r="44" spans="2:22" ht="18" customHeight="1" outlineLevel="2" x14ac:dyDescent="0.3">
      <c r="B44" s="73" t="s">
        <v>311</v>
      </c>
      <c r="C44" s="328" cm="1">
        <f t="array" ref="C44" xml:space="preserve">
IFERROR(SUM(_xlfn._xlws.FILTER(Table_ThuChiTC[Giá trị GD],
(Table_ThuChiTC[Loại GD]="THU")*
(Table_ThuChiTC[Nội dung GD]="Thu chi mua bán TSCĐ và tài sản dài hạn khác")*
(YEAR(Table_ThuChiTC[Ngày GD])=C2)
)),0)
-IFERROR(SUM(_xlfn._xlws.FILTER(Table_ThuChiTC[Giá trị GD],
(Table_ThuChiTC[Loại GD]="CHI")*
(Table_ThuChiTC[Nội dung GD]="Thu chi mua bán TSCĐ và tài sản dài hạn khác")*
(YEAR(Table_ThuChiTC[Ngày GD])=C2)
)),0)</f>
        <v>0</v>
      </c>
      <c r="D44" s="334" cm="1">
        <f t="array" ref="D44" xml:space="preserve">
IFERROR(SUM(_xlfn._xlws.FILTER(Table_ThuChiTC[Giá trị GD],
(Table_ThuChiTC[Loại GD]="THU")*
(Table_ThuChiTC[Nội dung GD]="Thu chi mua bán TSCĐ và tài sản dài hạn khác")*
(Table_ThuChiTC[Ngày GD]&gt;=D2)*
(Table_ThuChiTC[Ngày GD]&lt;E2)
)),0)
-IFERROR(SUM(_xlfn._xlws.FILTER(Table_ThuChiTC[Giá trị GD],
(Table_ThuChiTC[Loại GD]="CHI")*
(Table_ThuChiTC[Nội dung GD]="Thu chi mua bán TSCĐ và tài sản dài hạn khác")*
(Table_ThuChiTC[Ngày GD]&gt;=D2)*
(Table_ThuChiTC[Ngày GD]&lt;E2)
)),0)</f>
        <v>0</v>
      </c>
      <c r="E44" s="334" cm="1">
        <f t="array" ref="E44" xml:space="preserve">
IFERROR(SUM(_xlfn._xlws.FILTER(Table_ThuChiTC[Giá trị GD],
(Table_ThuChiTC[Loại GD]="THU")*
(Table_ThuChiTC[Nội dung GD]="Thu chi mua bán TSCĐ và tài sản dài hạn khác")*
(Table_ThuChiTC[Ngày GD]&gt;=E2)*
(Table_ThuChiTC[Ngày GD]&lt;F2)
)),0)
-IFERROR(SUM(_xlfn._xlws.FILTER(Table_ThuChiTC[Giá trị GD],
(Table_ThuChiTC[Loại GD]="CHI")*
(Table_ThuChiTC[Nội dung GD]="Thu chi mua bán TSCĐ và tài sản dài hạn khác")*
(Table_ThuChiTC[Ngày GD]&gt;=E2)*
(Table_ThuChiTC[Ngày GD]&lt;F2)
)),0)</f>
        <v>0</v>
      </c>
      <c r="F44" s="334" cm="1">
        <f t="array" ref="F44" xml:space="preserve">
IFERROR(SUM(_xlfn._xlws.FILTER(Table_ThuChiTC[Giá trị GD],
(Table_ThuChiTC[Loại GD]="THU")*
(Table_ThuChiTC[Nội dung GD]="Thu chi mua bán TSCĐ và tài sản dài hạn khác")*
(Table_ThuChiTC[Ngày GD]&gt;=F2)*
(Table_ThuChiTC[Ngày GD]&lt;G2)
)),0)
-IFERROR(SUM(_xlfn._xlws.FILTER(Table_ThuChiTC[Giá trị GD],
(Table_ThuChiTC[Loại GD]="CHI")*
(Table_ThuChiTC[Nội dung GD]="Thu chi mua bán TSCĐ và tài sản dài hạn khác")*
(Table_ThuChiTC[Ngày GD]&gt;=F2)*
(Table_ThuChiTC[Ngày GD]&lt;G2)
)),0)</f>
        <v>0</v>
      </c>
      <c r="G44" s="334" cm="1">
        <f t="array" ref="G44" xml:space="preserve">
IFERROR(SUM(_xlfn._xlws.FILTER(Table_ThuChiTC[Giá trị GD],
(Table_ThuChiTC[Loại GD]="THU")*
(Table_ThuChiTC[Nội dung GD]="Thu chi mua bán TSCĐ và tài sản dài hạn khác")*
(Table_ThuChiTC[Ngày GD]&gt;=G2)*
(Table_ThuChiTC[Ngày GD]&lt;H2)
)),0)
-IFERROR(SUM(_xlfn._xlws.FILTER(Table_ThuChiTC[Giá trị GD],
(Table_ThuChiTC[Loại GD]="CHI")*
(Table_ThuChiTC[Nội dung GD]="Thu chi mua bán TSCĐ và tài sản dài hạn khác")*
(Table_ThuChiTC[Ngày GD]&gt;=G2)*
(Table_ThuChiTC[Ngày GD]&lt;H2)
)),0)</f>
        <v>0</v>
      </c>
      <c r="H44" s="334" cm="1">
        <f t="array" ref="H44" xml:space="preserve">
IFERROR(SUM(_xlfn._xlws.FILTER(Table_ThuChiTC[Giá trị GD],
(Table_ThuChiTC[Loại GD]="THU")*
(Table_ThuChiTC[Nội dung GD]="Thu chi mua bán TSCĐ và tài sản dài hạn khác")*
(Table_ThuChiTC[Ngày GD]&gt;=H2)*
(Table_ThuChiTC[Ngày GD]&lt;I2)
)),0)
-IFERROR(SUM(_xlfn._xlws.FILTER(Table_ThuChiTC[Giá trị GD],
(Table_ThuChiTC[Loại GD]="CHI")*
(Table_ThuChiTC[Nội dung GD]="Thu chi mua bán TSCĐ và tài sản dài hạn khác")*
(Table_ThuChiTC[Ngày GD]&gt;=H2)*
(Table_ThuChiTC[Ngày GD]&lt;I2)
)),0)</f>
        <v>0</v>
      </c>
      <c r="I44" s="334" cm="1">
        <f t="array" ref="I44" xml:space="preserve">
IFERROR(SUM(_xlfn._xlws.FILTER(Table_ThuChiTC[Giá trị GD],
(Table_ThuChiTC[Loại GD]="THU")*
(Table_ThuChiTC[Nội dung GD]="Thu chi mua bán TSCĐ và tài sản dài hạn khác")*
(Table_ThuChiTC[Ngày GD]&gt;=I2)*
(Table_ThuChiTC[Ngày GD]&lt;J2)
)),0)
-IFERROR(SUM(_xlfn._xlws.FILTER(Table_ThuChiTC[Giá trị GD],
(Table_ThuChiTC[Loại GD]="CHI")*
(Table_ThuChiTC[Nội dung GD]="Thu chi mua bán TSCĐ và tài sản dài hạn khác")*
(Table_ThuChiTC[Ngày GD]&gt;=I2)*
(Table_ThuChiTC[Ngày GD]&lt;J2)
)),0)</f>
        <v>0</v>
      </c>
      <c r="J44" s="334" cm="1">
        <f t="array" ref="J44" xml:space="preserve">
IFERROR(SUM(_xlfn._xlws.FILTER(Table_ThuChiTC[Giá trị GD],
(Table_ThuChiTC[Loại GD]="THU")*
(Table_ThuChiTC[Nội dung GD]="Thu chi mua bán TSCĐ và tài sản dài hạn khác")*
(Table_ThuChiTC[Ngày GD]&gt;=J2)*
(Table_ThuChiTC[Ngày GD]&lt;K2)
)),0)
-IFERROR(SUM(_xlfn._xlws.FILTER(Table_ThuChiTC[Giá trị GD],
(Table_ThuChiTC[Loại GD]="CHI")*
(Table_ThuChiTC[Nội dung GD]="Thu chi mua bán TSCĐ và tài sản dài hạn khác")*
(Table_ThuChiTC[Ngày GD]&gt;=J2)*
(Table_ThuChiTC[Ngày GD]&lt;K2)
)),0)</f>
        <v>0</v>
      </c>
      <c r="K44" s="334" cm="1">
        <f t="array" ref="K44" xml:space="preserve">
IFERROR(SUM(_xlfn._xlws.FILTER(Table_ThuChiTC[Giá trị GD],
(Table_ThuChiTC[Loại GD]="THU")*
(Table_ThuChiTC[Nội dung GD]="Thu chi mua bán TSCĐ và tài sản dài hạn khác")*
(Table_ThuChiTC[Ngày GD]&gt;=K2)*
(Table_ThuChiTC[Ngày GD]&lt;L2)
)),0)
-IFERROR(SUM(_xlfn._xlws.FILTER(Table_ThuChiTC[Giá trị GD],
(Table_ThuChiTC[Loại GD]="CHI")*
(Table_ThuChiTC[Nội dung GD]="Thu chi mua bán TSCĐ và tài sản dài hạn khác")*
(Table_ThuChiTC[Ngày GD]&gt;=K2)*
(Table_ThuChiTC[Ngày GD]&lt;L2)
)),0)</f>
        <v>0</v>
      </c>
      <c r="L44" s="334" cm="1">
        <f t="array" ref="L44" xml:space="preserve">
IFERROR(SUM(_xlfn._xlws.FILTER(Table_ThuChiTC[Giá trị GD],
(Table_ThuChiTC[Loại GD]="THU")*
(Table_ThuChiTC[Nội dung GD]="Thu chi mua bán TSCĐ và tài sản dài hạn khác")*
(Table_ThuChiTC[Ngày GD]&gt;=L2)*
(Table_ThuChiTC[Ngày GD]&lt;M2)
)),0)
-IFERROR(SUM(_xlfn._xlws.FILTER(Table_ThuChiTC[Giá trị GD],
(Table_ThuChiTC[Loại GD]="CHI")*
(Table_ThuChiTC[Nội dung GD]="Thu chi mua bán TSCĐ và tài sản dài hạn khác")*
(Table_ThuChiTC[Ngày GD]&gt;=L2)*
(Table_ThuChiTC[Ngày GD]&lt;M2)
)),0)</f>
        <v>0</v>
      </c>
      <c r="M44" s="334" cm="1">
        <f t="array" ref="M44" xml:space="preserve">
IFERROR(SUM(_xlfn._xlws.FILTER(Table_ThuChiTC[Giá trị GD],
(Table_ThuChiTC[Loại GD]="THU")*
(Table_ThuChiTC[Nội dung GD]="Thu chi mua bán TSCĐ và tài sản dài hạn khác")*
(Table_ThuChiTC[Ngày GD]&gt;=M2)*
(Table_ThuChiTC[Ngày GD]&lt;N2)
)),0)
-IFERROR(SUM(_xlfn._xlws.FILTER(Table_ThuChiTC[Giá trị GD],
(Table_ThuChiTC[Loại GD]="CHI")*
(Table_ThuChiTC[Nội dung GD]="Thu chi mua bán TSCĐ và tài sản dài hạn khác")*
(Table_ThuChiTC[Ngày GD]&gt;=M2)*
(Table_ThuChiTC[Ngày GD]&lt;N2)
)),0)</f>
        <v>0</v>
      </c>
      <c r="N44" s="334" cm="1">
        <f t="array" ref="N44" xml:space="preserve">
IFERROR(SUM(_xlfn._xlws.FILTER(Table_ThuChiTC[Giá trị GD],
(Table_ThuChiTC[Loại GD]="THU")*
(Table_ThuChiTC[Nội dung GD]="Thu chi mua bán TSCĐ và tài sản dài hạn khác")*
(Table_ThuChiTC[Ngày GD]&gt;=N2)*
(Table_ThuChiTC[Ngày GD]&lt;O2)
)),0)
-IFERROR(SUM(_xlfn._xlws.FILTER(Table_ThuChiTC[Giá trị GD],
(Table_ThuChiTC[Loại GD]="CHI")*
(Table_ThuChiTC[Nội dung GD]="Thu chi mua bán TSCĐ và tài sản dài hạn khác")*
(Table_ThuChiTC[Ngày GD]&gt;=N2)*
(Table_ThuChiTC[Ngày GD]&lt;O2)
)),0)</f>
        <v>0</v>
      </c>
      <c r="O44" s="334" cm="1">
        <f t="array" ref="O44" xml:space="preserve">
IFERROR(SUM(_xlfn._xlws.FILTER(Table_ThuChiTC[Giá trị GD],
(Table_ThuChiTC[Loại GD]="THU")*
(Table_ThuChiTC[Nội dung GD]="Thu chi mua bán TSCĐ và tài sản dài hạn khác")*
(Table_ThuChiTC[Ngày GD]&gt;=O2)*
(Table_ThuChiTC[Ngày GD]&lt;P2)
)),0)
-IFERROR(SUM(_xlfn._xlws.FILTER(Table_ThuChiTC[Giá trị GD],
(Table_ThuChiTC[Loại GD]="CHI")*
(Table_ThuChiTC[Nội dung GD]="Thu chi mua bán TSCĐ và tài sản dài hạn khác")*
(Table_ThuChiTC[Ngày GD]&gt;=O2)*
(Table_ThuChiTC[Ngày GD]&lt;P2)
)),0)</f>
        <v>0</v>
      </c>
      <c r="P44" s="323"/>
      <c r="Q44" s="240"/>
      <c r="R44" s="73" t="s">
        <v>311</v>
      </c>
      <c r="S44" s="328" cm="1">
        <f t="array" ref="S44" xml:space="preserve">
IFERROR(SUM(_xlfn._xlws.FILTER(Table_ThuChiTC[Giá trị GD],
(Table_ThuChiTC[Loại GD]="THU")*
(Table_ThuChiTC[Nội dung GD]="Thu chi mua bán TSCĐ và tài sản dài hạn khác")*
(YEAR(Table_ThuChiTC[Ngày GD])=S1)
)),0)
-IFERROR(SUM(_xlfn._xlws.FILTER(Table_ThuChiTC[Giá trị GD],
(Table_ThuChiTC[Loại GD]="CHI")*
(Table_ThuChiTC[Nội dung GD]="Thu chi mua bán TSCĐ và tài sản dài hạn khác")*
(YEAR(Table_ThuChiTC[Ngày GD])=S1)
)),0)</f>
        <v>0</v>
      </c>
      <c r="T44" s="240"/>
      <c r="U44" s="73" t="s">
        <v>311</v>
      </c>
      <c r="V44" s="334" cm="1">
        <f t="array" ref="V44" xml:space="preserve">
IFERROR(SUM(_xlfn._xlws.FILTER(Table_ThuChiTC[Giá trị GD],
(Table_ThuChiTC[Loại GD]="THU")*
(Table_ThuChiTC[Nội dung GD]="Thu chi mua bán TSCĐ và tài sản dài hạn khác")*
(Table_ThuChiTC[Ngày GD]&gt;=V$1)*
(Table_ThuChiTC[Ngày GD]&lt;DATE(YEAR(V$1),MONTH(V$1)+1,1))
)),0)
-IFERROR(SUM(_xlfn._xlws.FILTER(Table_ThuChiTC[Giá trị GD],
(Table_ThuChiTC[Loại GD]="CHI")*
(Table_ThuChiTC[Nội dung GD]="Thu chi mua bán TSCĐ và tài sản dài hạn khác")*
(Table_ThuChiTC[Ngày GD]&gt;=V$1)*
(Table_ThuChiTC[Ngày GD]&lt;DATE(YEAR(V$1),MONTH(V$1)+1,1))
)),0)</f>
        <v>0</v>
      </c>
    </row>
    <row r="45" spans="2:22" ht="18" customHeight="1" outlineLevel="2" x14ac:dyDescent="0.3">
      <c r="B45" s="73" t="s">
        <v>312</v>
      </c>
      <c r="C45" s="328" cm="1">
        <f t="array" ref="C45" xml:space="preserve">
IFERROR(SUM(_xlfn._xlws.FILTER(Table_ThuChiTC[Giá trị GD],
(Table_ThuChiTC[Loại GD]="THU")*
(Table_ThuChiTC[Nội dung GD]="Thu chi cho vay, mua bán các công cụ nợ")*
(YEAR(Table_ThuChiTC[Ngày GD])=C2)
)),0)
-IFERROR(SUM(_xlfn._xlws.FILTER(Table_ThuChiTC[Giá trị GD],
(Table_ThuChiTC[Loại GD]="CHI")*
(Table_ThuChiTC[Nội dung GD]="Thu chi cho vay, mua bán các công cụ nợ")*
(YEAR(Table_ThuChiTC[Ngày GD])=C2)
)),0)
+IFERROR(SUM(_xlfn._xlws.FILTER(Table_ThuChiTC[Giá trị GD],
(Table_ThuChiTC[Loại GD]="THU")*
(Table_ThuChiTC[Nội dung GD]="Thu chi đầu tư góp vốn")*
(YEAR(Table_ThuChiTC[Ngày GD])=C2)
)),0)
-IFERROR(SUM(_xlfn._xlws.FILTER(Table_ThuChiTC[Giá trị GD],
(Table_ThuChiTC[Loại GD]="CHI")*
(Table_ThuChiTC[Nội dung GD]="Thu chi đầu tư góp vốn")*
(YEAR(Table_ThuChiTC[Ngày GD])=C2)
)),0)</f>
        <v>0</v>
      </c>
      <c r="D45" s="334" cm="1">
        <f t="array" ref="D45" xml:space="preserve">
+IFERROR(SUM(_xlfn._xlws.FILTER(Table_ThuChiTC[Giá trị GD],
(Table_ThuChiTC[Loại GD]="THU")*
(Table_ThuChiTC[Nội dung GD]="Thu chi cho vay, mua bán các công cụ nợ")*
(Table_ThuChiTC[Ngày GD]&gt;=D2)*
(Table_ThuChiTC[Ngày GD]&lt;E2)
)),0)
-IFERROR(SUM(_xlfn._xlws.FILTER(Table_ThuChiTC[Giá trị GD],
(Table_ThuChiTC[Loại GD]="CHI")*
(Table_ThuChiTC[Nội dung GD]="Thu chi cho vay, mua bán các công cụ nợ")*
(Table_ThuChiTC[Ngày GD]&gt;=D2)*
(Table_ThuChiTC[Ngày GD]&lt;E2)
)),0)
+IFERROR(SUM(_xlfn._xlws.FILTER(Table_ThuChiTC[Giá trị GD],
(Table_ThuChiTC[Loại GD]="THU")*
(Table_ThuChiTC[Nội dung GD]="Thu chi đầu tư góp vốn")*
(Table_ThuChiTC[Ngày GD]&gt;=D2)*
(Table_ThuChiTC[Ngày GD]&lt;E2)
)),0)
-IFERROR(SUM(_xlfn._xlws.FILTER(Table_ThuChiTC[Giá trị GD],
(Table_ThuChiTC[Loại GD]="CHI")*
(Table_ThuChiTC[Nội dung GD]="Thu chi đầu tư góp vốn")*
(Table_ThuChiTC[Ngày GD]&gt;=D2)*
(Table_ThuChiTC[Ngày GD]&lt;E2)
)),0)</f>
        <v>0</v>
      </c>
      <c r="E45" s="334" cm="1">
        <f t="array" ref="E45" xml:space="preserve">
+IFERROR(SUM(_xlfn._xlws.FILTER(Table_ThuChiTC[Giá trị GD],
(Table_ThuChiTC[Loại GD]="THU")*
(Table_ThuChiTC[Nội dung GD]="Thu chi cho vay, mua bán các công cụ nợ")*
(Table_ThuChiTC[Ngày GD]&gt;=E2)*
(Table_ThuChiTC[Ngày GD]&lt;F2)
)),0)
-IFERROR(SUM(_xlfn._xlws.FILTER(Table_ThuChiTC[Giá trị GD],
(Table_ThuChiTC[Loại GD]="CHI")*
(Table_ThuChiTC[Nội dung GD]="Thu chi cho vay, mua bán các công cụ nợ")*
(Table_ThuChiTC[Ngày GD]&gt;=E2)*
(Table_ThuChiTC[Ngày GD]&lt;F2)
)),0)
+IFERROR(SUM(_xlfn._xlws.FILTER(Table_ThuChiTC[Giá trị GD],
(Table_ThuChiTC[Loại GD]="THU")*
(Table_ThuChiTC[Nội dung GD]="Thu chi đầu tư góp vốn")*
(Table_ThuChiTC[Ngày GD]&gt;=E2)*
(Table_ThuChiTC[Ngày GD]&lt;F2)
)),0)
-IFERROR(SUM(_xlfn._xlws.FILTER(Table_ThuChiTC[Giá trị GD],
(Table_ThuChiTC[Loại GD]="CHI")*
(Table_ThuChiTC[Nội dung GD]="Thu chi đầu tư góp vốn")*
(Table_ThuChiTC[Ngày GD]&gt;=E2)*
(Table_ThuChiTC[Ngày GD]&lt;F2)
)),0)</f>
        <v>0</v>
      </c>
      <c r="F45" s="334" cm="1">
        <f t="array" ref="F45" xml:space="preserve">
+IFERROR(SUM(_xlfn._xlws.FILTER(Table_ThuChiTC[Giá trị GD],
(Table_ThuChiTC[Loại GD]="THU")*
(Table_ThuChiTC[Nội dung GD]="Thu chi cho vay, mua bán các công cụ nợ")*
(Table_ThuChiTC[Ngày GD]&gt;=F2)*
(Table_ThuChiTC[Ngày GD]&lt;G2)
)),0)
-IFERROR(SUM(_xlfn._xlws.FILTER(Table_ThuChiTC[Giá trị GD],
(Table_ThuChiTC[Loại GD]="CHI")*
(Table_ThuChiTC[Nội dung GD]="Thu chi cho vay, mua bán các công cụ nợ")*
(Table_ThuChiTC[Ngày GD]&gt;=F2)*
(Table_ThuChiTC[Ngày GD]&lt;G2)
)),0)
+IFERROR(SUM(_xlfn._xlws.FILTER(Table_ThuChiTC[Giá trị GD],
(Table_ThuChiTC[Loại GD]="THU")*
(Table_ThuChiTC[Nội dung GD]="Thu chi đầu tư góp vốn")*
(Table_ThuChiTC[Ngày GD]&gt;=F2)*
(Table_ThuChiTC[Ngày GD]&lt;G2)
)),0)
-IFERROR(SUM(_xlfn._xlws.FILTER(Table_ThuChiTC[Giá trị GD],
(Table_ThuChiTC[Loại GD]="CHI")*
(Table_ThuChiTC[Nội dung GD]="Thu chi đầu tư góp vốn")*
(Table_ThuChiTC[Ngày GD]&gt;=F2)*
(Table_ThuChiTC[Ngày GD]&lt;G2)
)),0)</f>
        <v>0</v>
      </c>
      <c r="G45" s="334" cm="1">
        <f t="array" ref="G45" xml:space="preserve">
+IFERROR(SUM(_xlfn._xlws.FILTER(Table_ThuChiTC[Giá trị GD],
(Table_ThuChiTC[Loại GD]="THU")*
(Table_ThuChiTC[Nội dung GD]="Thu chi cho vay, mua bán các công cụ nợ")*
(Table_ThuChiTC[Ngày GD]&gt;=G2)*
(Table_ThuChiTC[Ngày GD]&lt;H2)
)),0)
-IFERROR(SUM(_xlfn._xlws.FILTER(Table_ThuChiTC[Giá trị GD],
(Table_ThuChiTC[Loại GD]="CHI")*
(Table_ThuChiTC[Nội dung GD]="Thu chi cho vay, mua bán các công cụ nợ")*
(Table_ThuChiTC[Ngày GD]&gt;=G2)*
(Table_ThuChiTC[Ngày GD]&lt;H2)
)),0)
+IFERROR(SUM(_xlfn._xlws.FILTER(Table_ThuChiTC[Giá trị GD],
(Table_ThuChiTC[Loại GD]="THU")*
(Table_ThuChiTC[Nội dung GD]="Thu chi đầu tư góp vốn")*
(Table_ThuChiTC[Ngày GD]&gt;=G2)*
(Table_ThuChiTC[Ngày GD]&lt;H2)
)),0)
-IFERROR(SUM(_xlfn._xlws.FILTER(Table_ThuChiTC[Giá trị GD],
(Table_ThuChiTC[Loại GD]="CHI")*
(Table_ThuChiTC[Nội dung GD]="Thu chi đầu tư góp vốn")*
(Table_ThuChiTC[Ngày GD]&gt;=G2)*
(Table_ThuChiTC[Ngày GD]&lt;H2)
)),0)</f>
        <v>0</v>
      </c>
      <c r="H45" s="334" cm="1">
        <f t="array" ref="H45" xml:space="preserve">
+IFERROR(SUM(_xlfn._xlws.FILTER(Table_ThuChiTC[Giá trị GD],
(Table_ThuChiTC[Loại GD]="THU")*
(Table_ThuChiTC[Nội dung GD]="Thu chi cho vay, mua bán các công cụ nợ")*
(Table_ThuChiTC[Ngày GD]&gt;=H2)*
(Table_ThuChiTC[Ngày GD]&lt;I2)
)),0)
-IFERROR(SUM(_xlfn._xlws.FILTER(Table_ThuChiTC[Giá trị GD],
(Table_ThuChiTC[Loại GD]="CHI")*
(Table_ThuChiTC[Nội dung GD]="Thu chi cho vay, mua bán các công cụ nợ")*
(Table_ThuChiTC[Ngày GD]&gt;=H2)*
(Table_ThuChiTC[Ngày GD]&lt;I2)
)),0)
+IFERROR(SUM(_xlfn._xlws.FILTER(Table_ThuChiTC[Giá trị GD],
(Table_ThuChiTC[Loại GD]="THU")*
(Table_ThuChiTC[Nội dung GD]="Thu chi đầu tư góp vốn")*
(Table_ThuChiTC[Ngày GD]&gt;=H2)*
(Table_ThuChiTC[Ngày GD]&lt;I2)
)),0)
-IFERROR(SUM(_xlfn._xlws.FILTER(Table_ThuChiTC[Giá trị GD],
(Table_ThuChiTC[Loại GD]="CHI")*
(Table_ThuChiTC[Nội dung GD]="Thu chi đầu tư góp vốn")*
(Table_ThuChiTC[Ngày GD]&gt;=H2)*
(Table_ThuChiTC[Ngày GD]&lt;I2)
)),0)</f>
        <v>0</v>
      </c>
      <c r="I45" s="334" cm="1">
        <f t="array" ref="I45" xml:space="preserve">
+IFERROR(SUM(_xlfn._xlws.FILTER(Table_ThuChiTC[Giá trị GD],
(Table_ThuChiTC[Loại GD]="THU")*
(Table_ThuChiTC[Nội dung GD]="Thu chi cho vay, mua bán các công cụ nợ")*
(Table_ThuChiTC[Ngày GD]&gt;=I2)*
(Table_ThuChiTC[Ngày GD]&lt;J2)
)),0)
-IFERROR(SUM(_xlfn._xlws.FILTER(Table_ThuChiTC[Giá trị GD],
(Table_ThuChiTC[Loại GD]="CHI")*
(Table_ThuChiTC[Nội dung GD]="Thu chi cho vay, mua bán các công cụ nợ")*
(Table_ThuChiTC[Ngày GD]&gt;=I2)*
(Table_ThuChiTC[Ngày GD]&lt;J2)
)),0)
+IFERROR(SUM(_xlfn._xlws.FILTER(Table_ThuChiTC[Giá trị GD],
(Table_ThuChiTC[Loại GD]="THU")*
(Table_ThuChiTC[Nội dung GD]="Thu chi đầu tư góp vốn")*
(Table_ThuChiTC[Ngày GD]&gt;=I2)*
(Table_ThuChiTC[Ngày GD]&lt;J2)
)),0)
-IFERROR(SUM(_xlfn._xlws.FILTER(Table_ThuChiTC[Giá trị GD],
(Table_ThuChiTC[Loại GD]="CHI")*
(Table_ThuChiTC[Nội dung GD]="Thu chi đầu tư góp vốn")*
(Table_ThuChiTC[Ngày GD]&gt;=I2)*
(Table_ThuChiTC[Ngày GD]&lt;J2)
)),0)</f>
        <v>0</v>
      </c>
      <c r="J45" s="334" cm="1">
        <f t="array" ref="J45" xml:space="preserve">
+IFERROR(SUM(_xlfn._xlws.FILTER(Table_ThuChiTC[Giá trị GD],
(Table_ThuChiTC[Loại GD]="THU")*
(Table_ThuChiTC[Nội dung GD]="Thu chi cho vay, mua bán các công cụ nợ")*
(Table_ThuChiTC[Ngày GD]&gt;=J2)*
(Table_ThuChiTC[Ngày GD]&lt;K2)
)),0)
-IFERROR(SUM(_xlfn._xlws.FILTER(Table_ThuChiTC[Giá trị GD],
(Table_ThuChiTC[Loại GD]="CHI")*
(Table_ThuChiTC[Nội dung GD]="Thu chi cho vay, mua bán các công cụ nợ")*
(Table_ThuChiTC[Ngày GD]&gt;=J2)*
(Table_ThuChiTC[Ngày GD]&lt;K2)
)),0)
+IFERROR(SUM(_xlfn._xlws.FILTER(Table_ThuChiTC[Giá trị GD],
(Table_ThuChiTC[Loại GD]="THU")*
(Table_ThuChiTC[Nội dung GD]="Thu chi đầu tư góp vốn")*
(Table_ThuChiTC[Ngày GD]&gt;=J2)*
(Table_ThuChiTC[Ngày GD]&lt;K2)
)),0)
-IFERROR(SUM(_xlfn._xlws.FILTER(Table_ThuChiTC[Giá trị GD],
(Table_ThuChiTC[Loại GD]="CHI")*
(Table_ThuChiTC[Nội dung GD]="Thu chi đầu tư góp vốn")*
(Table_ThuChiTC[Ngày GD]&gt;=J2)*
(Table_ThuChiTC[Ngày GD]&lt;K2)
)),0)</f>
        <v>0</v>
      </c>
      <c r="K45" s="334" cm="1">
        <f t="array" ref="K45" xml:space="preserve">
+IFERROR(SUM(_xlfn._xlws.FILTER(Table_ThuChiTC[Giá trị GD],
(Table_ThuChiTC[Loại GD]="THU")*
(Table_ThuChiTC[Nội dung GD]="Thu chi cho vay, mua bán các công cụ nợ")*
(Table_ThuChiTC[Ngày GD]&gt;=K2)*
(Table_ThuChiTC[Ngày GD]&lt;L2)
)),0)
-IFERROR(SUM(_xlfn._xlws.FILTER(Table_ThuChiTC[Giá trị GD],
(Table_ThuChiTC[Loại GD]="CHI")*
(Table_ThuChiTC[Nội dung GD]="Thu chi cho vay, mua bán các công cụ nợ")*
(Table_ThuChiTC[Ngày GD]&gt;=K2)*
(Table_ThuChiTC[Ngày GD]&lt;L2)
)),0)
+IFERROR(SUM(_xlfn._xlws.FILTER(Table_ThuChiTC[Giá trị GD],
(Table_ThuChiTC[Loại GD]="THU")*
(Table_ThuChiTC[Nội dung GD]="Thu chi đầu tư góp vốn")*
(Table_ThuChiTC[Ngày GD]&gt;=K2)*
(Table_ThuChiTC[Ngày GD]&lt;L2)
)),0)
-IFERROR(SUM(_xlfn._xlws.FILTER(Table_ThuChiTC[Giá trị GD],
(Table_ThuChiTC[Loại GD]="CHI")*
(Table_ThuChiTC[Nội dung GD]="Thu chi đầu tư góp vốn")*
(Table_ThuChiTC[Ngày GD]&gt;=K2)*
(Table_ThuChiTC[Ngày GD]&lt;L2)
)),0)</f>
        <v>0</v>
      </c>
      <c r="L45" s="334" cm="1">
        <f t="array" ref="L45" xml:space="preserve">
+IFERROR(SUM(_xlfn._xlws.FILTER(Table_ThuChiTC[Giá trị GD],
(Table_ThuChiTC[Loại GD]="THU")*
(Table_ThuChiTC[Nội dung GD]="Thu chi cho vay, mua bán các công cụ nợ")*
(Table_ThuChiTC[Ngày GD]&gt;=L2)*
(Table_ThuChiTC[Ngày GD]&lt;M2)
)),0)
-IFERROR(SUM(_xlfn._xlws.FILTER(Table_ThuChiTC[Giá trị GD],
(Table_ThuChiTC[Loại GD]="CHI")*
(Table_ThuChiTC[Nội dung GD]="Thu chi cho vay, mua bán các công cụ nợ")*
(Table_ThuChiTC[Ngày GD]&gt;=L2)*
(Table_ThuChiTC[Ngày GD]&lt;M2)
)),0)
+IFERROR(SUM(_xlfn._xlws.FILTER(Table_ThuChiTC[Giá trị GD],
(Table_ThuChiTC[Loại GD]="THU")*
(Table_ThuChiTC[Nội dung GD]="Thu chi đầu tư góp vốn")*
(Table_ThuChiTC[Ngày GD]&gt;=L2)*
(Table_ThuChiTC[Ngày GD]&lt;M2)
)),0)
-IFERROR(SUM(_xlfn._xlws.FILTER(Table_ThuChiTC[Giá trị GD],
(Table_ThuChiTC[Loại GD]="CHI")*
(Table_ThuChiTC[Nội dung GD]="Thu chi đầu tư góp vốn")*
(Table_ThuChiTC[Ngày GD]&gt;=L2)*
(Table_ThuChiTC[Ngày GD]&lt;M2)
)),0)</f>
        <v>0</v>
      </c>
      <c r="M45" s="334" cm="1">
        <f t="array" ref="M45" xml:space="preserve">
+IFERROR(SUM(_xlfn._xlws.FILTER(Table_ThuChiTC[Giá trị GD],
(Table_ThuChiTC[Loại GD]="THU")*
(Table_ThuChiTC[Nội dung GD]="Thu chi cho vay, mua bán các công cụ nợ")*
(Table_ThuChiTC[Ngày GD]&gt;=M2)*
(Table_ThuChiTC[Ngày GD]&lt;N2)
)),0)
-IFERROR(SUM(_xlfn._xlws.FILTER(Table_ThuChiTC[Giá trị GD],
(Table_ThuChiTC[Loại GD]="CHI")*
(Table_ThuChiTC[Nội dung GD]="Thu chi cho vay, mua bán các công cụ nợ")*
(Table_ThuChiTC[Ngày GD]&gt;=M2)*
(Table_ThuChiTC[Ngày GD]&lt;N2)
)),0)
+IFERROR(SUM(_xlfn._xlws.FILTER(Table_ThuChiTC[Giá trị GD],
(Table_ThuChiTC[Loại GD]="THU")*
(Table_ThuChiTC[Nội dung GD]="Thu chi đầu tư góp vốn")*
(Table_ThuChiTC[Ngày GD]&gt;=M2)*
(Table_ThuChiTC[Ngày GD]&lt;N2)
)),0)
-IFERROR(SUM(_xlfn._xlws.FILTER(Table_ThuChiTC[Giá trị GD],
(Table_ThuChiTC[Loại GD]="CHI")*
(Table_ThuChiTC[Nội dung GD]="Thu chi đầu tư góp vốn")*
(Table_ThuChiTC[Ngày GD]&gt;=M2)*
(Table_ThuChiTC[Ngày GD]&lt;N2)
)),0)</f>
        <v>0</v>
      </c>
      <c r="N45" s="334" cm="1">
        <f t="array" ref="N45" xml:space="preserve">
+IFERROR(SUM(_xlfn._xlws.FILTER(Table_ThuChiTC[Giá trị GD],
(Table_ThuChiTC[Loại GD]="THU")*
(Table_ThuChiTC[Nội dung GD]="Thu chi cho vay, mua bán các công cụ nợ")*
(Table_ThuChiTC[Ngày GD]&gt;=N2)*
(Table_ThuChiTC[Ngày GD]&lt;O2)
)),0)
-IFERROR(SUM(_xlfn._xlws.FILTER(Table_ThuChiTC[Giá trị GD],
(Table_ThuChiTC[Loại GD]="CHI")*
(Table_ThuChiTC[Nội dung GD]="Thu chi cho vay, mua bán các công cụ nợ")*
(Table_ThuChiTC[Ngày GD]&gt;=N2)*
(Table_ThuChiTC[Ngày GD]&lt;O2)
)),0)
+IFERROR(SUM(_xlfn._xlws.FILTER(Table_ThuChiTC[Giá trị GD],
(Table_ThuChiTC[Loại GD]="THU")*
(Table_ThuChiTC[Nội dung GD]="Thu chi đầu tư góp vốn")*
(Table_ThuChiTC[Ngày GD]&gt;=N2)*
(Table_ThuChiTC[Ngày GD]&lt;O2)
)),0)
-IFERROR(SUM(_xlfn._xlws.FILTER(Table_ThuChiTC[Giá trị GD],
(Table_ThuChiTC[Loại GD]="CHI")*
(Table_ThuChiTC[Nội dung GD]="Thu chi đầu tư góp vốn")*
(Table_ThuChiTC[Ngày GD]&gt;=N2)*
(Table_ThuChiTC[Ngày GD]&lt;O2)
)),0)</f>
        <v>0</v>
      </c>
      <c r="O45" s="334" cm="1">
        <f t="array" ref="O45" xml:space="preserve">
+IFERROR(SUM(_xlfn._xlws.FILTER(Table_ThuChiTC[Giá trị GD],
(Table_ThuChiTC[Loại GD]="THU")*
(Table_ThuChiTC[Nội dung GD]="Thu chi cho vay, mua bán các công cụ nợ")*
(Table_ThuChiTC[Ngày GD]&gt;=O2)*
(Table_ThuChiTC[Ngày GD]&lt;P2)
)),0)
-IFERROR(SUM(_xlfn._xlws.FILTER(Table_ThuChiTC[Giá trị GD],
(Table_ThuChiTC[Loại GD]="CHI")*
(Table_ThuChiTC[Nội dung GD]="Thu chi cho vay, mua bán các công cụ nợ")*
(Table_ThuChiTC[Ngày GD]&gt;=O2)*
(Table_ThuChiTC[Ngày GD]&lt;P2)
)),0)
+IFERROR(SUM(_xlfn._xlws.FILTER(Table_ThuChiTC[Giá trị GD],
(Table_ThuChiTC[Loại GD]="THU")*
(Table_ThuChiTC[Nội dung GD]="Thu chi đầu tư góp vốn")*
(Table_ThuChiTC[Ngày GD]&gt;=O2)*
(Table_ThuChiTC[Ngày GD]&lt;P2)
)),0)
-IFERROR(SUM(_xlfn._xlws.FILTER(Table_ThuChiTC[Giá trị GD],
(Table_ThuChiTC[Loại GD]="CHI")*
(Table_ThuChiTC[Nội dung GD]="Thu chi đầu tư góp vốn")*
(Table_ThuChiTC[Ngày GD]&gt;=O2)*
(Table_ThuChiTC[Ngày GD]&lt;P2)
)),0)</f>
        <v>0</v>
      </c>
      <c r="P45" s="323"/>
      <c r="Q45" s="240"/>
      <c r="R45" s="73" t="s">
        <v>312</v>
      </c>
      <c r="S45" s="328" cm="1">
        <f t="array" ref="S45" xml:space="preserve">
IFERROR(SUM(_xlfn._xlws.FILTER(Table_ThuChiTC[Giá trị GD],
(Table_ThuChiTC[Loại GD]="THU")*
(Table_ThuChiTC[Nội dung GD]="Thu chi cho vay, mua bán các công cụ nợ")*
(YEAR(Table_ThuChiTC[Ngày GD])=S$1)
)),0)
-IFERROR(SUM(_xlfn._xlws.FILTER(Table_ThuChiTC[Giá trị GD],
(Table_ThuChiTC[Loại GD]="CHI")*
(Table_ThuChiTC[Nội dung GD]="Thu chi cho vay, mua bán các công cụ nợ")*
(YEAR(Table_ThuChiTC[Ngày GD])=S$1)
)),0)
+IFERROR(SUM(_xlfn._xlws.FILTER(Table_ThuChiTC[Giá trị GD],
(Table_ThuChiTC[Loại GD]="THU")*
(Table_ThuChiTC[Nội dung GD]="Thu chi đầu tư góp vốn")*
(YEAR(Table_ThuChiTC[Ngày GD])=S$1)
)),0)
-IFERROR(SUM(_xlfn._xlws.FILTER(Table_ThuChiTC[Giá trị GD],
(Table_ThuChiTC[Loại GD]="CHI")*
(Table_ThuChiTC[Nội dung GD]="Thu chi đầu tư góp vốn")*
(YEAR(Table_ThuChiTC[Ngày GD])=S$1)
)),0)</f>
        <v>0</v>
      </c>
      <c r="T45" s="240"/>
      <c r="U45" s="73" t="s">
        <v>312</v>
      </c>
      <c r="V45" s="334" cm="1">
        <f t="array" ref="V45" xml:space="preserve">
+IFERROR(SUM(_xlfn._xlws.FILTER(Table_ThuChiTC[Giá trị GD],
(Table_ThuChiTC[Loại GD]="THU")*
(Table_ThuChiTC[Nội dung GD]="Thu chi cho vay, mua bán các công cụ nợ")*
(Table_ThuChiTC[Ngày GD]&gt;=V$1)*
(Table_ThuChiTC[Ngày GD]&lt;DATE(YEAR(V$1),MONTH(V$1)+1,1))
)),0)
-IFERROR(SUM(_xlfn._xlws.FILTER(Table_ThuChiTC[Giá trị GD],
(Table_ThuChiTC[Loại GD]="CHI")*
(Table_ThuChiTC[Nội dung GD]="Thu chi cho vay, mua bán các công cụ nợ")*
(Table_ThuChiTC[Ngày GD]&gt;=V$1)*
(Table_ThuChiTC[Ngày GD]&lt;DATE(YEAR(V$1),MONTH(V$1)+1,1))
)),0)
+IFERROR(SUM(_xlfn._xlws.FILTER(Table_ThuChiTC[Giá trị GD],
(Table_ThuChiTC[Loại GD]="THU")*
(Table_ThuChiTC[Nội dung GD]="Thu chi đầu tư góp vốn")*
(Table_ThuChiTC[Ngày GD]&gt;=V$1)*
(Table_ThuChiTC[Ngày GD]&lt;DATE(YEAR(V$1),MONTH(V$1)+1,1))
)),0)
-IFERROR(SUM(_xlfn._xlws.FILTER(Table_ThuChiTC[Giá trị GD],
(Table_ThuChiTC[Loại GD]="CHI")*
(Table_ThuChiTC[Nội dung GD]="Thu chi đầu tư góp vốn")*
(Table_ThuChiTC[Ngày GD]&gt;=V$1)*
(Table_ThuChiTC[Ngày GD]&lt;DATE(YEAR(V$1),MONTH(V$1)+1,1))
)),0)</f>
        <v>0</v>
      </c>
    </row>
    <row r="46" spans="2:22" ht="18" customHeight="1" outlineLevel="1" x14ac:dyDescent="0.3">
      <c r="B46" s="87" t="s">
        <v>313</v>
      </c>
      <c r="C46" s="331">
        <f>+C32+C43</f>
        <v>0</v>
      </c>
      <c r="D46" s="331">
        <f t="shared" ref="D46:O46" si="15">+D32+D43</f>
        <v>0</v>
      </c>
      <c r="E46" s="331">
        <f t="shared" si="15"/>
        <v>0</v>
      </c>
      <c r="F46" s="331">
        <f t="shared" si="15"/>
        <v>0</v>
      </c>
      <c r="G46" s="331">
        <f t="shared" si="15"/>
        <v>0</v>
      </c>
      <c r="H46" s="331">
        <f t="shared" si="15"/>
        <v>0</v>
      </c>
      <c r="I46" s="331">
        <f t="shared" si="15"/>
        <v>0</v>
      </c>
      <c r="J46" s="331">
        <f t="shared" si="15"/>
        <v>0</v>
      </c>
      <c r="K46" s="331">
        <f t="shared" si="15"/>
        <v>0</v>
      </c>
      <c r="L46" s="331">
        <f t="shared" si="15"/>
        <v>0</v>
      </c>
      <c r="M46" s="331">
        <f t="shared" si="15"/>
        <v>0</v>
      </c>
      <c r="N46" s="331">
        <f t="shared" si="15"/>
        <v>0</v>
      </c>
      <c r="O46" s="331">
        <f t="shared" si="15"/>
        <v>0</v>
      </c>
      <c r="P46" s="323"/>
      <c r="Q46" s="240"/>
      <c r="R46" s="87" t="s">
        <v>313</v>
      </c>
      <c r="S46" s="104">
        <f>+S32+S43</f>
        <v>0</v>
      </c>
      <c r="T46" s="240"/>
      <c r="U46" s="87" t="s">
        <v>313</v>
      </c>
      <c r="V46" s="104">
        <f>+V32+V43</f>
        <v>0</v>
      </c>
    </row>
    <row r="47" spans="2:22" ht="18" customHeight="1" outlineLevel="1" x14ac:dyDescent="0.3">
      <c r="B47" s="87" t="s">
        <v>113</v>
      </c>
      <c r="C47" s="128">
        <f>C46/(-(C36+C41+C43)+
(
+ IFERROR(HLOOKUP(C$2,Table_BCTC_Nam[],Sheet_BaoCaoTaiChinh!$A$92,0),Sheet_BaoCaoTaiChinh!$D$92)
+ IFERROR(HLOOKUP(C$2,Table_BCTC_Nam[],Sheet_BaoCaoTaiChinh!$A$83,0),Sheet_BaoCaoTaiChinh!$D$83)
+ IFERROR(HLOOKUP(C$2,Table_BCTC_Nam[],Sheet_BaoCaoTaiChinh!$A$77,0),Sheet_BaoCaoTaiChinh!$D$77)
+ IFERROR(HLOOKUP(C$2,Table_BCTC_Nam[],Sheet_BaoCaoTaiChinh!$A$78,0),Sheet_BaoCaoTaiChinh!$D$78)
+ IFERROR(HLOOKUP(C$2,Table_BCTC_Nam[],Sheet_BaoCaoTaiChinh!$A$79,0),Sheet_BaoCaoTaiChinh!$D$79)
+ IFERROR(HLOOKUP(C$2,Table_BCTC_Nam[],Sheet_BaoCaoTaiChinh!$A$88,0),Sheet_BaoCaoTaiChinh!$D$88)
+ IFERROR(HLOOKUP(C$2,Table_BCTC_Nam[],Sheet_BaoCaoTaiChinh!$A$89,0),Sheet_BaoCaoTaiChinh!$D$89)
+ IFERROR(HLOOKUP(C$2,Table_BCTC_Nam[],Sheet_BaoCaoTaiChinh!$A$90,0),Sheet_BaoCaoTaiChinh!$D$90)
+ IFERROR(HLOOKUP(C$2-1,Table_BCTC_Nam[],Sheet_BaoCaoTaiChinh!$A$92,0),Sheet_BaoCaoTaiChinh!$D$92)
+ IFERROR(HLOOKUP(C$2-1,Table_BCTC_Nam[],Sheet_BaoCaoTaiChinh!$A$83,0),Sheet_BaoCaoTaiChinh!$D$83)
+ IFERROR(HLOOKUP(C$2-1,Table_BCTC_Nam[],Sheet_BaoCaoTaiChinh!$A$77,0),Sheet_BaoCaoTaiChinh!$D$77)
+ IFERROR(HLOOKUP(C$2-1,Table_BCTC_Nam[],Sheet_BaoCaoTaiChinh!$A$78,0),Sheet_BaoCaoTaiChinh!$D$78)
+ IFERROR(HLOOKUP(C$2-1,Table_BCTC_Nam[],Sheet_BaoCaoTaiChinh!$A$79,0),Sheet_BaoCaoTaiChinh!$D$79)
+ IFERROR(HLOOKUP(C$2-1,Table_BCTC_Nam[],Sheet_BaoCaoTaiChinh!$A$88,0),Sheet_BaoCaoTaiChinh!$D$88)
+ IFERROR(HLOOKUP(C$2-1,Table_BCTC_Nam[],Sheet_BaoCaoTaiChinh!$A$89,0),Sheet_BaoCaoTaiChinh!$D$89)
+ IFERROR(HLOOKUP(C$2-1,Table_BCTC_Nam[],Sheet_BaoCaoTaiChinh!$A$90,0),Sheet_BaoCaoTaiChinh!$D$90)
)/2)</f>
        <v>0</v>
      </c>
      <c r="D47" s="128">
        <f>D46/(-(D36+D41+D43)+
((
+ IFERROR(HLOOKUP(D$2,Table_BCTC_Thang[],Sheet_BaoCaoTaiChinh!$A$92,0),Sheet_BaoCaoTaiChinh!$D$92)
+ IFERROR(HLOOKUP(D$2,Table_BCTC_Thang[],Sheet_BaoCaoTaiChinh!$A$83,0),Sheet_BaoCaoTaiChinh!$D$83)
+ IFERROR(HLOOKUP(D$2,Table_BCTC_Thang[],Sheet_BaoCaoTaiChinh!$A$77,0),Sheet_BaoCaoTaiChinh!$D$77)
+ IFERROR(HLOOKUP(D$2,Table_BCTC_Thang[],Sheet_BaoCaoTaiChinh!$A$78,0),Sheet_BaoCaoTaiChinh!$D$78)
+ IFERROR(HLOOKUP(D$2,Table_BCTC_Thang[],Sheet_BaoCaoTaiChinh!$A$79,0),Sheet_BaoCaoTaiChinh!$D$79)
+ IFERROR(HLOOKUP(D$2,Table_BCTC_Thang[],Sheet_BaoCaoTaiChinh!$A$88,0),Sheet_BaoCaoTaiChinh!$D$88)
+ IFERROR(HLOOKUP(D$2,Table_BCTC_Thang[],Sheet_BaoCaoTaiChinh!$A$89,0),Sheet_BaoCaoTaiChinh!$D$89)
+ IFERROR(HLOOKUP(D$2,Table_BCTC_Thang[],Sheet_BaoCaoTaiChinh!$A$90,0),Sheet_BaoCaoTaiChinh!$D$90)
+ IFERROR(HLOOKUP(DATE(YEAR(D$2),MONTH(D$2)-1,1),Table_BCTC_Thang[],Sheet_BaoCaoTaiChinh!$A$92,0),Sheet_BaoCaoTaiChinh!$D$92)
+ IFERROR(HLOOKUP(DATE(YEAR(D$2),MONTH(D$2)-1,1),Table_BCTC_Nam[],Sheet_BaoCaoTaiChinh!$A$83,0),Sheet_BaoCaoTaiChinh!$D$83)
+ IFERROR(HLOOKUP(DATE(YEAR(D$2),MONTH(D$2)-1,1),Table_BCTC_Nam[],Sheet_BaoCaoTaiChinh!$A$77,0),Sheet_BaoCaoTaiChinh!$D$77)
+ IFERROR(HLOOKUP(DATE(YEAR(D$2),MONTH(D$2)-1,1),Table_BCTC_Nam[],Sheet_BaoCaoTaiChinh!$A$78,0),Sheet_BaoCaoTaiChinh!$D$78)
+ IFERROR(HLOOKUP(DATE(YEAR(D$2),MONTH(D$2)-1,1),Table_BCTC_Nam[],Sheet_BaoCaoTaiChinh!$A$79,0),Sheet_BaoCaoTaiChinh!$D$79)
+ IFERROR(HLOOKUP(DATE(YEAR(D$2),MONTH(D$2)-1,1),Table_BCTC_Nam[],Sheet_BaoCaoTaiChinh!$A$88,0),Sheet_BaoCaoTaiChinh!$D$88)
+ IFERROR(HLOOKUP(DATE(YEAR(D$2),MONTH(D$2)-1,1),Table_BCTC_Nam[],Sheet_BaoCaoTaiChinh!$A$89,0),Sheet_BaoCaoTaiChinh!$D$89)
+ IFERROR(HLOOKUP(DATE(YEAR(D$2),MONTH(D$2)-1,1),Table_BCTC_Nam[],Sheet_BaoCaoTaiChinh!$A$90,0),Sheet_BaoCaoTaiChinh!$D$90)
)/2))</f>
        <v>0</v>
      </c>
      <c r="E47" s="128">
        <f>E46/(-(E36+E41+E43)+
((
+ IFERROR(HLOOKUP(E$2,Table_BCTC_Thang[],Sheet_BaoCaoTaiChinh!$A$92,0),Sheet_BaoCaoTaiChinh!$D$92)
+ IFERROR(HLOOKUP(E$2,Table_BCTC_Thang[],Sheet_BaoCaoTaiChinh!$A$83,0),Sheet_BaoCaoTaiChinh!$D$83)
+ IFERROR(HLOOKUP(E$2,Table_BCTC_Thang[],Sheet_BaoCaoTaiChinh!$A$77,0),Sheet_BaoCaoTaiChinh!$D$77)
+ IFERROR(HLOOKUP(E$2,Table_BCTC_Thang[],Sheet_BaoCaoTaiChinh!$A$78,0),Sheet_BaoCaoTaiChinh!$D$78)
+ IFERROR(HLOOKUP(E$2,Table_BCTC_Thang[],Sheet_BaoCaoTaiChinh!$A$79,0),Sheet_BaoCaoTaiChinh!$D$79)
+ IFERROR(HLOOKUP(E$2,Table_BCTC_Thang[],Sheet_BaoCaoTaiChinh!$A$88,0),Sheet_BaoCaoTaiChinh!$D$88)
+ IFERROR(HLOOKUP(E$2,Table_BCTC_Thang[],Sheet_BaoCaoTaiChinh!$A$89,0),Sheet_BaoCaoTaiChinh!$D$89)
+ IFERROR(HLOOKUP(E$2,Table_BCTC_Thang[],Sheet_BaoCaoTaiChinh!$A$90,0),Sheet_BaoCaoTaiChinh!$D$90)
+ IFERROR(HLOOKUP(DATE(YEAR(E$2),MONTH(E$2)-1,1),Table_BCTC_Thang[],Sheet_BaoCaoTaiChinh!$A$92,0),Sheet_BaoCaoTaiChinh!$D$92)
+ IFERROR(HLOOKUP(DATE(YEAR(E$2),MONTH(E$2)-1,1),Table_BCTC_Nam[],Sheet_BaoCaoTaiChinh!$A$83,0),Sheet_BaoCaoTaiChinh!$D$83)
+ IFERROR(HLOOKUP(DATE(YEAR(E$2),MONTH(E$2)-1,1),Table_BCTC_Nam[],Sheet_BaoCaoTaiChinh!$A$77,0),Sheet_BaoCaoTaiChinh!$D$77)
+ IFERROR(HLOOKUP(DATE(YEAR(E$2),MONTH(E$2)-1,1),Table_BCTC_Nam[],Sheet_BaoCaoTaiChinh!$A$78,0),Sheet_BaoCaoTaiChinh!$D$78)
+ IFERROR(HLOOKUP(DATE(YEAR(E$2),MONTH(E$2)-1,1),Table_BCTC_Nam[],Sheet_BaoCaoTaiChinh!$A$79,0),Sheet_BaoCaoTaiChinh!$D$79)
+ IFERROR(HLOOKUP(DATE(YEAR(E$2),MONTH(E$2)-1,1),Table_BCTC_Nam[],Sheet_BaoCaoTaiChinh!$A$88,0),Sheet_BaoCaoTaiChinh!$D$88)
+ IFERROR(HLOOKUP(DATE(YEAR(E$2),MONTH(E$2)-1,1),Table_BCTC_Nam[],Sheet_BaoCaoTaiChinh!$A$89,0),Sheet_BaoCaoTaiChinh!$D$89)
+ IFERROR(HLOOKUP(DATE(YEAR(E$2),MONTH(E$2)-1,1),Table_BCTC_Nam[],Sheet_BaoCaoTaiChinh!$A$90,0),Sheet_BaoCaoTaiChinh!$D$90)
)/2))</f>
        <v>0</v>
      </c>
      <c r="F47" s="128">
        <f>F46/(-(F36+F41+F43)+
((
+ IFERROR(HLOOKUP(F$2,Table_BCTC_Thang[],Sheet_BaoCaoTaiChinh!$A$92,0),Sheet_BaoCaoTaiChinh!$D$92)
+ IFERROR(HLOOKUP(F$2,Table_BCTC_Thang[],Sheet_BaoCaoTaiChinh!$A$83,0),Sheet_BaoCaoTaiChinh!$D$83)
+ IFERROR(HLOOKUP(F$2,Table_BCTC_Thang[],Sheet_BaoCaoTaiChinh!$A$77,0),Sheet_BaoCaoTaiChinh!$D$77)
+ IFERROR(HLOOKUP(F$2,Table_BCTC_Thang[],Sheet_BaoCaoTaiChinh!$A$78,0),Sheet_BaoCaoTaiChinh!$D$78)
+ IFERROR(HLOOKUP(F$2,Table_BCTC_Thang[],Sheet_BaoCaoTaiChinh!$A$79,0),Sheet_BaoCaoTaiChinh!$D$79)
+ IFERROR(HLOOKUP(F$2,Table_BCTC_Thang[],Sheet_BaoCaoTaiChinh!$A$88,0),Sheet_BaoCaoTaiChinh!$D$88)
+ IFERROR(HLOOKUP(F$2,Table_BCTC_Thang[],Sheet_BaoCaoTaiChinh!$A$89,0),Sheet_BaoCaoTaiChinh!$D$89)
+ IFERROR(HLOOKUP(F$2,Table_BCTC_Thang[],Sheet_BaoCaoTaiChinh!$A$90,0),Sheet_BaoCaoTaiChinh!$D$90)
+ IFERROR(HLOOKUP(DATE(YEAR(F$2),MONTH(F$2)-1,1),Table_BCTC_Thang[],Sheet_BaoCaoTaiChinh!$A$92,0),Sheet_BaoCaoTaiChinh!$D$92)
+ IFERROR(HLOOKUP(DATE(YEAR(F$2),MONTH(F$2)-1,1),Table_BCTC_Nam[],Sheet_BaoCaoTaiChinh!$A$83,0),Sheet_BaoCaoTaiChinh!$D$83)
+ IFERROR(HLOOKUP(DATE(YEAR(F$2),MONTH(F$2)-1,1),Table_BCTC_Nam[],Sheet_BaoCaoTaiChinh!$A$77,0),Sheet_BaoCaoTaiChinh!$D$77)
+ IFERROR(HLOOKUP(DATE(YEAR(F$2),MONTH(F$2)-1,1),Table_BCTC_Nam[],Sheet_BaoCaoTaiChinh!$A$78,0),Sheet_BaoCaoTaiChinh!$D$78)
+ IFERROR(HLOOKUP(DATE(YEAR(F$2),MONTH(F$2)-1,1),Table_BCTC_Nam[],Sheet_BaoCaoTaiChinh!$A$79,0),Sheet_BaoCaoTaiChinh!$D$79)
+ IFERROR(HLOOKUP(DATE(YEAR(F$2),MONTH(F$2)-1,1),Table_BCTC_Nam[],Sheet_BaoCaoTaiChinh!$A$88,0),Sheet_BaoCaoTaiChinh!$D$88)
+ IFERROR(HLOOKUP(DATE(YEAR(F$2),MONTH(F$2)-1,1),Table_BCTC_Nam[],Sheet_BaoCaoTaiChinh!$A$89,0),Sheet_BaoCaoTaiChinh!$D$89)
+ IFERROR(HLOOKUP(DATE(YEAR(F$2),MONTH(F$2)-1,1),Table_BCTC_Nam[],Sheet_BaoCaoTaiChinh!$A$90,0),Sheet_BaoCaoTaiChinh!$D$90)
)/2))</f>
        <v>0</v>
      </c>
      <c r="G47" s="128">
        <f>G46/(-(G36+G41+G43)+
((
+ IFERROR(HLOOKUP(G$2,Table_BCTC_Thang[],Sheet_BaoCaoTaiChinh!$A$92,0),Sheet_BaoCaoTaiChinh!$D$92)
+ IFERROR(HLOOKUP(G$2,Table_BCTC_Thang[],Sheet_BaoCaoTaiChinh!$A$83,0),Sheet_BaoCaoTaiChinh!$D$83)
+ IFERROR(HLOOKUP(G$2,Table_BCTC_Thang[],Sheet_BaoCaoTaiChinh!$A$77,0),Sheet_BaoCaoTaiChinh!$D$77)
+ IFERROR(HLOOKUP(G$2,Table_BCTC_Thang[],Sheet_BaoCaoTaiChinh!$A$78,0),Sheet_BaoCaoTaiChinh!$D$78)
+ IFERROR(HLOOKUP(G$2,Table_BCTC_Thang[],Sheet_BaoCaoTaiChinh!$A$79,0),Sheet_BaoCaoTaiChinh!$D$79)
+ IFERROR(HLOOKUP(G$2,Table_BCTC_Thang[],Sheet_BaoCaoTaiChinh!$A$88,0),Sheet_BaoCaoTaiChinh!$D$88)
+ IFERROR(HLOOKUP(G$2,Table_BCTC_Thang[],Sheet_BaoCaoTaiChinh!$A$89,0),Sheet_BaoCaoTaiChinh!$D$89)
+ IFERROR(HLOOKUP(G$2,Table_BCTC_Thang[],Sheet_BaoCaoTaiChinh!$A$90,0),Sheet_BaoCaoTaiChinh!$D$90)
+ IFERROR(HLOOKUP(DATE(YEAR(G$2),MONTH(G$2)-1,1),Table_BCTC_Thang[],Sheet_BaoCaoTaiChinh!$A$92,0),Sheet_BaoCaoTaiChinh!$D$92)
+ IFERROR(HLOOKUP(DATE(YEAR(G$2),MONTH(G$2)-1,1),Table_BCTC_Nam[],Sheet_BaoCaoTaiChinh!$A$83,0),Sheet_BaoCaoTaiChinh!$D$83)
+ IFERROR(HLOOKUP(DATE(YEAR(G$2),MONTH(G$2)-1,1),Table_BCTC_Nam[],Sheet_BaoCaoTaiChinh!$A$77,0),Sheet_BaoCaoTaiChinh!$D$77)
+ IFERROR(HLOOKUP(DATE(YEAR(G$2),MONTH(G$2)-1,1),Table_BCTC_Nam[],Sheet_BaoCaoTaiChinh!$A$78,0),Sheet_BaoCaoTaiChinh!$D$78)
+ IFERROR(HLOOKUP(DATE(YEAR(G$2),MONTH(G$2)-1,1),Table_BCTC_Nam[],Sheet_BaoCaoTaiChinh!$A$79,0),Sheet_BaoCaoTaiChinh!$D$79)
+ IFERROR(HLOOKUP(DATE(YEAR(G$2),MONTH(G$2)-1,1),Table_BCTC_Nam[],Sheet_BaoCaoTaiChinh!$A$88,0),Sheet_BaoCaoTaiChinh!$D$88)
+ IFERROR(HLOOKUP(DATE(YEAR(G$2),MONTH(G$2)-1,1),Table_BCTC_Nam[],Sheet_BaoCaoTaiChinh!$A$89,0),Sheet_BaoCaoTaiChinh!$D$89)
+ IFERROR(HLOOKUP(DATE(YEAR(G$2),MONTH(G$2)-1,1),Table_BCTC_Nam[],Sheet_BaoCaoTaiChinh!$A$90,0),Sheet_BaoCaoTaiChinh!$D$90)
)/2))</f>
        <v>0</v>
      </c>
      <c r="H47" s="128">
        <f>H46/(-(H36+H41+H43)+
((
+ IFERROR(HLOOKUP(H$2,Table_BCTC_Thang[],Sheet_BaoCaoTaiChinh!$A$92,0),Sheet_BaoCaoTaiChinh!$D$92)
+ IFERROR(HLOOKUP(H$2,Table_BCTC_Thang[],Sheet_BaoCaoTaiChinh!$A$83,0),Sheet_BaoCaoTaiChinh!$D$83)
+ IFERROR(HLOOKUP(H$2,Table_BCTC_Thang[],Sheet_BaoCaoTaiChinh!$A$77,0),Sheet_BaoCaoTaiChinh!$D$77)
+ IFERROR(HLOOKUP(H$2,Table_BCTC_Thang[],Sheet_BaoCaoTaiChinh!$A$78,0),Sheet_BaoCaoTaiChinh!$D$78)
+ IFERROR(HLOOKUP(H$2,Table_BCTC_Thang[],Sheet_BaoCaoTaiChinh!$A$79,0),Sheet_BaoCaoTaiChinh!$D$79)
+ IFERROR(HLOOKUP(H$2,Table_BCTC_Thang[],Sheet_BaoCaoTaiChinh!$A$88,0),Sheet_BaoCaoTaiChinh!$D$88)
+ IFERROR(HLOOKUP(H$2,Table_BCTC_Thang[],Sheet_BaoCaoTaiChinh!$A$89,0),Sheet_BaoCaoTaiChinh!$D$89)
+ IFERROR(HLOOKUP(H$2,Table_BCTC_Thang[],Sheet_BaoCaoTaiChinh!$A$90,0),Sheet_BaoCaoTaiChinh!$D$90)
+ IFERROR(HLOOKUP(DATE(YEAR(H$2),MONTH(H$2)-1,1),Table_BCTC_Thang[],Sheet_BaoCaoTaiChinh!$A$92,0),Sheet_BaoCaoTaiChinh!$D$92)
+ IFERROR(HLOOKUP(DATE(YEAR(H$2),MONTH(H$2)-1,1),Table_BCTC_Nam[],Sheet_BaoCaoTaiChinh!$A$83,0),Sheet_BaoCaoTaiChinh!$D$83)
+ IFERROR(HLOOKUP(DATE(YEAR(H$2),MONTH(H$2)-1,1),Table_BCTC_Nam[],Sheet_BaoCaoTaiChinh!$A$77,0),Sheet_BaoCaoTaiChinh!$D$77)
+ IFERROR(HLOOKUP(DATE(YEAR(H$2),MONTH(H$2)-1,1),Table_BCTC_Nam[],Sheet_BaoCaoTaiChinh!$A$78,0),Sheet_BaoCaoTaiChinh!$D$78)
+ IFERROR(HLOOKUP(DATE(YEAR(H$2),MONTH(H$2)-1,1),Table_BCTC_Nam[],Sheet_BaoCaoTaiChinh!$A$79,0),Sheet_BaoCaoTaiChinh!$D$79)
+ IFERROR(HLOOKUP(DATE(YEAR(H$2),MONTH(H$2)-1,1),Table_BCTC_Nam[],Sheet_BaoCaoTaiChinh!$A$88,0),Sheet_BaoCaoTaiChinh!$D$88)
+ IFERROR(HLOOKUP(DATE(YEAR(H$2),MONTH(H$2)-1,1),Table_BCTC_Nam[],Sheet_BaoCaoTaiChinh!$A$89,0),Sheet_BaoCaoTaiChinh!$D$89)
+ IFERROR(HLOOKUP(DATE(YEAR(H$2),MONTH(H$2)-1,1),Table_BCTC_Nam[],Sheet_BaoCaoTaiChinh!$A$90,0),Sheet_BaoCaoTaiChinh!$D$90)
)/2))</f>
        <v>0</v>
      </c>
      <c r="I47" s="128">
        <f>I46/(-(I36+I41+I43)+
((
+ IFERROR(HLOOKUP(I$2,Table_BCTC_Thang[],Sheet_BaoCaoTaiChinh!$A$92,0),Sheet_BaoCaoTaiChinh!$D$92)
+ IFERROR(HLOOKUP(I$2,Table_BCTC_Thang[],Sheet_BaoCaoTaiChinh!$A$83,0),Sheet_BaoCaoTaiChinh!$D$83)
+ IFERROR(HLOOKUP(I$2,Table_BCTC_Thang[],Sheet_BaoCaoTaiChinh!$A$77,0),Sheet_BaoCaoTaiChinh!$D$77)
+ IFERROR(HLOOKUP(I$2,Table_BCTC_Thang[],Sheet_BaoCaoTaiChinh!$A$78,0),Sheet_BaoCaoTaiChinh!$D$78)
+ IFERROR(HLOOKUP(I$2,Table_BCTC_Thang[],Sheet_BaoCaoTaiChinh!$A$79,0),Sheet_BaoCaoTaiChinh!$D$79)
+ IFERROR(HLOOKUP(I$2,Table_BCTC_Thang[],Sheet_BaoCaoTaiChinh!$A$88,0),Sheet_BaoCaoTaiChinh!$D$88)
+ IFERROR(HLOOKUP(I$2,Table_BCTC_Thang[],Sheet_BaoCaoTaiChinh!$A$89,0),Sheet_BaoCaoTaiChinh!$D$89)
+ IFERROR(HLOOKUP(I$2,Table_BCTC_Thang[],Sheet_BaoCaoTaiChinh!$A$90,0),Sheet_BaoCaoTaiChinh!$D$90)
+ IFERROR(HLOOKUP(DATE(YEAR(I$2),MONTH(I$2)-1,1),Table_BCTC_Thang[],Sheet_BaoCaoTaiChinh!$A$92,0),Sheet_BaoCaoTaiChinh!$D$92)
+ IFERROR(HLOOKUP(DATE(YEAR(I$2),MONTH(I$2)-1,1),Table_BCTC_Nam[],Sheet_BaoCaoTaiChinh!$A$83,0),Sheet_BaoCaoTaiChinh!$D$83)
+ IFERROR(HLOOKUP(DATE(YEAR(I$2),MONTH(I$2)-1,1),Table_BCTC_Nam[],Sheet_BaoCaoTaiChinh!$A$77,0),Sheet_BaoCaoTaiChinh!$D$77)
+ IFERROR(HLOOKUP(DATE(YEAR(I$2),MONTH(I$2)-1,1),Table_BCTC_Nam[],Sheet_BaoCaoTaiChinh!$A$78,0),Sheet_BaoCaoTaiChinh!$D$78)
+ IFERROR(HLOOKUP(DATE(YEAR(I$2),MONTH(I$2)-1,1),Table_BCTC_Nam[],Sheet_BaoCaoTaiChinh!$A$79,0),Sheet_BaoCaoTaiChinh!$D$79)
+ IFERROR(HLOOKUP(DATE(YEAR(I$2),MONTH(I$2)-1,1),Table_BCTC_Nam[],Sheet_BaoCaoTaiChinh!$A$88,0),Sheet_BaoCaoTaiChinh!$D$88)
+ IFERROR(HLOOKUP(DATE(YEAR(I$2),MONTH(I$2)-1,1),Table_BCTC_Nam[],Sheet_BaoCaoTaiChinh!$A$89,0),Sheet_BaoCaoTaiChinh!$D$89)
+ IFERROR(HLOOKUP(DATE(YEAR(I$2),MONTH(I$2)-1,1),Table_BCTC_Nam[],Sheet_BaoCaoTaiChinh!$A$90,0),Sheet_BaoCaoTaiChinh!$D$90)
)/2))</f>
        <v>0</v>
      </c>
      <c r="J47" s="128">
        <f>J46/(-(J36+J41+J43)+
((
+ IFERROR(HLOOKUP(J$2,Table_BCTC_Thang[],Sheet_BaoCaoTaiChinh!$A$92,0),Sheet_BaoCaoTaiChinh!$D$92)
+ IFERROR(HLOOKUP(J$2,Table_BCTC_Thang[],Sheet_BaoCaoTaiChinh!$A$83,0),Sheet_BaoCaoTaiChinh!$D$83)
+ IFERROR(HLOOKUP(J$2,Table_BCTC_Thang[],Sheet_BaoCaoTaiChinh!$A$77,0),Sheet_BaoCaoTaiChinh!$D$77)
+ IFERROR(HLOOKUP(J$2,Table_BCTC_Thang[],Sheet_BaoCaoTaiChinh!$A$78,0),Sheet_BaoCaoTaiChinh!$D$78)
+ IFERROR(HLOOKUP(J$2,Table_BCTC_Thang[],Sheet_BaoCaoTaiChinh!$A$79,0),Sheet_BaoCaoTaiChinh!$D$79)
+ IFERROR(HLOOKUP(J$2,Table_BCTC_Thang[],Sheet_BaoCaoTaiChinh!$A$88,0),Sheet_BaoCaoTaiChinh!$D$88)
+ IFERROR(HLOOKUP(J$2,Table_BCTC_Thang[],Sheet_BaoCaoTaiChinh!$A$89,0),Sheet_BaoCaoTaiChinh!$D$89)
+ IFERROR(HLOOKUP(J$2,Table_BCTC_Thang[],Sheet_BaoCaoTaiChinh!$A$90,0),Sheet_BaoCaoTaiChinh!$D$90)
+ IFERROR(HLOOKUP(DATE(YEAR(J$2),MONTH(J$2)-1,1),Table_BCTC_Thang[],Sheet_BaoCaoTaiChinh!$A$92,0),Sheet_BaoCaoTaiChinh!$D$92)
+ IFERROR(HLOOKUP(DATE(YEAR(J$2),MONTH(J$2)-1,1),Table_BCTC_Nam[],Sheet_BaoCaoTaiChinh!$A$83,0),Sheet_BaoCaoTaiChinh!$D$83)
+ IFERROR(HLOOKUP(DATE(YEAR(J$2),MONTH(J$2)-1,1),Table_BCTC_Nam[],Sheet_BaoCaoTaiChinh!$A$77,0),Sheet_BaoCaoTaiChinh!$D$77)
+ IFERROR(HLOOKUP(DATE(YEAR(J$2),MONTH(J$2)-1,1),Table_BCTC_Nam[],Sheet_BaoCaoTaiChinh!$A$78,0),Sheet_BaoCaoTaiChinh!$D$78)
+ IFERROR(HLOOKUP(DATE(YEAR(J$2),MONTH(J$2)-1,1),Table_BCTC_Nam[],Sheet_BaoCaoTaiChinh!$A$79,0),Sheet_BaoCaoTaiChinh!$D$79)
+ IFERROR(HLOOKUP(DATE(YEAR(J$2),MONTH(J$2)-1,1),Table_BCTC_Nam[],Sheet_BaoCaoTaiChinh!$A$88,0),Sheet_BaoCaoTaiChinh!$D$88)
+ IFERROR(HLOOKUP(DATE(YEAR(J$2),MONTH(J$2)-1,1),Table_BCTC_Nam[],Sheet_BaoCaoTaiChinh!$A$89,0),Sheet_BaoCaoTaiChinh!$D$89)
+ IFERROR(HLOOKUP(DATE(YEAR(J$2),MONTH(J$2)-1,1),Table_BCTC_Nam[],Sheet_BaoCaoTaiChinh!$A$90,0),Sheet_BaoCaoTaiChinh!$D$90)
)/2))</f>
        <v>0</v>
      </c>
      <c r="K47" s="128">
        <f>K46/(-(K36+K41+K43)+
((
+ IFERROR(HLOOKUP(K$2,Table_BCTC_Thang[],Sheet_BaoCaoTaiChinh!$A$92,0),Sheet_BaoCaoTaiChinh!$D$92)
+ IFERROR(HLOOKUP(K$2,Table_BCTC_Thang[],Sheet_BaoCaoTaiChinh!$A$83,0),Sheet_BaoCaoTaiChinh!$D$83)
+ IFERROR(HLOOKUP(K$2,Table_BCTC_Thang[],Sheet_BaoCaoTaiChinh!$A$77,0),Sheet_BaoCaoTaiChinh!$D$77)
+ IFERROR(HLOOKUP(K$2,Table_BCTC_Thang[],Sheet_BaoCaoTaiChinh!$A$78,0),Sheet_BaoCaoTaiChinh!$D$78)
+ IFERROR(HLOOKUP(K$2,Table_BCTC_Thang[],Sheet_BaoCaoTaiChinh!$A$79,0),Sheet_BaoCaoTaiChinh!$D$79)
+ IFERROR(HLOOKUP(K$2,Table_BCTC_Thang[],Sheet_BaoCaoTaiChinh!$A$88,0),Sheet_BaoCaoTaiChinh!$D$88)
+ IFERROR(HLOOKUP(K$2,Table_BCTC_Thang[],Sheet_BaoCaoTaiChinh!$A$89,0),Sheet_BaoCaoTaiChinh!$D$89)
+ IFERROR(HLOOKUP(K$2,Table_BCTC_Thang[],Sheet_BaoCaoTaiChinh!$A$90,0),Sheet_BaoCaoTaiChinh!$D$90)
+ IFERROR(HLOOKUP(DATE(YEAR(K$2),MONTH(K$2)-1,1),Table_BCTC_Thang[],Sheet_BaoCaoTaiChinh!$A$92,0),Sheet_BaoCaoTaiChinh!$D$92)
+ IFERROR(HLOOKUP(DATE(YEAR(K$2),MONTH(K$2)-1,1),Table_BCTC_Nam[],Sheet_BaoCaoTaiChinh!$A$83,0),Sheet_BaoCaoTaiChinh!$D$83)
+ IFERROR(HLOOKUP(DATE(YEAR(K$2),MONTH(K$2)-1,1),Table_BCTC_Nam[],Sheet_BaoCaoTaiChinh!$A$77,0),Sheet_BaoCaoTaiChinh!$D$77)
+ IFERROR(HLOOKUP(DATE(YEAR(K$2),MONTH(K$2)-1,1),Table_BCTC_Nam[],Sheet_BaoCaoTaiChinh!$A$78,0),Sheet_BaoCaoTaiChinh!$D$78)
+ IFERROR(HLOOKUP(DATE(YEAR(K$2),MONTH(K$2)-1,1),Table_BCTC_Nam[],Sheet_BaoCaoTaiChinh!$A$79,0),Sheet_BaoCaoTaiChinh!$D$79)
+ IFERROR(HLOOKUP(DATE(YEAR(K$2),MONTH(K$2)-1,1),Table_BCTC_Nam[],Sheet_BaoCaoTaiChinh!$A$88,0),Sheet_BaoCaoTaiChinh!$D$88)
+ IFERROR(HLOOKUP(DATE(YEAR(K$2),MONTH(K$2)-1,1),Table_BCTC_Nam[],Sheet_BaoCaoTaiChinh!$A$89,0),Sheet_BaoCaoTaiChinh!$D$89)
+ IFERROR(HLOOKUP(DATE(YEAR(K$2),MONTH(K$2)-1,1),Table_BCTC_Nam[],Sheet_BaoCaoTaiChinh!$A$90,0),Sheet_BaoCaoTaiChinh!$D$90)
)/2))</f>
        <v>0</v>
      </c>
      <c r="L47" s="128">
        <f>L46/(-(L36+L41+L43)+
((
+ IFERROR(HLOOKUP(L$2,Table_BCTC_Thang[],Sheet_BaoCaoTaiChinh!$A$92,0),Sheet_BaoCaoTaiChinh!$D$92)
+ IFERROR(HLOOKUP(L$2,Table_BCTC_Thang[],Sheet_BaoCaoTaiChinh!$A$83,0),Sheet_BaoCaoTaiChinh!$D$83)
+ IFERROR(HLOOKUP(L$2,Table_BCTC_Thang[],Sheet_BaoCaoTaiChinh!$A$77,0),Sheet_BaoCaoTaiChinh!$D$77)
+ IFERROR(HLOOKUP(L$2,Table_BCTC_Thang[],Sheet_BaoCaoTaiChinh!$A$78,0),Sheet_BaoCaoTaiChinh!$D$78)
+ IFERROR(HLOOKUP(L$2,Table_BCTC_Thang[],Sheet_BaoCaoTaiChinh!$A$79,0),Sheet_BaoCaoTaiChinh!$D$79)
+ IFERROR(HLOOKUP(L$2,Table_BCTC_Thang[],Sheet_BaoCaoTaiChinh!$A$88,0),Sheet_BaoCaoTaiChinh!$D$88)
+ IFERROR(HLOOKUP(L$2,Table_BCTC_Thang[],Sheet_BaoCaoTaiChinh!$A$89,0),Sheet_BaoCaoTaiChinh!$D$89)
+ IFERROR(HLOOKUP(L$2,Table_BCTC_Thang[],Sheet_BaoCaoTaiChinh!$A$90,0),Sheet_BaoCaoTaiChinh!$D$90)
+ IFERROR(HLOOKUP(DATE(YEAR(L$2),MONTH(L$2)-1,1),Table_BCTC_Thang[],Sheet_BaoCaoTaiChinh!$A$92,0),Sheet_BaoCaoTaiChinh!$D$92)
+ IFERROR(HLOOKUP(DATE(YEAR(L$2),MONTH(L$2)-1,1),Table_BCTC_Nam[],Sheet_BaoCaoTaiChinh!$A$83,0),Sheet_BaoCaoTaiChinh!$D$83)
+ IFERROR(HLOOKUP(DATE(YEAR(L$2),MONTH(L$2)-1,1),Table_BCTC_Nam[],Sheet_BaoCaoTaiChinh!$A$77,0),Sheet_BaoCaoTaiChinh!$D$77)
+ IFERROR(HLOOKUP(DATE(YEAR(L$2),MONTH(L$2)-1,1),Table_BCTC_Nam[],Sheet_BaoCaoTaiChinh!$A$78,0),Sheet_BaoCaoTaiChinh!$D$78)
+ IFERROR(HLOOKUP(DATE(YEAR(L$2),MONTH(L$2)-1,1),Table_BCTC_Nam[],Sheet_BaoCaoTaiChinh!$A$79,0),Sheet_BaoCaoTaiChinh!$D$79)
+ IFERROR(HLOOKUP(DATE(YEAR(L$2),MONTH(L$2)-1,1),Table_BCTC_Nam[],Sheet_BaoCaoTaiChinh!$A$88,0),Sheet_BaoCaoTaiChinh!$D$88)
+ IFERROR(HLOOKUP(DATE(YEAR(L$2),MONTH(L$2)-1,1),Table_BCTC_Nam[],Sheet_BaoCaoTaiChinh!$A$89,0),Sheet_BaoCaoTaiChinh!$D$89)
+ IFERROR(HLOOKUP(DATE(YEAR(L$2),MONTH(L$2)-1,1),Table_BCTC_Nam[],Sheet_BaoCaoTaiChinh!$A$90,0),Sheet_BaoCaoTaiChinh!$D$90)
)/2))</f>
        <v>0</v>
      </c>
      <c r="M47" s="128">
        <f>M46/(-(M36+M41+M43)+
((
+ IFERROR(HLOOKUP(M$2,Table_BCTC_Thang[],Sheet_BaoCaoTaiChinh!$A$92,0),Sheet_BaoCaoTaiChinh!$D$92)
+ IFERROR(HLOOKUP(M$2,Table_BCTC_Thang[],Sheet_BaoCaoTaiChinh!$A$83,0),Sheet_BaoCaoTaiChinh!$D$83)
+ IFERROR(HLOOKUP(M$2,Table_BCTC_Thang[],Sheet_BaoCaoTaiChinh!$A$77,0),Sheet_BaoCaoTaiChinh!$D$77)
+ IFERROR(HLOOKUP(M$2,Table_BCTC_Thang[],Sheet_BaoCaoTaiChinh!$A$78,0),Sheet_BaoCaoTaiChinh!$D$78)
+ IFERROR(HLOOKUP(M$2,Table_BCTC_Thang[],Sheet_BaoCaoTaiChinh!$A$79,0),Sheet_BaoCaoTaiChinh!$D$79)
+ IFERROR(HLOOKUP(M$2,Table_BCTC_Thang[],Sheet_BaoCaoTaiChinh!$A$88,0),Sheet_BaoCaoTaiChinh!$D$88)
+ IFERROR(HLOOKUP(M$2,Table_BCTC_Thang[],Sheet_BaoCaoTaiChinh!$A$89,0),Sheet_BaoCaoTaiChinh!$D$89)
+ IFERROR(HLOOKUP(M$2,Table_BCTC_Thang[],Sheet_BaoCaoTaiChinh!$A$90,0),Sheet_BaoCaoTaiChinh!$D$90)
+ IFERROR(HLOOKUP(DATE(YEAR(M$2),MONTH(M$2)-1,1),Table_BCTC_Thang[],Sheet_BaoCaoTaiChinh!$A$92,0),Sheet_BaoCaoTaiChinh!$D$92)
+ IFERROR(HLOOKUP(DATE(YEAR(M$2),MONTH(M$2)-1,1),Table_BCTC_Nam[],Sheet_BaoCaoTaiChinh!$A$83,0),Sheet_BaoCaoTaiChinh!$D$83)
+ IFERROR(HLOOKUP(DATE(YEAR(M$2),MONTH(M$2)-1,1),Table_BCTC_Nam[],Sheet_BaoCaoTaiChinh!$A$77,0),Sheet_BaoCaoTaiChinh!$D$77)
+ IFERROR(HLOOKUP(DATE(YEAR(M$2),MONTH(M$2)-1,1),Table_BCTC_Nam[],Sheet_BaoCaoTaiChinh!$A$78,0),Sheet_BaoCaoTaiChinh!$D$78)
+ IFERROR(HLOOKUP(DATE(YEAR(M$2),MONTH(M$2)-1,1),Table_BCTC_Nam[],Sheet_BaoCaoTaiChinh!$A$79,0),Sheet_BaoCaoTaiChinh!$D$79)
+ IFERROR(HLOOKUP(DATE(YEAR(M$2),MONTH(M$2)-1,1),Table_BCTC_Nam[],Sheet_BaoCaoTaiChinh!$A$88,0),Sheet_BaoCaoTaiChinh!$D$88)
+ IFERROR(HLOOKUP(DATE(YEAR(M$2),MONTH(M$2)-1,1),Table_BCTC_Nam[],Sheet_BaoCaoTaiChinh!$A$89,0),Sheet_BaoCaoTaiChinh!$D$89)
+ IFERROR(HLOOKUP(DATE(YEAR(M$2),MONTH(M$2)-1,1),Table_BCTC_Nam[],Sheet_BaoCaoTaiChinh!$A$90,0),Sheet_BaoCaoTaiChinh!$D$90)
)/2))</f>
        <v>0</v>
      </c>
      <c r="N47" s="128">
        <f>N46/(-(N36+N41+N43)+
((
+ IFERROR(HLOOKUP(N$2,Table_BCTC_Thang[],Sheet_BaoCaoTaiChinh!$A$92,0),Sheet_BaoCaoTaiChinh!$D$92)
+ IFERROR(HLOOKUP(N$2,Table_BCTC_Thang[],Sheet_BaoCaoTaiChinh!$A$83,0),Sheet_BaoCaoTaiChinh!$D$83)
+ IFERROR(HLOOKUP(N$2,Table_BCTC_Thang[],Sheet_BaoCaoTaiChinh!$A$77,0),Sheet_BaoCaoTaiChinh!$D$77)
+ IFERROR(HLOOKUP(N$2,Table_BCTC_Thang[],Sheet_BaoCaoTaiChinh!$A$78,0),Sheet_BaoCaoTaiChinh!$D$78)
+ IFERROR(HLOOKUP(N$2,Table_BCTC_Thang[],Sheet_BaoCaoTaiChinh!$A$79,0),Sheet_BaoCaoTaiChinh!$D$79)
+ IFERROR(HLOOKUP(N$2,Table_BCTC_Thang[],Sheet_BaoCaoTaiChinh!$A$88,0),Sheet_BaoCaoTaiChinh!$D$88)
+ IFERROR(HLOOKUP(N$2,Table_BCTC_Thang[],Sheet_BaoCaoTaiChinh!$A$89,0),Sheet_BaoCaoTaiChinh!$D$89)
+ IFERROR(HLOOKUP(N$2,Table_BCTC_Thang[],Sheet_BaoCaoTaiChinh!$A$90,0),Sheet_BaoCaoTaiChinh!$D$90)
+ IFERROR(HLOOKUP(DATE(YEAR(N$2),MONTH(N$2)-1,1),Table_BCTC_Thang[],Sheet_BaoCaoTaiChinh!$A$92,0),Sheet_BaoCaoTaiChinh!$D$92)
+ IFERROR(HLOOKUP(DATE(YEAR(N$2),MONTH(N$2)-1,1),Table_BCTC_Nam[],Sheet_BaoCaoTaiChinh!$A$83,0),Sheet_BaoCaoTaiChinh!$D$83)
+ IFERROR(HLOOKUP(DATE(YEAR(N$2),MONTH(N$2)-1,1),Table_BCTC_Nam[],Sheet_BaoCaoTaiChinh!$A$77,0),Sheet_BaoCaoTaiChinh!$D$77)
+ IFERROR(HLOOKUP(DATE(YEAR(N$2),MONTH(N$2)-1,1),Table_BCTC_Nam[],Sheet_BaoCaoTaiChinh!$A$78,0),Sheet_BaoCaoTaiChinh!$D$78)
+ IFERROR(HLOOKUP(DATE(YEAR(N$2),MONTH(N$2)-1,1),Table_BCTC_Nam[],Sheet_BaoCaoTaiChinh!$A$79,0),Sheet_BaoCaoTaiChinh!$D$79)
+ IFERROR(HLOOKUP(DATE(YEAR(N$2),MONTH(N$2)-1,1),Table_BCTC_Nam[],Sheet_BaoCaoTaiChinh!$A$88,0),Sheet_BaoCaoTaiChinh!$D$88)
+ IFERROR(HLOOKUP(DATE(YEAR(N$2),MONTH(N$2)-1,1),Table_BCTC_Nam[],Sheet_BaoCaoTaiChinh!$A$89,0),Sheet_BaoCaoTaiChinh!$D$89)
+ IFERROR(HLOOKUP(DATE(YEAR(N$2),MONTH(N$2)-1,1),Table_BCTC_Nam[],Sheet_BaoCaoTaiChinh!$A$90,0),Sheet_BaoCaoTaiChinh!$D$90)
)/2))</f>
        <v>0</v>
      </c>
      <c r="O47" s="128">
        <f>O46/(-(O36+O41+O43)+
((
+ IFERROR(HLOOKUP(O$2,Table_BCTC_Thang[],Sheet_BaoCaoTaiChinh!$A$92,0),Sheet_BaoCaoTaiChinh!$D$92)
+ IFERROR(HLOOKUP(O$2,Table_BCTC_Thang[],Sheet_BaoCaoTaiChinh!$A$83,0),Sheet_BaoCaoTaiChinh!$D$83)
+ IFERROR(HLOOKUP(O$2,Table_BCTC_Thang[],Sheet_BaoCaoTaiChinh!$A$77,0),Sheet_BaoCaoTaiChinh!$D$77)
+ IFERROR(HLOOKUP(O$2,Table_BCTC_Thang[],Sheet_BaoCaoTaiChinh!$A$78,0),Sheet_BaoCaoTaiChinh!$D$78)
+ IFERROR(HLOOKUP(O$2,Table_BCTC_Thang[],Sheet_BaoCaoTaiChinh!$A$79,0),Sheet_BaoCaoTaiChinh!$D$79)
+ IFERROR(HLOOKUP(O$2,Table_BCTC_Thang[],Sheet_BaoCaoTaiChinh!$A$88,0),Sheet_BaoCaoTaiChinh!$D$88)
+ IFERROR(HLOOKUP(O$2,Table_BCTC_Thang[],Sheet_BaoCaoTaiChinh!$A$89,0),Sheet_BaoCaoTaiChinh!$D$89)
+ IFERROR(HLOOKUP(O$2,Table_BCTC_Thang[],Sheet_BaoCaoTaiChinh!$A$90,0),Sheet_BaoCaoTaiChinh!$D$90)
+ IFERROR(HLOOKUP(DATE(YEAR(O$2),MONTH(O$2)-1,1),Table_BCTC_Thang[],Sheet_BaoCaoTaiChinh!$A$92,0),Sheet_BaoCaoTaiChinh!$D$92)
+ IFERROR(HLOOKUP(DATE(YEAR(O$2),MONTH(O$2)-1,1),Table_BCTC_Nam[],Sheet_BaoCaoTaiChinh!$A$83,0),Sheet_BaoCaoTaiChinh!$D$83)
+ IFERROR(HLOOKUP(DATE(YEAR(O$2),MONTH(O$2)-1,1),Table_BCTC_Nam[],Sheet_BaoCaoTaiChinh!$A$77,0),Sheet_BaoCaoTaiChinh!$D$77)
+ IFERROR(HLOOKUP(DATE(YEAR(O$2),MONTH(O$2)-1,1),Table_BCTC_Nam[],Sheet_BaoCaoTaiChinh!$A$78,0),Sheet_BaoCaoTaiChinh!$D$78)
+ IFERROR(HLOOKUP(DATE(YEAR(O$2),MONTH(O$2)-1,1),Table_BCTC_Nam[],Sheet_BaoCaoTaiChinh!$A$79,0),Sheet_BaoCaoTaiChinh!$D$79)
+ IFERROR(HLOOKUP(DATE(YEAR(O$2),MONTH(O$2)-1,1),Table_BCTC_Nam[],Sheet_BaoCaoTaiChinh!$A$88,0),Sheet_BaoCaoTaiChinh!$D$88)
+ IFERROR(HLOOKUP(DATE(YEAR(O$2),MONTH(O$2)-1,1),Table_BCTC_Nam[],Sheet_BaoCaoTaiChinh!$A$89,0),Sheet_BaoCaoTaiChinh!$D$89)
+ IFERROR(HLOOKUP(DATE(YEAR(O$2),MONTH(O$2)-1,1),Table_BCTC_Nam[],Sheet_BaoCaoTaiChinh!$A$90,0),Sheet_BaoCaoTaiChinh!$D$90)
)/2))</f>
        <v>0</v>
      </c>
      <c r="P47" s="323"/>
      <c r="Q47" s="240"/>
      <c r="R47" s="87" t="s">
        <v>113</v>
      </c>
      <c r="S47" s="128">
        <f>S46/(-(S36+S41+S43)+
(
+ IFERROR(HLOOKUP(S$1,Table_BCTC_Nam[],Sheet_BaoCaoTaiChinh!$A$92,0),Sheet_BaoCaoTaiChinh!$D$92)
+ IFERROR(HLOOKUP(S$1,Table_BCTC_Nam[],Sheet_BaoCaoTaiChinh!$A$83,0),Sheet_BaoCaoTaiChinh!$D$83)
+ IFERROR(HLOOKUP(S$1,Table_BCTC_Nam[],Sheet_BaoCaoTaiChinh!$A$77,0),Sheet_BaoCaoTaiChinh!$D$77)
+ IFERROR(HLOOKUP(S$1,Table_BCTC_Nam[],Sheet_BaoCaoTaiChinh!$A$78,0),Sheet_BaoCaoTaiChinh!$D$78)
+ IFERROR(HLOOKUP(S$1,Table_BCTC_Nam[],Sheet_BaoCaoTaiChinh!$A$79,0),Sheet_BaoCaoTaiChinh!$D$79)
+ IFERROR(HLOOKUP(S$1,Table_BCTC_Nam[],Sheet_BaoCaoTaiChinh!$A$88,0),Sheet_BaoCaoTaiChinh!$D$88)
+ IFERROR(HLOOKUP(S$1,Table_BCTC_Nam[],Sheet_BaoCaoTaiChinh!$A$89,0),Sheet_BaoCaoTaiChinh!$D$89)
+ IFERROR(HLOOKUP(S$1,Table_BCTC_Nam[],Sheet_BaoCaoTaiChinh!$A$90,0),Sheet_BaoCaoTaiChinh!$D$90)
+ IFERROR(HLOOKUP(S$1-1,Table_BCTC_Nam[],Sheet_BaoCaoTaiChinh!$A$92,0),Sheet_BaoCaoTaiChinh!$D$92)
+ IFERROR(HLOOKUP(S$1-1,Table_BCTC_Nam[],Sheet_BaoCaoTaiChinh!$A$83,0),Sheet_BaoCaoTaiChinh!$D$83)
+ IFERROR(HLOOKUP(S$1-1,Table_BCTC_Nam[],Sheet_BaoCaoTaiChinh!$A$77,0),Sheet_BaoCaoTaiChinh!$D$77)
+ IFERROR(HLOOKUP(S$1-1,Table_BCTC_Nam[],Sheet_BaoCaoTaiChinh!$A$78,0),Sheet_BaoCaoTaiChinh!$D$78)
+ IFERROR(HLOOKUP(S$1-1,Table_BCTC_Nam[],Sheet_BaoCaoTaiChinh!$A$79,0),Sheet_BaoCaoTaiChinh!$D$79)
+ IFERROR(HLOOKUP(S$1-1,Table_BCTC_Nam[],Sheet_BaoCaoTaiChinh!$A$88,0),Sheet_BaoCaoTaiChinh!$D$88)
+ IFERROR(HLOOKUP(S$1-1,Table_BCTC_Nam[],Sheet_BaoCaoTaiChinh!$A$89,0),Sheet_BaoCaoTaiChinh!$D$89)
+ IFERROR(HLOOKUP(S$1-1,Table_BCTC_Nam[],Sheet_BaoCaoTaiChinh!$A$90,0),Sheet_BaoCaoTaiChinh!$D$90)
)/2)</f>
        <v>0</v>
      </c>
      <c r="T47" s="240"/>
      <c r="U47" s="87" t="s">
        <v>113</v>
      </c>
      <c r="V47" s="128">
        <f>V46/(-(V36+V41+V43)+
((
+ IFERROR(HLOOKUP(V$1,Table_BCTC_Thang[],Sheet_BaoCaoTaiChinh!$A$92,0),Sheet_BaoCaoTaiChinh!$D$92)
+ IFERROR(HLOOKUP(V$1,Table_BCTC_Thang[],Sheet_BaoCaoTaiChinh!$A$83,0),Sheet_BaoCaoTaiChinh!$D$83)
+ IFERROR(HLOOKUP(V$1,Table_BCTC_Thang[],Sheet_BaoCaoTaiChinh!$A$77,0),Sheet_BaoCaoTaiChinh!$D$77)
+ IFERROR(HLOOKUP(V$1,Table_BCTC_Thang[],Sheet_BaoCaoTaiChinh!$A$78,0),Sheet_BaoCaoTaiChinh!$D$78)
+ IFERROR(HLOOKUP(V$1,Table_BCTC_Thang[],Sheet_BaoCaoTaiChinh!$A$79,0),Sheet_BaoCaoTaiChinh!$D$79)
+ IFERROR(HLOOKUP(V$1,Table_BCTC_Thang[],Sheet_BaoCaoTaiChinh!$A$88,0),Sheet_BaoCaoTaiChinh!$D$88)
+ IFERROR(HLOOKUP(V$1,Table_BCTC_Thang[],Sheet_BaoCaoTaiChinh!$A$89,0),Sheet_BaoCaoTaiChinh!$D$89)
+ IFERROR(HLOOKUP(V$1,Table_BCTC_Thang[],Sheet_BaoCaoTaiChinh!$A$90,0),Sheet_BaoCaoTaiChinh!$D$90)
+ IFERROR(HLOOKUP(DATE(YEAR(V$1),MONTH(V$1)-1,1),Table_BCTC_Thang[],Sheet_BaoCaoTaiChinh!$A$92,0),Sheet_BaoCaoTaiChinh!$D$92)
+ IFERROR(HLOOKUP(DATE(YEAR(V$1),MONTH(V$1)-1,1),Table_BCTC_Nam[],Sheet_BaoCaoTaiChinh!$A$83,0),Sheet_BaoCaoTaiChinh!$D$83)
+ IFERROR(HLOOKUP(DATE(YEAR(V$1),MONTH(V$1)-1,1),Table_BCTC_Nam[],Sheet_BaoCaoTaiChinh!$A$77,0),Sheet_BaoCaoTaiChinh!$D$77)
+ IFERROR(HLOOKUP(DATE(YEAR(V$1),MONTH(V$1)-1,1),Table_BCTC_Nam[],Sheet_BaoCaoTaiChinh!$A$78,0),Sheet_BaoCaoTaiChinh!$D$78)
+ IFERROR(HLOOKUP(DATE(YEAR(V$1),MONTH(V$1)-1,1),Table_BCTC_Nam[],Sheet_BaoCaoTaiChinh!$A$79,0),Sheet_BaoCaoTaiChinh!$D$79)
+ IFERROR(HLOOKUP(DATE(YEAR(V$1),MONTH(V$1)-1,1),Table_BCTC_Nam[],Sheet_BaoCaoTaiChinh!$A$88,0),Sheet_BaoCaoTaiChinh!$D$88)
+ IFERROR(HLOOKUP(DATE(YEAR(V$1),MONTH(V$1)-1,1),Table_BCTC_Nam[],Sheet_BaoCaoTaiChinh!$A$89,0),Sheet_BaoCaoTaiChinh!$D$89)
+ IFERROR(HLOOKUP(DATE(YEAR(V$1),MONTH(V$1)-1,1),Table_BCTC_Nam[],Sheet_BaoCaoTaiChinh!$A$90,0),Sheet_BaoCaoTaiChinh!$D$90)
)/2))</f>
        <v>0</v>
      </c>
    </row>
    <row r="48" spans="2:22" ht="18" customHeight="1" outlineLevel="1" x14ac:dyDescent="0.3">
      <c r="B48" s="74" t="s">
        <v>314</v>
      </c>
      <c r="C48" s="325" cm="1">
        <f t="array" ref="C48">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+C46+SUM(C44:C45)</f>
        <v>0</v>
      </c>
      <c r="D48" s="325" cm="1">
        <f t="array" ref="D48">Sheet_BaoCaoTaiChinh!$D$74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+SUM($D$46:D46)+SUM($D$44:D45)</f>
        <v>0</v>
      </c>
      <c r="E48" s="325" cm="1">
        <f t="array" ref="E48">Sheet_BaoCaoTaiChinh!$D$74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+SUM($D$46:E46)+SUM($D$44:E45)</f>
        <v>0</v>
      </c>
      <c r="F48" s="325" cm="1">
        <f t="array" ref="F48">Sheet_BaoCaoTaiChinh!$D$74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+SUM($D$46:F46)+SUM($D$44:F45)</f>
        <v>0</v>
      </c>
      <c r="G48" s="325" cm="1">
        <f t="array" ref="G48">Sheet_BaoCaoTaiChinh!$D$74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+SUM($D$46:G46)+SUM($D$44:G45)</f>
        <v>0</v>
      </c>
      <c r="H48" s="325" cm="1">
        <f t="array" ref="H48">Sheet_BaoCaoTaiChinh!$D$74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+SUM($D$46:H46)+SUM($D$44:H45)</f>
        <v>0</v>
      </c>
      <c r="I48" s="325" cm="1">
        <f t="array" ref="I48">Sheet_BaoCaoTaiChinh!$D$74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+SUM($D$46:I46)+SUM($D$44:I45)</f>
        <v>0</v>
      </c>
      <c r="J48" s="325" cm="1">
        <f t="array" ref="J48">Sheet_BaoCaoTaiChinh!$D$74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+SUM($D$46:J46)+SUM($D$44:J45)</f>
        <v>0</v>
      </c>
      <c r="K48" s="325" cm="1">
        <f t="array" ref="K48">Sheet_BaoCaoTaiChinh!$D$74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+SUM($D$46:K46)+SUM($D$44:K45)</f>
        <v>0</v>
      </c>
      <c r="L48" s="325" cm="1">
        <f t="array" ref="L48">Sheet_BaoCaoTaiChinh!$D$74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+SUM($D$46:L46)+SUM($D$44:L45)</f>
        <v>0</v>
      </c>
      <c r="M48" s="325" cm="1">
        <f t="array" ref="M48">Sheet_BaoCaoTaiChinh!$D$74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+SUM($D$46:M46)+SUM($D$44:M45)</f>
        <v>0</v>
      </c>
      <c r="N48" s="325" cm="1">
        <f t="array" ref="N48">Sheet_BaoCaoTaiChinh!$D$74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+SUM($D$46:N46)+SUM($D$44:N45)</f>
        <v>0</v>
      </c>
      <c r="O48" s="325" cm="1">
        <f t="array" ref="O48">Sheet_BaoCaoTaiChinh!$D$74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+SUM($D$46:O46)+SUM($D$44:O45)</f>
        <v>0</v>
      </c>
      <c r="P48" s="324"/>
      <c r="Q48" s="240"/>
      <c r="R48" s="74" t="s">
        <v>314</v>
      </c>
      <c r="S48" s="325" cm="1">
        <f t="array" ref="S48">Sheet_BaoCaoTaiChinh!$D$74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
+S46+SUM(S44:S45)</f>
        <v>0</v>
      </c>
      <c r="T48" s="240"/>
      <c r="U48" s="74" t="s">
        <v>314</v>
      </c>
      <c r="V48" s="325" cm="1">
        <f t="array" ref="V48">Sheet_BaoCaoTaiChinh!$D$74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+V46+SUM(V44:V45)</f>
        <v>0</v>
      </c>
    </row>
    <row r="49" spans="2:22" ht="18" customHeight="1" outlineLevel="2" x14ac:dyDescent="0.3">
      <c r="B49" s="73" t="s">
        <v>315</v>
      </c>
      <c r="C49" s="328" cm="1">
        <f t="array" ref="C49" xml:space="preserve">
IFERROR(SUM(_xlfn._xlws.FILTER(Table_ThuChiTC[Giá trị GD],
(Table_ThuChiTC[Loại GD]="THU")*
(Table_ThuChiTC[Nội dung GD]="Tiền thu lãi cho vay, cổ tức, lợi nhuận được chia")*
(YEAR(Table_ThuChiTC[Ngày GD])=C2)
)),0)
-IFERROR(SUM(_xlfn._xlws.FILTER(Table_ThuChiTC[Giá trị GD],
(Table_ThuChiTC[Loại GD]="CHI")*
(Table_ThuChiTC[Nội dung GD]="Tiền thu lãi cho vay, cổ tức, lợi nhuận được chia")*
(YEAR(Table_ThuChiTC[Ngày GD])=C2)
)),0)</f>
        <v>0</v>
      </c>
      <c r="D49" s="334" cm="1">
        <f t="array" ref="D49" xml:space="preserve">
IFERROR(SUM(_xlfn._xlws.FILTER(Table_ThuChiTC[Giá trị GD],
(Table_ThuChiTC[Loại GD]="THU")*
(Table_ThuChiTC[Nội dung GD]="Tiền thu lãi cho vay, cổ tức, lợi nhuận được chia")*
(Table_ThuChiTC[Ngày GD]&gt;=D2)*
(Table_ThuChiTC[Ngày GD]&lt;E2)
)),0)
-IFERROR(SUM(_xlfn._xlws.FILTER(Table_ThuChiTC[Giá trị GD],
(Table_ThuChiTC[Loại GD]="CHI")*
(Table_ThuChiTC[Nội dung GD]="Tiền thu lãi cho vay, cổ tức, lợi nhuận được chia")*
(Table_ThuChiTC[Ngày GD]&gt;=D2)*
(Table_ThuChiTC[Ngày GD]&lt;E2)
)),0)</f>
        <v>0</v>
      </c>
      <c r="E49" s="334" cm="1">
        <f t="array" ref="E49" xml:space="preserve">
IFERROR(SUM(_xlfn._xlws.FILTER(Table_ThuChiTC[Giá trị GD],
(Table_ThuChiTC[Loại GD]="THU")*
(Table_ThuChiTC[Nội dung GD]="Tiền thu lãi cho vay, cổ tức, lợi nhuận được chia")*
(Table_ThuChiTC[Ngày GD]&gt;=E2)*
(Table_ThuChiTC[Ngày GD]&lt;F2)
)),0)
-IFERROR(SUM(_xlfn._xlws.FILTER(Table_ThuChiTC[Giá trị GD],
(Table_ThuChiTC[Loại GD]="CHI")*
(Table_ThuChiTC[Nội dung GD]="Tiền thu lãi cho vay, cổ tức, lợi nhuận được chia")*
(Table_ThuChiTC[Ngày GD]&gt;=E2)*
(Table_ThuChiTC[Ngày GD]&lt;F2)
)),0)</f>
        <v>0</v>
      </c>
      <c r="F49" s="334" cm="1">
        <f t="array" ref="F49" xml:space="preserve">
IFERROR(SUM(_xlfn._xlws.FILTER(Table_ThuChiTC[Giá trị GD],
(Table_ThuChiTC[Loại GD]="THU")*
(Table_ThuChiTC[Nội dung GD]="Tiền thu lãi cho vay, cổ tức, lợi nhuận được chia")*
(Table_ThuChiTC[Ngày GD]&gt;=F2)*
(Table_ThuChiTC[Ngày GD]&lt;G2)
)),0)
-IFERROR(SUM(_xlfn._xlws.FILTER(Table_ThuChiTC[Giá trị GD],
(Table_ThuChiTC[Loại GD]="CHI")*
(Table_ThuChiTC[Nội dung GD]="Tiền thu lãi cho vay, cổ tức, lợi nhuận được chia")*
(Table_ThuChiTC[Ngày GD]&gt;=F2)*
(Table_ThuChiTC[Ngày GD]&lt;G2)
)),0)</f>
        <v>0</v>
      </c>
      <c r="G49" s="334" cm="1">
        <f t="array" ref="G49" xml:space="preserve">
IFERROR(SUM(_xlfn._xlws.FILTER(Table_ThuChiTC[Giá trị GD],
(Table_ThuChiTC[Loại GD]="THU")*
(Table_ThuChiTC[Nội dung GD]="Tiền thu lãi cho vay, cổ tức, lợi nhuận được chia")*
(Table_ThuChiTC[Ngày GD]&gt;=G2)*
(Table_ThuChiTC[Ngày GD]&lt;H2)
)),0)
-IFERROR(SUM(_xlfn._xlws.FILTER(Table_ThuChiTC[Giá trị GD],
(Table_ThuChiTC[Loại GD]="CHI")*
(Table_ThuChiTC[Nội dung GD]="Tiền thu lãi cho vay, cổ tức, lợi nhuận được chia")*
(Table_ThuChiTC[Ngày GD]&gt;=G2)*
(Table_ThuChiTC[Ngày GD]&lt;H2)
)),0)</f>
        <v>0</v>
      </c>
      <c r="H49" s="334" cm="1">
        <f t="array" ref="H49" xml:space="preserve">
IFERROR(SUM(_xlfn._xlws.FILTER(Table_ThuChiTC[Giá trị GD],
(Table_ThuChiTC[Loại GD]="THU")*
(Table_ThuChiTC[Nội dung GD]="Tiền thu lãi cho vay, cổ tức, lợi nhuận được chia")*
(Table_ThuChiTC[Ngày GD]&gt;=H2)*
(Table_ThuChiTC[Ngày GD]&lt;I2)
)),0)
-IFERROR(SUM(_xlfn._xlws.FILTER(Table_ThuChiTC[Giá trị GD],
(Table_ThuChiTC[Loại GD]="CHI")*
(Table_ThuChiTC[Nội dung GD]="Tiền thu lãi cho vay, cổ tức, lợi nhuận được chia")*
(Table_ThuChiTC[Ngày GD]&gt;=H2)*
(Table_ThuChiTC[Ngày GD]&lt;I2)
)),0)</f>
        <v>0</v>
      </c>
      <c r="I49" s="334" cm="1">
        <f t="array" ref="I49" xml:space="preserve">
IFERROR(SUM(_xlfn._xlws.FILTER(Table_ThuChiTC[Giá trị GD],
(Table_ThuChiTC[Loại GD]="THU")*
(Table_ThuChiTC[Nội dung GD]="Tiền thu lãi cho vay, cổ tức, lợi nhuận được chia")*
(Table_ThuChiTC[Ngày GD]&gt;=I2)*
(Table_ThuChiTC[Ngày GD]&lt;J2)
)),0)
-IFERROR(SUM(_xlfn._xlws.FILTER(Table_ThuChiTC[Giá trị GD],
(Table_ThuChiTC[Loại GD]="CHI")*
(Table_ThuChiTC[Nội dung GD]="Tiền thu lãi cho vay, cổ tức, lợi nhuận được chia")*
(Table_ThuChiTC[Ngày GD]&gt;=I2)*
(Table_ThuChiTC[Ngày GD]&lt;J2)
)),0)</f>
        <v>0</v>
      </c>
      <c r="J49" s="334" cm="1">
        <f t="array" ref="J49" xml:space="preserve">
IFERROR(SUM(_xlfn._xlws.FILTER(Table_ThuChiTC[Giá trị GD],
(Table_ThuChiTC[Loại GD]="THU")*
(Table_ThuChiTC[Nội dung GD]="Tiền thu lãi cho vay, cổ tức, lợi nhuận được chia")*
(Table_ThuChiTC[Ngày GD]&gt;=J2)*
(Table_ThuChiTC[Ngày GD]&lt;K2)
)),0)
-IFERROR(SUM(_xlfn._xlws.FILTER(Table_ThuChiTC[Giá trị GD],
(Table_ThuChiTC[Loại GD]="CHI")*
(Table_ThuChiTC[Nội dung GD]="Tiền thu lãi cho vay, cổ tức, lợi nhuận được chia")*
(Table_ThuChiTC[Ngày GD]&gt;=J2)*
(Table_ThuChiTC[Ngày GD]&lt;K2)
)),0)</f>
        <v>0</v>
      </c>
      <c r="K49" s="334" cm="1">
        <f t="array" ref="K49" xml:space="preserve">
IFERROR(SUM(_xlfn._xlws.FILTER(Table_ThuChiTC[Giá trị GD],
(Table_ThuChiTC[Loại GD]="THU")*
(Table_ThuChiTC[Nội dung GD]="Tiền thu lãi cho vay, cổ tức, lợi nhuận được chia")*
(Table_ThuChiTC[Ngày GD]&gt;=K2)*
(Table_ThuChiTC[Ngày GD]&lt;L2)
)),0)
-IFERROR(SUM(_xlfn._xlws.FILTER(Table_ThuChiTC[Giá trị GD],
(Table_ThuChiTC[Loại GD]="CHI")*
(Table_ThuChiTC[Nội dung GD]="Tiền thu lãi cho vay, cổ tức, lợi nhuận được chia")*
(Table_ThuChiTC[Ngày GD]&gt;=K2)*
(Table_ThuChiTC[Ngày GD]&lt;L2)
)),0)</f>
        <v>0</v>
      </c>
      <c r="L49" s="334" cm="1">
        <f t="array" ref="L49" xml:space="preserve">
IFERROR(SUM(_xlfn._xlws.FILTER(Table_ThuChiTC[Giá trị GD],
(Table_ThuChiTC[Loại GD]="THU")*
(Table_ThuChiTC[Nội dung GD]="Tiền thu lãi cho vay, cổ tức, lợi nhuận được chia")*
(Table_ThuChiTC[Ngày GD]&gt;=L2)*
(Table_ThuChiTC[Ngày GD]&lt;M2)
)),0)
-IFERROR(SUM(_xlfn._xlws.FILTER(Table_ThuChiTC[Giá trị GD],
(Table_ThuChiTC[Loại GD]="CHI")*
(Table_ThuChiTC[Nội dung GD]="Tiền thu lãi cho vay, cổ tức, lợi nhuận được chia")*
(Table_ThuChiTC[Ngày GD]&gt;=L2)*
(Table_ThuChiTC[Ngày GD]&lt;M2)
)),0)</f>
        <v>0</v>
      </c>
      <c r="M49" s="334" cm="1">
        <f t="array" ref="M49" xml:space="preserve">
IFERROR(SUM(_xlfn._xlws.FILTER(Table_ThuChiTC[Giá trị GD],
(Table_ThuChiTC[Loại GD]="THU")*
(Table_ThuChiTC[Nội dung GD]="Tiền thu lãi cho vay, cổ tức, lợi nhuận được chia")*
(Table_ThuChiTC[Ngày GD]&gt;=M2)*
(Table_ThuChiTC[Ngày GD]&lt;N2)
)),0)
-IFERROR(SUM(_xlfn._xlws.FILTER(Table_ThuChiTC[Giá trị GD],
(Table_ThuChiTC[Loại GD]="CHI")*
(Table_ThuChiTC[Nội dung GD]="Tiền thu lãi cho vay, cổ tức, lợi nhuận được chia")*
(Table_ThuChiTC[Ngày GD]&gt;=M2)*
(Table_ThuChiTC[Ngày GD]&lt;N2)
)),0)</f>
        <v>0</v>
      </c>
      <c r="N49" s="334" cm="1">
        <f t="array" ref="N49" xml:space="preserve">
IFERROR(SUM(_xlfn._xlws.FILTER(Table_ThuChiTC[Giá trị GD],
(Table_ThuChiTC[Loại GD]="THU")*
(Table_ThuChiTC[Nội dung GD]="Tiền thu lãi cho vay, cổ tức, lợi nhuận được chia")*
(Table_ThuChiTC[Ngày GD]&gt;=N2)*
(Table_ThuChiTC[Ngày GD]&lt;O2)
)),0)
-IFERROR(SUM(_xlfn._xlws.FILTER(Table_ThuChiTC[Giá trị GD],
(Table_ThuChiTC[Loại GD]="CHI")*
(Table_ThuChiTC[Nội dung GD]="Tiền thu lãi cho vay, cổ tức, lợi nhuận được chia")*
(Table_ThuChiTC[Ngày GD]&gt;=N2)*
(Table_ThuChiTC[Ngày GD]&lt;O2)
)),0)</f>
        <v>0</v>
      </c>
      <c r="O49" s="334" cm="1">
        <f t="array" ref="O49" xml:space="preserve">
IFERROR(SUM(_xlfn._xlws.FILTER(Table_ThuChiTC[Giá trị GD],
(Table_ThuChiTC[Loại GD]="THU")*
(Table_ThuChiTC[Nội dung GD]="Tiền thu lãi cho vay, cổ tức, lợi nhuận được chia")*
(Table_ThuChiTC[Ngày GD]&gt;=O2)*
(Table_ThuChiTC[Ngày GD]&lt;P2)
)),0)
-IFERROR(SUM(_xlfn._xlws.FILTER(Table_ThuChiTC[Giá trị GD],
(Table_ThuChiTC[Loại GD]="CHI")*
(Table_ThuChiTC[Nội dung GD]="Tiền thu lãi cho vay, cổ tức, lợi nhuận được chia")*
(Table_ThuChiTC[Ngày GD]&gt;=O2)*
(Table_ThuChiTC[Ngày GD]&lt;P2)
)),0)</f>
        <v>0</v>
      </c>
      <c r="P49" s="323"/>
      <c r="Q49" s="240"/>
      <c r="R49" s="73" t="s">
        <v>315</v>
      </c>
      <c r="S49" s="328" cm="1">
        <f t="array" ref="S49" xml:space="preserve">
IFERROR(SUM(_xlfn._xlws.FILTER(Table_ThuChiTC[Giá trị GD],
(Table_ThuChiTC[Loại GD]="THU")*
(Table_ThuChiTC[Nội dung GD]="Tiền thu lãi cho vay, cổ tức, lợi nhuận được chia")*
(YEAR(Table_ThuChiTC[Ngày GD])=S$1)
)),0)
-IFERROR(SUM(_xlfn._xlws.FILTER(Table_ThuChiTC[Giá trị GD],
(Table_ThuChiTC[Loại GD]="CHI")*
(Table_ThuChiTC[Nội dung GD]="Tiền thu lãi cho vay, cổ tức, lợi nhuận được chia")*
(YEAR(Table_ThuChiTC[Ngày GD])=S$1)
)),0)</f>
        <v>0</v>
      </c>
      <c r="T49" s="240"/>
      <c r="U49" s="73" t="s">
        <v>315</v>
      </c>
      <c r="V49" s="334" cm="1">
        <f t="array" ref="V49" xml:space="preserve">
IFERROR(SUM(_xlfn._xlws.FILTER(Table_ThuChiTC[Giá trị GD],
(Table_ThuChiTC[Loại GD]="THU")*
(Table_ThuChiTC[Nội dung GD]="Tiền thu lãi cho vay, cổ tức, lợi nhuận được chia")*
(Table_ThuChiTC[Ngày GD]&gt;=V$1)*
(Table_ThuChiTC[Ngày GD]&lt;DATE(YEAR(V$1),MONTH(V$1)+1,1))
)),0)
-IFERROR(SUM(_xlfn._xlws.FILTER(Table_ThuChiTC[Giá trị GD],
(Table_ThuChiTC[Loại GD]="CHI")*
(Table_ThuChiTC[Nội dung GD]="Tiền thu lãi cho vay, cổ tức, lợi nhuận được chia")*
(Table_ThuChiTC[Ngày GD]&gt;=V$1)*
(Table_ThuChiTC[Ngày GD]&lt;DATE(YEAR(V$1),MONTH(V$1)+1,1))
)),0)</f>
        <v>0</v>
      </c>
    </row>
    <row r="50" spans="2:22" ht="18" customHeight="1" outlineLevel="2" x14ac:dyDescent="0.3">
      <c r="B50" s="73" t="s">
        <v>116</v>
      </c>
      <c r="C50" s="328" cm="1">
        <f t="array" ref="C50">+IFERROR(SUM(_xlfn._xlws.FILTER(Table_ThuChiTC[Giá trị GD],
(Table_ThuChiTC[Loại GD]="THU")*
(Table_ThuChiTC[Nội dung GD]=Sheet_ThuChiTC!$F$9)*
(Table_ThuChiTC[Ngày GD]&gt;=D2)*
(Table_ThuChiTC[Ngày GD]&lt;P2)
)),0)</f>
        <v>0</v>
      </c>
      <c r="D50" s="334" cm="1">
        <f t="array" ref="D50">+IFERROR(SUM(_xlfn._xlws.FILTER(Table_ThuChiTC[Giá trị GD],
(Table_ThuChiTC[Loại GD]="THU")*
(Table_ThuChiTC[Nội dung GD]=Sheet_ThuChiTC!$F$9)*
(Table_ThuChiTC[Ngày GD]&gt;=D2)*
(Table_ThuChiTC[Ngày GD]&lt;E2)
)),0)</f>
        <v>0</v>
      </c>
      <c r="E50" s="334" cm="1">
        <f t="array" ref="E50">+IFERROR(SUM(_xlfn._xlws.FILTER(Table_ThuChiTC[Giá trị GD],
(Table_ThuChiTC[Loại GD]="THU")*
(Table_ThuChiTC[Nội dung GD]=Sheet_ThuChiTC!$F$9)*
(Table_ThuChiTC[Ngày GD]&gt;=E2)*
(Table_ThuChiTC[Ngày GD]&lt;F2)
)),0)</f>
        <v>0</v>
      </c>
      <c r="F50" s="334" cm="1">
        <f t="array" ref="F50">+IFERROR(SUM(_xlfn._xlws.FILTER(Table_ThuChiTC[Giá trị GD],
(Table_ThuChiTC[Loại GD]="THU")*
(Table_ThuChiTC[Nội dung GD]=Sheet_ThuChiTC!$F$9)*
(Table_ThuChiTC[Ngày GD]&gt;=F2)*
(Table_ThuChiTC[Ngày GD]&lt;G2)
)),0)</f>
        <v>0</v>
      </c>
      <c r="G50" s="334" cm="1">
        <f t="array" ref="G50">+IFERROR(SUM(_xlfn._xlws.FILTER(Table_ThuChiTC[Giá trị GD],
(Table_ThuChiTC[Loại GD]="THU")*
(Table_ThuChiTC[Nội dung GD]=Sheet_ThuChiTC!$F$9)*
(Table_ThuChiTC[Ngày GD]&gt;=G2)*
(Table_ThuChiTC[Ngày GD]&lt;H2)
)),0)</f>
        <v>0</v>
      </c>
      <c r="H50" s="334" cm="1">
        <f t="array" ref="H50">+IFERROR(SUM(_xlfn._xlws.FILTER(Table_ThuChiTC[Giá trị GD],
(Table_ThuChiTC[Loại GD]="THU")*
(Table_ThuChiTC[Nội dung GD]=Sheet_ThuChiTC!$F$9)*
(Table_ThuChiTC[Ngày GD]&gt;=H2)*
(Table_ThuChiTC[Ngày GD]&lt;I2)
)),0)</f>
        <v>0</v>
      </c>
      <c r="I50" s="334" cm="1">
        <f t="array" ref="I50">+IFERROR(SUM(_xlfn._xlws.FILTER(Table_ThuChiTC[Giá trị GD],
(Table_ThuChiTC[Loại GD]="THU")*
(Table_ThuChiTC[Nội dung GD]=Sheet_ThuChiTC!$F$9)*
(Table_ThuChiTC[Ngày GD]&gt;=I2)*
(Table_ThuChiTC[Ngày GD]&lt;J2)
)),0)</f>
        <v>0</v>
      </c>
      <c r="J50" s="334" cm="1">
        <f t="array" ref="J50">+IFERROR(SUM(_xlfn._xlws.FILTER(Table_ThuChiTC[Giá trị GD],
(Table_ThuChiTC[Loại GD]="THU")*
(Table_ThuChiTC[Nội dung GD]=Sheet_ThuChiTC!$F$9)*
(Table_ThuChiTC[Ngày GD]&gt;=J2)*
(Table_ThuChiTC[Ngày GD]&lt;K2)
)),0)</f>
        <v>0</v>
      </c>
      <c r="K50" s="334" cm="1">
        <f t="array" ref="K50">+IFERROR(SUM(_xlfn._xlws.FILTER(Table_ThuChiTC[Giá trị GD],
(Table_ThuChiTC[Loại GD]="THU")*
(Table_ThuChiTC[Nội dung GD]=Sheet_ThuChiTC!$F$9)*
(Table_ThuChiTC[Ngày GD]&gt;=K2)*
(Table_ThuChiTC[Ngày GD]&lt;L2)
)),0)</f>
        <v>0</v>
      </c>
      <c r="L50" s="334" cm="1">
        <f t="array" ref="L50">+IFERROR(SUM(_xlfn._xlws.FILTER(Table_ThuChiTC[Giá trị GD],
(Table_ThuChiTC[Loại GD]="THU")*
(Table_ThuChiTC[Nội dung GD]=Sheet_ThuChiTC!$F$9)*
(Table_ThuChiTC[Ngày GD]&gt;=L2)*
(Table_ThuChiTC[Ngày GD]&lt;M2)
)),0)</f>
        <v>0</v>
      </c>
      <c r="M50" s="334" cm="1">
        <f t="array" ref="M50">+IFERROR(SUM(_xlfn._xlws.FILTER(Table_ThuChiTC[Giá trị GD],
(Table_ThuChiTC[Loại GD]="THU")*
(Table_ThuChiTC[Nội dung GD]=Sheet_ThuChiTC!$F$9)*
(Table_ThuChiTC[Ngày GD]&gt;=M2)*
(Table_ThuChiTC[Ngày GD]&lt;N2)
)),0)</f>
        <v>0</v>
      </c>
      <c r="N50" s="334" cm="1">
        <f t="array" ref="N50">+IFERROR(SUM(_xlfn._xlws.FILTER(Table_ThuChiTC[Giá trị GD],
(Table_ThuChiTC[Loại GD]="THU")*
(Table_ThuChiTC[Nội dung GD]=Sheet_ThuChiTC!$F$9)*
(Table_ThuChiTC[Ngày GD]&gt;=N2)*
(Table_ThuChiTC[Ngày GD]&lt;O2)
)),0)</f>
        <v>0</v>
      </c>
      <c r="O50" s="334" cm="1">
        <f t="array" ref="O50">+IFERROR(SUM(_xlfn._xlws.FILTER(Table_ThuChiTC[Giá trị GD],
(Table_ThuChiTC[Loại GD]="THU")*
(Table_ThuChiTC[Nội dung GD]=Sheet_ThuChiTC!$F$9)*
(Table_ThuChiTC[Ngày GD]&gt;=O2)*
(Table_ThuChiTC[Ngày GD]&lt;P2)
)),0)</f>
        <v>0</v>
      </c>
      <c r="P50" s="323"/>
      <c r="Q50" s="240"/>
      <c r="R50" s="73" t="s">
        <v>116</v>
      </c>
      <c r="S50" s="328" cm="1">
        <f t="array" ref="S50">+IFERROR(SUM(_xlfn._xlws.FILTER(Table_ThuChiTC[Giá trị GD],
(Table_ThuChiTC[Loại GD]="THU")*
(Table_ThuChiTC[Nội dung GD]="Thu chi từ biến động gốc vay, thuê tài chính")*
(Table_ThuChiTC[Ngày GD]&gt;=DATE(S$1,1,1))*
(Table_ThuChiTC[Ngày GD]&lt;DATE(S$1+1,1,1))
)),0)</f>
        <v>0</v>
      </c>
      <c r="T50" s="240"/>
      <c r="U50" s="73" t="s">
        <v>116</v>
      </c>
      <c r="V50" s="334" cm="1">
        <f t="array" ref="V50">+IFERROR(SUM(_xlfn._xlws.FILTER(Table_ThuChiTC[Giá trị GD],
(Table_ThuChiTC[Loại GD]="THU")*
(Table_ThuChiTC[Nội dung GD]="Thu chi từ biến động gốc vay, thuê tài chính")*
(Table_ThuChiTC[Ngày GD]&gt;=V$1)*
(Table_ThuChiTC[Ngày GD]&lt;DATE(YEAR(V$1),MONTH(V$1)+1,1))
)),0)</f>
        <v>0</v>
      </c>
    </row>
    <row r="51" spans="2:22" ht="18" customHeight="1" outlineLevel="2" x14ac:dyDescent="0.3">
      <c r="B51" s="73" t="s">
        <v>316</v>
      </c>
      <c r="C51" s="328" cm="1">
        <f t="array" ref="C51" xml:space="preserve">
IFERROR(SUM(_xlfn._xlws.FILTER(Table_ThuChiTC[Giá trị GD],
(Table_ThuChiTC[Loại GD]="THU")*
(Table_ThuChiTC[Nội dung GD]="Thu chi từ biến động cổ phiếu, vốn góp")*
(YEAR(Table_ThuChiTC[Ngày GD])=C2)
)),0)
-IFERROR(SUM(_xlfn._xlws.FILTER(Table_ThuChiTC[Giá trị GD],
(Table_ThuChiTC[Loại GD]="CHI")*
(Table_ThuChiTC[Nội dung GD]="Thu chi từ biến động cổ phiếu, vốn góp")*
(YEAR(Table_ThuChiTC[Ngày GD])=C2)
)),0)</f>
        <v>0</v>
      </c>
      <c r="D51" s="334" cm="1">
        <f t="array" ref="D51" xml:space="preserve">
IFERROR(SUM(_xlfn._xlws.FILTER(Table_ThuChiTC[Giá trị GD],
(Table_ThuChiTC[Loại GD]="THU")*
(Table_ThuChiTC[Nội dung GD]="Thu chi từ biến động cổ phiếu, vốn góp")*
(Table_ThuChiTC[Ngày GD]&gt;=D2)*
(Table_ThuChiTC[Ngày GD]&lt;E2)
)),0)
-IFERROR(SUM(_xlfn._xlws.FILTER(Table_ThuChiTC[Giá trị GD],
(Table_ThuChiTC[Loại GD]="CHI")*
(Table_ThuChiTC[Nội dung GD]="Thu chi từ biến động cổ phiếu, vốn góp")*
(Table_ThuChiTC[Ngày GD]&gt;=D2)*
(Table_ThuChiTC[Ngày GD]&lt;E2)
)),0)</f>
        <v>0</v>
      </c>
      <c r="E51" s="334" cm="1">
        <f t="array" ref="E51" xml:space="preserve">
IFERROR(SUM(_xlfn._xlws.FILTER(Table_ThuChiTC[Giá trị GD],
(Table_ThuChiTC[Loại GD]="THU")*
(Table_ThuChiTC[Nội dung GD]="Thu chi từ biến động cổ phiếu, vốn góp")*
(Table_ThuChiTC[Ngày GD]&gt;=E2)*
(Table_ThuChiTC[Ngày GD]&lt;F2)
)),0)
-IFERROR(SUM(_xlfn._xlws.FILTER(Table_ThuChiTC[Giá trị GD],
(Table_ThuChiTC[Loại GD]="CHI")*
(Table_ThuChiTC[Nội dung GD]="Thu chi từ biến động cổ phiếu, vốn góp")*
(Table_ThuChiTC[Ngày GD]&gt;=E2)*
(Table_ThuChiTC[Ngày GD]&lt;F2)
)),0)</f>
        <v>0</v>
      </c>
      <c r="F51" s="334" cm="1">
        <f t="array" ref="F51" xml:space="preserve">
IFERROR(SUM(_xlfn._xlws.FILTER(Table_ThuChiTC[Giá trị GD],
(Table_ThuChiTC[Loại GD]="THU")*
(Table_ThuChiTC[Nội dung GD]="Thu chi từ biến động cổ phiếu, vốn góp")*
(Table_ThuChiTC[Ngày GD]&gt;=F2)*
(Table_ThuChiTC[Ngày GD]&lt;G2)
)),0)
-IFERROR(SUM(_xlfn._xlws.FILTER(Table_ThuChiTC[Giá trị GD],
(Table_ThuChiTC[Loại GD]="CHI")*
(Table_ThuChiTC[Nội dung GD]="Thu chi từ biến động cổ phiếu, vốn góp")*
(Table_ThuChiTC[Ngày GD]&gt;=F2)*
(Table_ThuChiTC[Ngày GD]&lt;G2)
)),0)</f>
        <v>0</v>
      </c>
      <c r="G51" s="334" cm="1">
        <f t="array" ref="G51" xml:space="preserve">
IFERROR(SUM(_xlfn._xlws.FILTER(Table_ThuChiTC[Giá trị GD],
(Table_ThuChiTC[Loại GD]="THU")*
(Table_ThuChiTC[Nội dung GD]="Thu chi từ biến động cổ phiếu, vốn góp")*
(Table_ThuChiTC[Ngày GD]&gt;=G2)*
(Table_ThuChiTC[Ngày GD]&lt;H2)
)),0)
-IFERROR(SUM(_xlfn._xlws.FILTER(Table_ThuChiTC[Giá trị GD],
(Table_ThuChiTC[Loại GD]="CHI")*
(Table_ThuChiTC[Nội dung GD]="Thu chi từ biến động cổ phiếu, vốn góp")*
(Table_ThuChiTC[Ngày GD]&gt;=G2)*
(Table_ThuChiTC[Ngày GD]&lt;H2)
)),0)</f>
        <v>0</v>
      </c>
      <c r="H51" s="334" cm="1">
        <f t="array" ref="H51" xml:space="preserve">
IFERROR(SUM(_xlfn._xlws.FILTER(Table_ThuChiTC[Giá trị GD],
(Table_ThuChiTC[Loại GD]="THU")*
(Table_ThuChiTC[Nội dung GD]="Thu chi từ biến động cổ phiếu, vốn góp")*
(Table_ThuChiTC[Ngày GD]&gt;=H2)*
(Table_ThuChiTC[Ngày GD]&lt;I2)
)),0)
-IFERROR(SUM(_xlfn._xlws.FILTER(Table_ThuChiTC[Giá trị GD],
(Table_ThuChiTC[Loại GD]="CHI")*
(Table_ThuChiTC[Nội dung GD]="Thu chi từ biến động cổ phiếu, vốn góp")*
(Table_ThuChiTC[Ngày GD]&gt;=H2)*
(Table_ThuChiTC[Ngày GD]&lt;I2)
)),0)</f>
        <v>0</v>
      </c>
      <c r="I51" s="334" cm="1">
        <f t="array" ref="I51" xml:space="preserve">
IFERROR(SUM(_xlfn._xlws.FILTER(Table_ThuChiTC[Giá trị GD],
(Table_ThuChiTC[Loại GD]="THU")*
(Table_ThuChiTC[Nội dung GD]="Thu chi từ biến động cổ phiếu, vốn góp")*
(Table_ThuChiTC[Ngày GD]&gt;=I2)*
(Table_ThuChiTC[Ngày GD]&lt;J2)
)),0)
-IFERROR(SUM(_xlfn._xlws.FILTER(Table_ThuChiTC[Giá trị GD],
(Table_ThuChiTC[Loại GD]="CHI")*
(Table_ThuChiTC[Nội dung GD]="Thu chi từ biến động cổ phiếu, vốn góp")*
(Table_ThuChiTC[Ngày GD]&gt;=I2)*
(Table_ThuChiTC[Ngày GD]&lt;J2)
)),0)</f>
        <v>0</v>
      </c>
      <c r="J51" s="334" cm="1">
        <f t="array" ref="J51" xml:space="preserve">
IFERROR(SUM(_xlfn._xlws.FILTER(Table_ThuChiTC[Giá trị GD],
(Table_ThuChiTC[Loại GD]="THU")*
(Table_ThuChiTC[Nội dung GD]="Thu chi từ biến động cổ phiếu, vốn góp")*
(Table_ThuChiTC[Ngày GD]&gt;=J2)*
(Table_ThuChiTC[Ngày GD]&lt;K2)
)),0)
-IFERROR(SUM(_xlfn._xlws.FILTER(Table_ThuChiTC[Giá trị GD],
(Table_ThuChiTC[Loại GD]="CHI")*
(Table_ThuChiTC[Nội dung GD]="Thu chi từ biến động cổ phiếu, vốn góp")*
(Table_ThuChiTC[Ngày GD]&gt;=J2)*
(Table_ThuChiTC[Ngày GD]&lt;K2)
)),0)</f>
        <v>0</v>
      </c>
      <c r="K51" s="334" cm="1">
        <f t="array" ref="K51" xml:space="preserve">
IFERROR(SUM(_xlfn._xlws.FILTER(Table_ThuChiTC[Giá trị GD],
(Table_ThuChiTC[Loại GD]="THU")*
(Table_ThuChiTC[Nội dung GD]="Thu chi từ biến động cổ phiếu, vốn góp")*
(Table_ThuChiTC[Ngày GD]&gt;=K2)*
(Table_ThuChiTC[Ngày GD]&lt;L2)
)),0)
-IFERROR(SUM(_xlfn._xlws.FILTER(Table_ThuChiTC[Giá trị GD],
(Table_ThuChiTC[Loại GD]="CHI")*
(Table_ThuChiTC[Nội dung GD]="Thu chi từ biến động cổ phiếu, vốn góp")*
(Table_ThuChiTC[Ngày GD]&gt;=K2)*
(Table_ThuChiTC[Ngày GD]&lt;L2)
)),0)</f>
        <v>0</v>
      </c>
      <c r="L51" s="334" cm="1">
        <f t="array" ref="L51" xml:space="preserve">
IFERROR(SUM(_xlfn._xlws.FILTER(Table_ThuChiTC[Giá trị GD],
(Table_ThuChiTC[Loại GD]="THU")*
(Table_ThuChiTC[Nội dung GD]="Thu chi từ biến động cổ phiếu, vốn góp")*
(Table_ThuChiTC[Ngày GD]&gt;=L2)*
(Table_ThuChiTC[Ngày GD]&lt;M2)
)),0)
-IFERROR(SUM(_xlfn._xlws.FILTER(Table_ThuChiTC[Giá trị GD],
(Table_ThuChiTC[Loại GD]="CHI")*
(Table_ThuChiTC[Nội dung GD]="Thu chi từ biến động cổ phiếu, vốn góp")*
(Table_ThuChiTC[Ngày GD]&gt;=L2)*
(Table_ThuChiTC[Ngày GD]&lt;M2)
)),0)</f>
        <v>0</v>
      </c>
      <c r="M51" s="334" cm="1">
        <f t="array" ref="M51" xml:space="preserve">
IFERROR(SUM(_xlfn._xlws.FILTER(Table_ThuChiTC[Giá trị GD],
(Table_ThuChiTC[Loại GD]="THU")*
(Table_ThuChiTC[Nội dung GD]="Thu chi từ biến động cổ phiếu, vốn góp")*
(Table_ThuChiTC[Ngày GD]&gt;=M2)*
(Table_ThuChiTC[Ngày GD]&lt;N2)
)),0)
-IFERROR(SUM(_xlfn._xlws.FILTER(Table_ThuChiTC[Giá trị GD],
(Table_ThuChiTC[Loại GD]="CHI")*
(Table_ThuChiTC[Nội dung GD]="Thu chi từ biến động cổ phiếu, vốn góp")*
(Table_ThuChiTC[Ngày GD]&gt;=M2)*
(Table_ThuChiTC[Ngày GD]&lt;N2)
)),0)</f>
        <v>0</v>
      </c>
      <c r="N51" s="334" cm="1">
        <f t="array" ref="N51" xml:space="preserve">
IFERROR(SUM(_xlfn._xlws.FILTER(Table_ThuChiTC[Giá trị GD],
(Table_ThuChiTC[Loại GD]="THU")*
(Table_ThuChiTC[Nội dung GD]="Thu chi từ biến động cổ phiếu, vốn góp")*
(Table_ThuChiTC[Ngày GD]&gt;=N2)*
(Table_ThuChiTC[Ngày GD]&lt;O2)
)),0)
-IFERROR(SUM(_xlfn._xlws.FILTER(Table_ThuChiTC[Giá trị GD],
(Table_ThuChiTC[Loại GD]="CHI")*
(Table_ThuChiTC[Nội dung GD]="Thu chi từ biến động cổ phiếu, vốn góp")*
(Table_ThuChiTC[Ngày GD]&gt;=N2)*
(Table_ThuChiTC[Ngày GD]&lt;O2)
)),0)</f>
        <v>0</v>
      </c>
      <c r="O51" s="334" cm="1">
        <f t="array" ref="O51" xml:space="preserve">
IFERROR(SUM(_xlfn._xlws.FILTER(Table_ThuChiTC[Giá trị GD],
(Table_ThuChiTC[Loại GD]="THU")*
(Table_ThuChiTC[Nội dung GD]="Thu chi từ biến động cổ phiếu, vốn góp")*
(Table_ThuChiTC[Ngày GD]&gt;=O2)*
(Table_ThuChiTC[Ngày GD]&lt;P2)
)),0)
-IFERROR(SUM(_xlfn._xlws.FILTER(Table_ThuChiTC[Giá trị GD],
(Table_ThuChiTC[Loại GD]="CHI")*
(Table_ThuChiTC[Nội dung GD]="Thu chi từ biến động cổ phiếu, vốn góp")*
(Table_ThuChiTC[Ngày GD]&gt;=O2)*
(Table_ThuChiTC[Ngày GD]&lt;P2)
)),0)</f>
        <v>0</v>
      </c>
      <c r="P51" s="323"/>
      <c r="Q51" s="240"/>
      <c r="R51" s="73" t="s">
        <v>316</v>
      </c>
      <c r="S51" s="328" cm="1">
        <f t="array" ref="S51" xml:space="preserve">
IFERROR(SUM(_xlfn._xlws.FILTER(Table_ThuChiTC[Giá trị GD],
(Table_ThuChiTC[Loại GD]="THU")*
(Table_ThuChiTC[Nội dung GD]="Thu chi từ biến động cổ phiếu, vốn góp")*
(YEAR(Table_ThuChiTC[Ngày GD])=S$1)
)),0)
-IFERROR(SUM(_xlfn._xlws.FILTER(Table_ThuChiTC[Giá trị GD],
(Table_ThuChiTC[Loại GD]="CHI")*
(Table_ThuChiTC[Nội dung GD]="Thu chi từ biến động cổ phiếu, vốn góp")*
(YEAR(Table_ThuChiTC[Ngày GD])=S$1)
)),0)</f>
        <v>0</v>
      </c>
      <c r="T51" s="240"/>
      <c r="U51" s="73" t="s">
        <v>316</v>
      </c>
      <c r="V51" s="334" cm="1">
        <f t="array" ref="V51" xml:space="preserve">
IFERROR(SUM(_xlfn._xlws.FILTER(Table_ThuChiTC[Giá trị GD],
(Table_ThuChiTC[Loại GD]="THU")*
(Table_ThuChiTC[Nội dung GD]="Thu chi từ biến động cổ phiếu, vốn góp")*
(Table_ThuChiTC[Ngày GD]&gt;=V$1)*
(Table_ThuChiTC[Ngày GD]&lt;DATE(YEAR(V$1),MONTH(V$1)+1,1))
)),0)
-IFERROR(SUM(_xlfn._xlws.FILTER(Table_ThuChiTC[Giá trị GD],
(Table_ThuChiTC[Loại GD]="CHI")*
(Table_ThuChiTC[Nội dung GD]="Thu chi từ biến động cổ phiếu, vốn góp")*
(Table_ThuChiTC[Ngày GD]&gt;=V$1)*
(Table_ThuChiTC[Ngày GD]&lt;DATE(YEAR(V$1),MONTH(V$1)+1,1))
)),0)</f>
        <v>0</v>
      </c>
    </row>
    <row r="52" spans="2:22" ht="18" customHeight="1" outlineLevel="1" x14ac:dyDescent="0.3">
      <c r="B52" s="99" t="s">
        <v>317</v>
      </c>
      <c r="C52" s="129" t="e">
        <f xml:space="preserve">
(+ IFERROR(HLOOKUP(C$2,Table_BCTC_Nam[],Sheet_BaoCaoTaiChinh!A104,0),Sheet_BaoCaoTaiChinh!D104)
+ IFERROR(HLOOKUP(C$2,Table_BCTC_Nam[],Sheet_BaoCaoTaiChinh!A110,0),Sheet_BaoCaoTaiChinh!D110))
/(+ IFERROR(HLOOKUP(C$2,Table_BCTC_Nam[],Sheet_BaoCaoTaiChinh!A113,0),Sheet_BaoCaoTaiChinh!D113)
+ IFERROR(HLOOKUP(C$2,Table_BCTC_Nam[],Sheet_BaoCaoTaiChinh!A115,0),Sheet_BaoCaoTaiChinh!D115))</f>
        <v>#DIV/0!</v>
      </c>
      <c r="D52" s="122" t="e">
        <f xml:space="preserve">
(+ IFERROR(HLOOKUP(D$2,Table_BCTC_Thang[],Sheet_BaoCaoTaiChinh!$A$104,0),Sheet_BaoCaoTaiChinh!$D$104)
+ IFERROR(HLOOKUP(D$2,Table_BCTC_Nam[],Sheet_BaoCaoTaiChinh!$A$110,0),Sheet_BaoCaoTaiChinh!$D$110))
/(+ IFERROR(HLOOKUP(D$2,Table_BCTC_Nam[],Sheet_BaoCaoTaiChinh!$A$113,0),Sheet_BaoCaoTaiChinh!$D$113)
+ IFERROR(HLOOKUP(D$2,Table_BCTC_Nam[],Sheet_BaoCaoTaiChinh!$A$115,0),Sheet_BaoCaoTaiChinh!$D$115))</f>
        <v>#DIV/0!</v>
      </c>
      <c r="E52" s="122" t="e">
        <f xml:space="preserve">
(+ IFERROR(HLOOKUP(E$2,Table_BCTC_Thang[],Sheet_BaoCaoTaiChinh!$A$104,0),Sheet_BaoCaoTaiChinh!$D$104)
+ IFERROR(HLOOKUP(E$2,Table_BCTC_Nam[],Sheet_BaoCaoTaiChinh!$A$110,0),Sheet_BaoCaoTaiChinh!$D$110))
/(+ IFERROR(HLOOKUP(E$2,Table_BCTC_Nam[],Sheet_BaoCaoTaiChinh!$A$113,0),Sheet_BaoCaoTaiChinh!$D$113)
+ IFERROR(HLOOKUP(E$2,Table_BCTC_Nam[],Sheet_BaoCaoTaiChinh!$A$115,0),Sheet_BaoCaoTaiChinh!$D$115))</f>
        <v>#DIV/0!</v>
      </c>
      <c r="F52" s="122" t="e">
        <f xml:space="preserve">
(+ IFERROR(HLOOKUP(F$2,Table_BCTC_Thang[],Sheet_BaoCaoTaiChinh!$A$104,0),Sheet_BaoCaoTaiChinh!$D$104)
+ IFERROR(HLOOKUP(F$2,Table_BCTC_Nam[],Sheet_BaoCaoTaiChinh!$A$110,0),Sheet_BaoCaoTaiChinh!$D$110))
/(+ IFERROR(HLOOKUP(F$2,Table_BCTC_Nam[],Sheet_BaoCaoTaiChinh!$A$113,0),Sheet_BaoCaoTaiChinh!$D$113)
+ IFERROR(HLOOKUP(F$2,Table_BCTC_Nam[],Sheet_BaoCaoTaiChinh!$A$115,0),Sheet_BaoCaoTaiChinh!$D$115))</f>
        <v>#DIV/0!</v>
      </c>
      <c r="G52" s="122" t="e">
        <f xml:space="preserve">
(+ IFERROR(HLOOKUP(G$2,Table_BCTC_Thang[],Sheet_BaoCaoTaiChinh!$A$104,0),Sheet_BaoCaoTaiChinh!$D$104)
+ IFERROR(HLOOKUP(G$2,Table_BCTC_Nam[],Sheet_BaoCaoTaiChinh!$A$110,0),Sheet_BaoCaoTaiChinh!$D$110))
/(+ IFERROR(HLOOKUP(G$2,Table_BCTC_Nam[],Sheet_BaoCaoTaiChinh!$A$113,0),Sheet_BaoCaoTaiChinh!$D$113)
+ IFERROR(HLOOKUP(G$2,Table_BCTC_Nam[],Sheet_BaoCaoTaiChinh!$A$115,0),Sheet_BaoCaoTaiChinh!$D$115))</f>
        <v>#DIV/0!</v>
      </c>
      <c r="H52" s="122" t="e">
        <f xml:space="preserve">
(+ IFERROR(HLOOKUP(H$2,Table_BCTC_Thang[],Sheet_BaoCaoTaiChinh!$A$104,0),Sheet_BaoCaoTaiChinh!$D$104)
+ IFERROR(HLOOKUP(H$2,Table_BCTC_Nam[],Sheet_BaoCaoTaiChinh!$A$110,0),Sheet_BaoCaoTaiChinh!$D$110))
/(+ IFERROR(HLOOKUP(H$2,Table_BCTC_Nam[],Sheet_BaoCaoTaiChinh!$A$113,0),Sheet_BaoCaoTaiChinh!$D$113)
+ IFERROR(HLOOKUP(H$2,Table_BCTC_Nam[],Sheet_BaoCaoTaiChinh!$A$115,0),Sheet_BaoCaoTaiChinh!$D$115))</f>
        <v>#DIV/0!</v>
      </c>
      <c r="I52" s="122" t="e">
        <f xml:space="preserve">
(+ IFERROR(HLOOKUP(I$2,Table_BCTC_Thang[],Sheet_BaoCaoTaiChinh!$A$104,0),Sheet_BaoCaoTaiChinh!$D$104)
+ IFERROR(HLOOKUP(I$2,Table_BCTC_Nam[],Sheet_BaoCaoTaiChinh!$A$110,0),Sheet_BaoCaoTaiChinh!$D$110))
/(+ IFERROR(HLOOKUP(I$2,Table_BCTC_Nam[],Sheet_BaoCaoTaiChinh!$A$113,0),Sheet_BaoCaoTaiChinh!$D$113)
+ IFERROR(HLOOKUP(I$2,Table_BCTC_Nam[],Sheet_BaoCaoTaiChinh!$A$115,0),Sheet_BaoCaoTaiChinh!$D$115))</f>
        <v>#DIV/0!</v>
      </c>
      <c r="J52" s="122" t="e">
        <f xml:space="preserve">
(+ IFERROR(HLOOKUP(J$2,Table_BCTC_Thang[],Sheet_BaoCaoTaiChinh!$A$104,0),Sheet_BaoCaoTaiChinh!$D$104)
+ IFERROR(HLOOKUP(J$2,Table_BCTC_Nam[],Sheet_BaoCaoTaiChinh!$A$110,0),Sheet_BaoCaoTaiChinh!$D$110))
/(+ IFERROR(HLOOKUP(J$2,Table_BCTC_Nam[],Sheet_BaoCaoTaiChinh!$A$113,0),Sheet_BaoCaoTaiChinh!$D$113)
+ IFERROR(HLOOKUP(J$2,Table_BCTC_Nam[],Sheet_BaoCaoTaiChinh!$A$115,0),Sheet_BaoCaoTaiChinh!$D$115))</f>
        <v>#DIV/0!</v>
      </c>
      <c r="K52" s="122" t="e">
        <f xml:space="preserve">
(+ IFERROR(HLOOKUP(K$2,Table_BCTC_Thang[],Sheet_BaoCaoTaiChinh!$A$104,0),Sheet_BaoCaoTaiChinh!$D$104)
+ IFERROR(HLOOKUP(K$2,Table_BCTC_Nam[],Sheet_BaoCaoTaiChinh!$A$110,0),Sheet_BaoCaoTaiChinh!$D$110))
/(+ IFERROR(HLOOKUP(K$2,Table_BCTC_Nam[],Sheet_BaoCaoTaiChinh!$A$113,0),Sheet_BaoCaoTaiChinh!$D$113)
+ IFERROR(HLOOKUP(K$2,Table_BCTC_Nam[],Sheet_BaoCaoTaiChinh!$A$115,0),Sheet_BaoCaoTaiChinh!$D$115))</f>
        <v>#DIV/0!</v>
      </c>
      <c r="L52" s="122" t="e">
        <f xml:space="preserve">
(+ IFERROR(HLOOKUP(L$2,Table_BCTC_Thang[],Sheet_BaoCaoTaiChinh!$A$104,0),Sheet_BaoCaoTaiChinh!$D$104)
+ IFERROR(HLOOKUP(L$2,Table_BCTC_Nam[],Sheet_BaoCaoTaiChinh!$A$110,0),Sheet_BaoCaoTaiChinh!$D$110))
/(+ IFERROR(HLOOKUP(L$2,Table_BCTC_Nam[],Sheet_BaoCaoTaiChinh!$A$113,0),Sheet_BaoCaoTaiChinh!$D$113)
+ IFERROR(HLOOKUP(L$2,Table_BCTC_Nam[],Sheet_BaoCaoTaiChinh!$A$115,0),Sheet_BaoCaoTaiChinh!$D$115))</f>
        <v>#DIV/0!</v>
      </c>
      <c r="M52" s="122" t="e">
        <f xml:space="preserve">
(+ IFERROR(HLOOKUP(M$2,Table_BCTC_Thang[],Sheet_BaoCaoTaiChinh!$A$104,0),Sheet_BaoCaoTaiChinh!$D$104)
+ IFERROR(HLOOKUP(M$2,Table_BCTC_Nam[],Sheet_BaoCaoTaiChinh!$A$110,0),Sheet_BaoCaoTaiChinh!$D$110))
/(+ IFERROR(HLOOKUP(M$2,Table_BCTC_Nam[],Sheet_BaoCaoTaiChinh!$A$113,0),Sheet_BaoCaoTaiChinh!$D$113)
+ IFERROR(HLOOKUP(M$2,Table_BCTC_Nam[],Sheet_BaoCaoTaiChinh!$A$115,0),Sheet_BaoCaoTaiChinh!$D$115))</f>
        <v>#DIV/0!</v>
      </c>
      <c r="N52" s="122" t="e">
        <f xml:space="preserve">
(+ IFERROR(HLOOKUP(N$2,Table_BCTC_Thang[],Sheet_BaoCaoTaiChinh!$A$104,0),Sheet_BaoCaoTaiChinh!$D$104)
+ IFERROR(HLOOKUP(N$2,Table_BCTC_Nam[],Sheet_BaoCaoTaiChinh!$A$110,0),Sheet_BaoCaoTaiChinh!$D$110))
/(+ IFERROR(HLOOKUP(N$2,Table_BCTC_Nam[],Sheet_BaoCaoTaiChinh!$A$113,0),Sheet_BaoCaoTaiChinh!$D$113)
+ IFERROR(HLOOKUP(N$2,Table_BCTC_Nam[],Sheet_BaoCaoTaiChinh!$A$115,0),Sheet_BaoCaoTaiChinh!$D$115))</f>
        <v>#DIV/0!</v>
      </c>
      <c r="O52" s="122" t="e">
        <f xml:space="preserve">
(+ IFERROR(HLOOKUP(O$2,Table_BCTC_Thang[],Sheet_BaoCaoTaiChinh!$A$104,0),Sheet_BaoCaoTaiChinh!$D$104)
+ IFERROR(HLOOKUP(O$2,Table_BCTC_Nam[],Sheet_BaoCaoTaiChinh!$A$110,0),Sheet_BaoCaoTaiChinh!$D$110))
/(+ IFERROR(HLOOKUP(O$2,Table_BCTC_Nam[],Sheet_BaoCaoTaiChinh!$A$113,0),Sheet_BaoCaoTaiChinh!$D$113)
+ IFERROR(HLOOKUP(O$2,Table_BCTC_Nam[],Sheet_BaoCaoTaiChinh!$A$115,0),Sheet_BaoCaoTaiChinh!$D$115))</f>
        <v>#DIV/0!</v>
      </c>
      <c r="P52" s="323"/>
      <c r="Q52" s="240"/>
      <c r="R52" s="99" t="s">
        <v>317</v>
      </c>
      <c r="S52" s="129" t="e">
        <f xml:space="preserve">
(+ IFERROR(HLOOKUP(S$1,Table_BCTC_Nam[],Sheet_BaoCaoTaiChinh!$A$104,0),Sheet_BaoCaoTaiChinh!$D$104)
+ IFERROR(HLOOKUP(S$1,Table_BCTC_Nam[],Sheet_BaoCaoTaiChinh!$A$110,0),Sheet_BaoCaoTaiChinh!$D$110))
/(+ IFERROR(HLOOKUP(S$1,Table_BCTC_Nam[],Sheet_BaoCaoTaiChinh!$A$113,0),Sheet_BaoCaoTaiChinh!$D$113)
+ IFERROR(HLOOKUP(S$1,Table_BCTC_Nam[],Sheet_BaoCaoTaiChinh!$A$115,0),Sheet_BaoCaoTaiChinh!$D$115))</f>
        <v>#DIV/0!</v>
      </c>
      <c r="T52" s="240"/>
      <c r="U52" s="99" t="s">
        <v>317</v>
      </c>
      <c r="V52" s="122" t="e">
        <f xml:space="preserve">
(+ IFERROR(HLOOKUP(V$1,Table_BCTC_Thang[],Sheet_BaoCaoTaiChinh!$A$104,0),Sheet_BaoCaoTaiChinh!$D$104)
+ IFERROR(HLOOKUP(V$1,Table_BCTC_Nam[],Sheet_BaoCaoTaiChinh!$A$110,0),Sheet_BaoCaoTaiChinh!$D$110))
/(+ IFERROR(HLOOKUP(V$1,Table_BCTC_Nam[],Sheet_BaoCaoTaiChinh!$A$113,0),Sheet_BaoCaoTaiChinh!$D$113)
+ IFERROR(HLOOKUP(V$1,Table_BCTC_Nam[],Sheet_BaoCaoTaiChinh!$A$115,0),Sheet_BaoCaoTaiChinh!$D$115))</f>
        <v>#DIV/0!</v>
      </c>
    </row>
    <row r="53" spans="2:22" s="53" customFormat="1" ht="18" customHeight="1" outlineLevel="1" x14ac:dyDescent="0.3">
      <c r="B53" s="74" t="s">
        <v>318</v>
      </c>
      <c r="C53" s="327" cm="1">
        <f t="array" ref="C53">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+C46+SUM(C49:C51)+SUM(C44:C45)</f>
        <v>0</v>
      </c>
      <c r="D53" s="336" cm="1">
        <f t="array" ref="D53" xml:space="preserve">
Sheet_BaoCaoTaiChinh!$D$74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+SUM($D$46:D46)+SUM($D$49:D51)+SUM($D$44:D45)</f>
        <v>0</v>
      </c>
      <c r="E53" s="336" cm="1">
        <f t="array" ref="E53" xml:space="preserve">
Sheet_BaoCaoTaiChinh!$D$74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+SUM($D$46:E46)+SUM($D$49:E51)+SUM($D$44:E45)</f>
        <v>0</v>
      </c>
      <c r="F53" s="336" cm="1">
        <f t="array" ref="F53" xml:space="preserve">
Sheet_BaoCaoTaiChinh!$D$74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+SUM($D$46:F46)+SUM($D$49:F51)+SUM($D$44:F45)</f>
        <v>0</v>
      </c>
      <c r="G53" s="336" cm="1">
        <f t="array" ref="G53" xml:space="preserve">
Sheet_BaoCaoTaiChinh!$D$74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+SUM($D$46:G46)+SUM($D$49:G51)+SUM($D$44:G45)</f>
        <v>0</v>
      </c>
      <c r="H53" s="336" cm="1">
        <f t="array" ref="H53" xml:space="preserve">
Sheet_BaoCaoTaiChinh!$D$74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+SUM($D$46:H46)+SUM($D$49:H51)+SUM($D$44:H45)</f>
        <v>0</v>
      </c>
      <c r="I53" s="336" cm="1">
        <f t="array" ref="I53" xml:space="preserve">
Sheet_BaoCaoTaiChinh!$D$74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+SUM($D$46:I46)+SUM($D$49:I51)+SUM($D$44:I45)</f>
        <v>0</v>
      </c>
      <c r="J53" s="336" cm="1">
        <f t="array" ref="J53" xml:space="preserve">
Sheet_BaoCaoTaiChinh!$D$74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+SUM($D$46:J46)+SUM($D$49:J51)+SUM($D$44:J45)</f>
        <v>0</v>
      </c>
      <c r="K53" s="336" cm="1">
        <f t="array" ref="K53" xml:space="preserve">
Sheet_BaoCaoTaiChinh!$D$74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+SUM($D$46:K46)+SUM($D$49:K51)+SUM($D$44:K45)</f>
        <v>0</v>
      </c>
      <c r="L53" s="336" cm="1">
        <f t="array" ref="L53" xml:space="preserve">
Sheet_BaoCaoTaiChinh!$D$74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+SUM($D$46:L46)+SUM($D$49:L51)+SUM($D$44:L45)</f>
        <v>0</v>
      </c>
      <c r="M53" s="336" cm="1">
        <f t="array" ref="M53" xml:space="preserve">
Sheet_BaoCaoTaiChinh!$D$74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+SUM($D$46:M46)+SUM($D$49:M51)+SUM($D$44:M45)</f>
        <v>0</v>
      </c>
      <c r="N53" s="336" cm="1">
        <f t="array" ref="N53" xml:space="preserve">
Sheet_BaoCaoTaiChinh!$D$74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+SUM($D$46:N46)+SUM($D$49:N51)+SUM($D$44:N45)</f>
        <v>0</v>
      </c>
      <c r="O53" s="336" cm="1">
        <f t="array" ref="O53" xml:space="preserve">
Sheet_BaoCaoTaiChinh!$D$74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+SUM($D$46:O46)+SUM($D$49:O51)+SUM($D$44:O45)</f>
        <v>0</v>
      </c>
      <c r="P53" s="336"/>
      <c r="Q53" s="262"/>
      <c r="R53" s="74" t="s">
        <v>318</v>
      </c>
      <c r="S53" s="327" cm="1">
        <f t="array" ref="S53">Sheet_BaoCaoTaiChinh!$D$74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)),0)+S46+SUM(S49:S51)+SUM(S44:S45)</f>
        <v>0</v>
      </c>
      <c r="T53" s="262"/>
      <c r="U53" s="74" t="s">
        <v>318</v>
      </c>
      <c r="V53" s="336" cm="1">
        <f t="array" ref="V53" xml:space="preserve">
Sheet_BaoCaoTaiChinh!$D$74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+V46+SUM(V49:V51)+SUM(V44:V45)</f>
        <v>0</v>
      </c>
    </row>
    <row r="54" spans="2:22" s="41" customFormat="1" ht="18" customHeight="1" outlineLevel="1" x14ac:dyDescent="0.3">
      <c r="B54" s="73" t="s">
        <v>120</v>
      </c>
      <c r="C54" s="328" cm="1">
        <f t="array" ref="C54" xml:space="preserve">
+IFERROR(SUM(_xlfn._xlws.FILTER(Table_ThuChiTC[Giá trị GD],
(Table_ThuChiTC[Loại GD]="THU")*
(Table_ThuChiTC[Nội dung GD]=Sheet_ThuChiTC!$F$10)*
(Table_ThuChiTC[Ngày GD]&gt;=D2)*
(Table_ThuChiTC[Ngày GD]&lt;P2)
)),0)
-IFERROR(SUM(_xlfn._xlws.FILTER(Table_ThuChiTC[Giá trị GD],
(Table_ThuChiTC[Loại GD]="CHI")*
(Table_ThuChiTC[Nội dung GD]=Sheet_ThuChiTC!$F$10)*
(Table_ThuChiTC[Ngày GD]&gt;=D2)*
(Table_ThuChiTC[Ngày GD]&lt;P2)
)),0)</f>
        <v>0</v>
      </c>
      <c r="D54" s="334" cm="1">
        <f t="array" ref="D54" xml:space="preserve">
+IFERROR(SUM(_xlfn._xlws.FILTER(Table_ThuChiTC[Giá trị GD],
(Table_ThuChiTC[Loại GD]="THU")*
(Table_ThuChiTC[Nội dung GD]=Sheet_ThuChiTC!$F$10)*
(Table_ThuChiTC[Ngày GD]&gt;=D2)*
(Table_ThuChiTC[Ngày GD]&lt;E2)
)),0)
-IFERROR(SUM(_xlfn._xlws.FILTER(Table_ThuChiTC[Giá trị GD],
(Table_ThuChiTC[Loại GD]="CHI")*
(Table_ThuChiTC[Nội dung GD]=Sheet_ThuChiTC!$F$10)*
(Table_ThuChiTC[Ngày GD]&gt;=D2)*
(Table_ThuChiTC[Ngày GD]&lt;E2)
)),0)</f>
        <v>0</v>
      </c>
      <c r="E54" s="334" cm="1">
        <f t="array" ref="E54" xml:space="preserve">
+IFERROR(SUM(_xlfn._xlws.FILTER(Table_ThuChiTC[Giá trị GD],
(Table_ThuChiTC[Loại GD]="THU")*
(Table_ThuChiTC[Nội dung GD]=Sheet_ThuChiTC!$F$10)*
(Table_ThuChiTC[Ngày GD]&gt;=E2)*
(Table_ThuChiTC[Ngày GD]&lt;F2)
)),0)
-IFERROR(SUM(_xlfn._xlws.FILTER(Table_ThuChiTC[Giá trị GD],
(Table_ThuChiTC[Loại GD]="CHI")*
(Table_ThuChiTC[Nội dung GD]=Sheet_ThuChiTC!$F$10)*
(Table_ThuChiTC[Ngày GD]&gt;=E2)*
(Table_ThuChiTC[Ngày GD]&lt;F2)
)),0)</f>
        <v>0</v>
      </c>
      <c r="F54" s="334" cm="1">
        <f t="array" ref="F54" xml:space="preserve">
+IFERROR(SUM(_xlfn._xlws.FILTER(Table_ThuChiTC[Giá trị GD],
(Table_ThuChiTC[Loại GD]="THU")*
(Table_ThuChiTC[Nội dung GD]=Sheet_ThuChiTC!$F$10)*
(Table_ThuChiTC[Ngày GD]&gt;=F2)*
(Table_ThuChiTC[Ngày GD]&lt;G2)
)),0)
-IFERROR(SUM(_xlfn._xlws.FILTER(Table_ThuChiTC[Giá trị GD],
(Table_ThuChiTC[Loại GD]="CHI")*
(Table_ThuChiTC[Nội dung GD]=Sheet_ThuChiTC!$F$10)*
(Table_ThuChiTC[Ngày GD]&gt;=F2)*
(Table_ThuChiTC[Ngày GD]&lt;G2)
)),0)</f>
        <v>0</v>
      </c>
      <c r="G54" s="334" cm="1">
        <f t="array" ref="G54" xml:space="preserve">
+IFERROR(SUM(_xlfn._xlws.FILTER(Table_ThuChiTC[Giá trị GD],
(Table_ThuChiTC[Loại GD]="THU")*
(Table_ThuChiTC[Nội dung GD]=Sheet_ThuChiTC!$F$10)*
(Table_ThuChiTC[Ngày GD]&gt;=G2)*
(Table_ThuChiTC[Ngày GD]&lt;H2)
)),0)
-IFERROR(SUM(_xlfn._xlws.FILTER(Table_ThuChiTC[Giá trị GD],
(Table_ThuChiTC[Loại GD]="CHI")*
(Table_ThuChiTC[Nội dung GD]=Sheet_ThuChiTC!$F$10)*
(Table_ThuChiTC[Ngày GD]&gt;=G2)*
(Table_ThuChiTC[Ngày GD]&lt;H2)
)),0)</f>
        <v>0</v>
      </c>
      <c r="H54" s="334" cm="1">
        <f t="array" ref="H54" xml:space="preserve">
+IFERROR(SUM(_xlfn._xlws.FILTER(Table_ThuChiTC[Giá trị GD],
(Table_ThuChiTC[Loại GD]="THU")*
(Table_ThuChiTC[Nội dung GD]=Sheet_ThuChiTC!$F$10)*
(Table_ThuChiTC[Ngày GD]&gt;=H2)*
(Table_ThuChiTC[Ngày GD]&lt;I2)
)),0)
-IFERROR(SUM(_xlfn._xlws.FILTER(Table_ThuChiTC[Giá trị GD],
(Table_ThuChiTC[Loại GD]="CHI")*
(Table_ThuChiTC[Nội dung GD]=Sheet_ThuChiTC!$F$10)*
(Table_ThuChiTC[Ngày GD]&gt;=H2)*
(Table_ThuChiTC[Ngày GD]&lt;I2)
)),0)</f>
        <v>0</v>
      </c>
      <c r="I54" s="334" cm="1">
        <f t="array" ref="I54" xml:space="preserve">
+IFERROR(SUM(_xlfn._xlws.FILTER(Table_ThuChiTC[Giá trị GD],
(Table_ThuChiTC[Loại GD]="THU")*
(Table_ThuChiTC[Nội dung GD]=Sheet_ThuChiTC!$F$10)*
(Table_ThuChiTC[Ngày GD]&gt;=I2)*
(Table_ThuChiTC[Ngày GD]&lt;J2)
)),0)
-IFERROR(SUM(_xlfn._xlws.FILTER(Table_ThuChiTC[Giá trị GD],
(Table_ThuChiTC[Loại GD]="CHI")*
(Table_ThuChiTC[Nội dung GD]=Sheet_ThuChiTC!$F$10)*
(Table_ThuChiTC[Ngày GD]&gt;=I2)*
(Table_ThuChiTC[Ngày GD]&lt;J2)
)),0)</f>
        <v>0</v>
      </c>
      <c r="J54" s="334" cm="1">
        <f t="array" ref="J54" xml:space="preserve">
+IFERROR(SUM(_xlfn._xlws.FILTER(Table_ThuChiTC[Giá trị GD],
(Table_ThuChiTC[Loại GD]="THU")*
(Table_ThuChiTC[Nội dung GD]=Sheet_ThuChiTC!$F$10)*
(Table_ThuChiTC[Ngày GD]&gt;=J2)*
(Table_ThuChiTC[Ngày GD]&lt;K2)
)),0)
-IFERROR(SUM(_xlfn._xlws.FILTER(Table_ThuChiTC[Giá trị GD],
(Table_ThuChiTC[Loại GD]="CHI")*
(Table_ThuChiTC[Nội dung GD]=Sheet_ThuChiTC!$F$10)*
(Table_ThuChiTC[Ngày GD]&gt;=J2)*
(Table_ThuChiTC[Ngày GD]&lt;K2)
)),0)</f>
        <v>0</v>
      </c>
      <c r="K54" s="334" cm="1">
        <f t="array" ref="K54" xml:space="preserve">
+IFERROR(SUM(_xlfn._xlws.FILTER(Table_ThuChiTC[Giá trị GD],
(Table_ThuChiTC[Loại GD]="THU")*
(Table_ThuChiTC[Nội dung GD]=Sheet_ThuChiTC!$F$10)*
(Table_ThuChiTC[Ngày GD]&gt;=K2)*
(Table_ThuChiTC[Ngày GD]&lt;L2)
)),0)
-IFERROR(SUM(_xlfn._xlws.FILTER(Table_ThuChiTC[Giá trị GD],
(Table_ThuChiTC[Loại GD]="CHI")*
(Table_ThuChiTC[Nội dung GD]=Sheet_ThuChiTC!$F$10)*
(Table_ThuChiTC[Ngày GD]&gt;=K2)*
(Table_ThuChiTC[Ngày GD]&lt;L2)
)),0)</f>
        <v>0</v>
      </c>
      <c r="L54" s="334" cm="1">
        <f t="array" ref="L54" xml:space="preserve">
+IFERROR(SUM(_xlfn._xlws.FILTER(Table_ThuChiTC[Giá trị GD],
(Table_ThuChiTC[Loại GD]="THU")*
(Table_ThuChiTC[Nội dung GD]=Sheet_ThuChiTC!$F$10)*
(Table_ThuChiTC[Ngày GD]&gt;=L2)*
(Table_ThuChiTC[Ngày GD]&lt;M2)
)),0)
-IFERROR(SUM(_xlfn._xlws.FILTER(Table_ThuChiTC[Giá trị GD],
(Table_ThuChiTC[Loại GD]="CHI")*
(Table_ThuChiTC[Nội dung GD]=Sheet_ThuChiTC!$F$10)*
(Table_ThuChiTC[Ngày GD]&gt;=L2)*
(Table_ThuChiTC[Ngày GD]&lt;M2)
)),0)</f>
        <v>0</v>
      </c>
      <c r="M54" s="334" cm="1">
        <f t="array" ref="M54" xml:space="preserve">
+IFERROR(SUM(_xlfn._xlws.FILTER(Table_ThuChiTC[Giá trị GD],
(Table_ThuChiTC[Loại GD]="THU")*
(Table_ThuChiTC[Nội dung GD]=Sheet_ThuChiTC!$F$10)*
(Table_ThuChiTC[Ngày GD]&gt;=M2)*
(Table_ThuChiTC[Ngày GD]&lt;N2)
)),0)
-IFERROR(SUM(_xlfn._xlws.FILTER(Table_ThuChiTC[Giá trị GD],
(Table_ThuChiTC[Loại GD]="CHI")*
(Table_ThuChiTC[Nội dung GD]=Sheet_ThuChiTC!$F$10)*
(Table_ThuChiTC[Ngày GD]&gt;=M2)*
(Table_ThuChiTC[Ngày GD]&lt;N2)
)),0)</f>
        <v>0</v>
      </c>
      <c r="N54" s="334" cm="1">
        <f t="array" ref="N54" xml:space="preserve">
+IFERROR(SUM(_xlfn._xlws.FILTER(Table_ThuChiTC[Giá trị GD],
(Table_ThuChiTC[Loại GD]="THU")*
(Table_ThuChiTC[Nội dung GD]=Sheet_ThuChiTC!$F$10)*
(Table_ThuChiTC[Ngày GD]&gt;=N2)*
(Table_ThuChiTC[Ngày GD]&lt;O2)
)),0)
-IFERROR(SUM(_xlfn._xlws.FILTER(Table_ThuChiTC[Giá trị GD],
(Table_ThuChiTC[Loại GD]="CHI")*
(Table_ThuChiTC[Nội dung GD]=Sheet_ThuChiTC!$F$10)*
(Table_ThuChiTC[Ngày GD]&gt;=N2)*
(Table_ThuChiTC[Ngày GD]&lt;O2)
)),0)</f>
        <v>0</v>
      </c>
      <c r="O54" s="334" cm="1">
        <f t="array" ref="O54" xml:space="preserve">
+IFERROR(SUM(_xlfn._xlws.FILTER(Table_ThuChiTC[Giá trị GD],
(Table_ThuChiTC[Loại GD]="THU")*
(Table_ThuChiTC[Nội dung GD]=Sheet_ThuChiTC!$F$10)*
(Table_ThuChiTC[Ngày GD]&gt;=O2)*
(Table_ThuChiTC[Ngày GD]&lt;P2)
)),0)
-IFERROR(SUM(_xlfn._xlws.FILTER(Table_ThuChiTC[Giá trị GD],
(Table_ThuChiTC[Loại GD]="CHI")*
(Table_ThuChiTC[Nội dung GD]=Sheet_ThuChiTC!$F$10)*
(Table_ThuChiTC[Ngày GD]&gt;=O2)*
(Table_ThuChiTC[Ngày GD]&lt;P2)
)),0)</f>
        <v>0</v>
      </c>
      <c r="P54" s="323"/>
      <c r="Q54" s="264"/>
      <c r="R54" s="73" t="s">
        <v>120</v>
      </c>
      <c r="S54" s="328" cm="1">
        <f t="array" ref="S54" xml:space="preserve">
+IFERROR(SUM(_xlfn._xlws.FILTER(Table_ThuChiTC[Giá trị GD],
(Table_ThuChiTC[Loại GD]="THU")*
(Table_ThuChiTC[Nội dung GD]="Cổ tức, lợi nhuận đã trả cho chú sở hữu")*
(Table_ThuChiTC[Ngày GD]&gt;=DATE(S$1,1,1))*
(Table_ThuChiTC[Ngày GD]&lt;DATE(S$1+1,1,1))
)),0)
-IFERROR(SUM(_xlfn._xlws.FILTER(Table_ThuChiTC[Giá trị GD],
(Table_ThuChiTC[Loại GD]="CHI")*
(Table_ThuChiTC[Nội dung GD]="Cổ tức, lợi nhuận đã trả cho chú sở hữu")*
(Table_ThuChiTC[Ngày GD]&gt;=DATE(S$1,1,1))*
(Table_ThuChiTC[Ngày GD]&lt;DATE(S$1+1,1,1))
)),0)</f>
        <v>0</v>
      </c>
      <c r="T54" s="264"/>
      <c r="U54" s="73" t="s">
        <v>120</v>
      </c>
      <c r="V54" s="334" cm="1">
        <f t="array" ref="V54" xml:space="preserve">
+IFERROR(SUM(_xlfn._xlws.FILTER(Table_ThuChiTC[Giá trị GD],
(Table_ThuChiTC[Loại GD]="THU")*
(Table_ThuChiTC[Nội dung GD]="Cổ tức, lợi nhuận đã trả cho chú sở hữu")*
(Table_ThuChiTC[Ngày GD]&gt;=V$1)*
(Table_ThuChiTC[Ngày GD]&lt;DATE(YEAR(V$1),MONTH(V$1)+1,1))
)),0)
-IFERROR(SUM(_xlfn._xlws.FILTER(Table_ThuChiTC[Giá trị GD],
(Table_ThuChiTC[Loại GD]="CHI")*
(Table_ThuChiTC[Nội dung GD]="Cổ tức, lợi nhuận đã trả cho chú sở hữu")*
(Table_ThuChiTC[Ngày GD]&gt;=V$1)*
(Table_ThuChiTC[Ngày GD]&lt;DATE(YEAR(V$1),MONTH(V$1)+1,1))
)),0)</f>
        <v>0</v>
      </c>
    </row>
    <row r="55" spans="2:22" ht="18" customHeight="1" outlineLevel="1" x14ac:dyDescent="0.3">
      <c r="B55" s="87" t="s">
        <v>319</v>
      </c>
      <c r="C55" s="331" cm="1">
        <f t="array" ref="C55">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+C46+SUM(C49:C51)+SUM(C44:C45)+C54</f>
        <v>0</v>
      </c>
      <c r="D55" s="331" cm="1">
        <f t="array" ref="D55" xml:space="preserve">
Sheet_BaoCaoTaiChinh!$D$74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+SUM($D$46:D46)+SUM($D$49:D51)+SUM($D$44:D45)+SUM($D$54:D54)</f>
        <v>0</v>
      </c>
      <c r="E55" s="331" cm="1">
        <f t="array" ref="E55" xml:space="preserve">
Sheet_BaoCaoTaiChinh!$D$74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+SUM($D$46:E46)+SUM($D$49:E51)+SUM($D$44:E45)+SUM($D$54:E54)</f>
        <v>0</v>
      </c>
      <c r="F55" s="331" cm="1">
        <f t="array" ref="F55" xml:space="preserve">
Sheet_BaoCaoTaiChinh!$D$74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+SUM($D$46:F46)+SUM($D$49:F51)+SUM($D$44:F45)+SUM($D$54:F54)</f>
        <v>0</v>
      </c>
      <c r="G55" s="331" cm="1">
        <f t="array" ref="G55" xml:space="preserve">
Sheet_BaoCaoTaiChinh!$D$74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+SUM($D$46:G46)+SUM($D$49:G51)+SUM($D$44:G45)+SUM($D$54:G54)</f>
        <v>0</v>
      </c>
      <c r="H55" s="331" cm="1">
        <f t="array" ref="H55" xml:space="preserve">
Sheet_BaoCaoTaiChinh!$D$74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+SUM($D$46:H46)+SUM($D$49:H51)+SUM($D$44:H45)+SUM($D$54:H54)</f>
        <v>0</v>
      </c>
      <c r="I55" s="331" cm="1">
        <f t="array" ref="I55" xml:space="preserve">
Sheet_BaoCaoTaiChinh!$D$74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+SUM($D$46:I46)+SUM($D$49:I51)+SUM($D$44:I45)+SUM($D$54:I54)</f>
        <v>0</v>
      </c>
      <c r="J55" s="331" cm="1">
        <f t="array" ref="J55" xml:space="preserve">
Sheet_BaoCaoTaiChinh!$D$74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+SUM($D$46:J46)+SUM($D$49:J51)+SUM($D$44:J45)+SUM($D$54:J54)</f>
        <v>0</v>
      </c>
      <c r="K55" s="331" cm="1">
        <f t="array" ref="K55" xml:space="preserve">
Sheet_BaoCaoTaiChinh!$D$74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+SUM($D$46:K46)+SUM($D$49:K51)+SUM($D$44:K45)+SUM($D$54:K54)</f>
        <v>0</v>
      </c>
      <c r="L55" s="331" cm="1">
        <f t="array" ref="L55" xml:space="preserve">
Sheet_BaoCaoTaiChinh!$D$74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+SUM($D$46:L46)+SUM($D$49:L51)+SUM($D$44:L45)+SUM($D$54:L54)</f>
        <v>0</v>
      </c>
      <c r="M55" s="331" cm="1">
        <f t="array" ref="M55" xml:space="preserve">
Sheet_BaoCaoTaiChinh!$D$74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+SUM($D$46:M46)+SUM($D$49:M51)+SUM($D$44:M45)+SUM($D$54:M54)</f>
        <v>0</v>
      </c>
      <c r="N55" s="331" cm="1">
        <f t="array" ref="N55" xml:space="preserve">
Sheet_BaoCaoTaiChinh!$D$74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+SUM($D$46:N46)+SUM($D$49:N51)+SUM($D$44:N45)+SUM($D$54:N54)</f>
        <v>0</v>
      </c>
      <c r="O55" s="331" cm="1">
        <f t="array" ref="O55" xml:space="preserve">
Sheet_BaoCaoTaiChinh!$D$74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+SUM($D$46:O46)+SUM($D$49:O51)+SUM($D$44:O45)+SUM($D$54:O54)</f>
        <v>0</v>
      </c>
      <c r="P55" s="323"/>
      <c r="Q55" s="240"/>
      <c r="R55" s="87" t="s">
        <v>319</v>
      </c>
      <c r="S55" s="331" cm="1">
        <f t="array" ref="S55">Sheet_BaoCaoTaiChinh!$D$74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)),0)+S46+SUM(S49:S51)+SUM(S44:S45)+S54</f>
        <v>0</v>
      </c>
      <c r="T55" s="240"/>
      <c r="U55" s="87" t="s">
        <v>319</v>
      </c>
      <c r="V55" s="331" cm="1">
        <f t="array" ref="V55" xml:space="preserve">
Sheet_BaoCaoTaiChinh!$D$74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+V46+SUM(V49:V51)+SUM(V44:V45)+V54</f>
        <v>0</v>
      </c>
    </row>
    <row r="56" spans="2:22" ht="18" customHeight="1" x14ac:dyDescent="0.3">
      <c r="Q56" s="240"/>
      <c r="T56" s="240"/>
    </row>
  </sheetData>
  <sheetProtection algorithmName="SHA-512" hashValue="RJJqBMozMn2AU4euHR9wYCj/mH8yrKc4BAZg5DCLYI+aYO89AfkI3+kCXwP19GTDQSJL01zv+XjdBP+QoCeu5w==" saltValue="Buc8z1oB/Rer1p+eM/7DEg==" spinCount="100000" sheet="1" scenarios="1" formatCells="0" formatColumns="0" formatRows="0" insertColumns="0" insertRows="0" deleteColumns="0" deleteRows="0" sort="0" autoFilter="0" pivotTables="0"/>
  <protectedRanges>
    <protectedRange sqref="B11 B20 B8 R20 R8 S3:S4 U20 U8 R11 U11 V3:V4 V9 C52 S18:S20 V18:V20 S30 V30 S35:S36 V35:V36 S40 V40 S42 V42 S46 V46 S52 S32 V32 P3:P55" name="Range1_63"/>
    <protectedRange sqref="D18:O18 B6:B7 C21:C29 C5 C9 R6:R7 U6:U7 U3:U4 B55 B3:C4 R3:R4 U38:U39 U32 U41:U42 R41:R42 R46 U55 R55 R30 B38:B39 B32 C43:C45 B41:B42 C50:C51 B46 B30 U30 U46 R38:R39 R32 S5 V5 S9 S13 D15:O15 S15:S16 V15:V16 S43:S45 S50:S51 C53:C54 S53:S54 C12:C13 C15:C18 S21:S29" name="Range1_63_63_1"/>
    <protectedRange sqref="B18 C19:O19 R5 U18 R18 U5 R53 U48 U53 B48 B53 R48 C10:O10 S10 V10" name="Range1_5_1_3_1_2"/>
    <protectedRange sqref="B16 R16 U16" name="Range1_5_1"/>
    <protectedRange sqref="B5" name="Range1_5"/>
    <protectedRange sqref="B9 R9 U9" name="Range1_5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Option Button 1">
              <controlPr defaultSize="0" autoFill="0" autoLine="0" autoPict="0" macro="[0]!DoiDonViHienThi">
                <anchor moveWithCells="1">
                  <from>
                    <xdr:col>1</xdr:col>
                    <xdr:colOff>171450</xdr:colOff>
                    <xdr:row>0</xdr:row>
                    <xdr:rowOff>152400</xdr:rowOff>
                  </from>
                  <to>
                    <xdr:col>1</xdr:col>
                    <xdr:colOff>762000</xdr:colOff>
                    <xdr:row>1</xdr:row>
                    <xdr:rowOff>200025</xdr:rowOff>
                  </to>
                </anchor>
              </controlPr>
            </control>
          </mc:Choice>
        </mc:AlternateContent>
        <mc:AlternateContent xmlns:mc="http://schemas.openxmlformats.org/markup-compatibility/2006">
          <mc:Choice Requires="x14">
            <control shapeId="51202" r:id="rId4" name="Option Button 2">
              <controlPr defaultSize="0" autoFill="0" autoLine="0" autoPict="0" macro="[0]!DoiDonViHienThi">
                <anchor moveWithCells="1">
                  <from>
                    <xdr:col>1</xdr:col>
                    <xdr:colOff>638175</xdr:colOff>
                    <xdr:row>0</xdr:row>
                    <xdr:rowOff>152400</xdr:rowOff>
                  </from>
                  <to>
                    <xdr:col>1</xdr:col>
                    <xdr:colOff>1228725</xdr:colOff>
                    <xdr:row>1</xdr:row>
                    <xdr:rowOff>200025</xdr:rowOff>
                  </to>
                </anchor>
              </controlPr>
            </control>
          </mc:Choice>
        </mc:AlternateContent>
        <mc:AlternateContent xmlns:mc="http://schemas.openxmlformats.org/markup-compatibility/2006">
          <mc:Choice Requires="x14">
            <control shapeId="51203" r:id="rId5" name="Option Button 3">
              <controlPr defaultSize="0" autoFill="0" autoLine="0" autoPict="0" macro="[0]!DoiDonViHienThi">
                <anchor moveWithCells="1">
                  <from>
                    <xdr:col>1</xdr:col>
                    <xdr:colOff>1104900</xdr:colOff>
                    <xdr:row>0</xdr:row>
                    <xdr:rowOff>152400</xdr:rowOff>
                  </from>
                  <to>
                    <xdr:col>1</xdr:col>
                    <xdr:colOff>1695450</xdr:colOff>
                    <xdr:row>1</xdr:row>
                    <xdr:rowOff>200025</xdr:rowOff>
                  </to>
                </anchor>
              </controlPr>
            </control>
          </mc:Choice>
        </mc:AlternateContent>
        <mc:AlternateContent xmlns:mc="http://schemas.openxmlformats.org/markup-compatibility/2006">
          <mc:Choice Requires="x14">
            <control shapeId="51204" r:id="rId6" name="Option Button 4">
              <controlPr defaultSize="0" autoFill="0" autoLine="0" autoPict="0" macro="[0]!DoiDonViHienThi">
                <anchor moveWithCells="1">
                  <from>
                    <xdr:col>1</xdr:col>
                    <xdr:colOff>1581150</xdr:colOff>
                    <xdr:row>0</xdr:row>
                    <xdr:rowOff>152400</xdr:rowOff>
                  </from>
                  <to>
                    <xdr:col>1</xdr:col>
                    <xdr:colOff>1933575</xdr:colOff>
                    <xdr:row>1</xdr:row>
                    <xdr:rowOff>200025</xdr:rowOff>
                  </to>
                </anchor>
              </controlPr>
            </control>
          </mc:Choice>
        </mc:AlternateContent>
        <mc:AlternateContent xmlns:mc="http://schemas.openxmlformats.org/markup-compatibility/2006">
          <mc:Choice Requires="x14">
            <control shapeId="51205" r:id="rId7" name="Group Box 5">
              <controlPr defaultSize="0" autoFill="0" autoPict="0">
                <anchor moveWithCells="1">
                  <from>
                    <xdr:col>1</xdr:col>
                    <xdr:colOff>57150</xdr:colOff>
                    <xdr:row>0</xdr:row>
                    <xdr:rowOff>104775</xdr:rowOff>
                  </from>
                  <to>
                    <xdr:col>1</xdr:col>
                    <xdr:colOff>2047875</xdr:colOff>
                    <xdr:row>2</xdr:row>
                    <xdr:rowOff>9525</xdr:rowOff>
                  </to>
                </anchor>
              </controlPr>
            </control>
          </mc:Choice>
        </mc:AlternateContent>
        <mc:AlternateContent xmlns:mc="http://schemas.openxmlformats.org/markup-compatibility/2006">
          <mc:Choice Requires="x14">
            <control shapeId="51206" r:id="rId8" name="Button 6">
              <controlPr defaultSize="0" print="0" autoFill="0" autoPict="0" macro="[0]!AddColumn">
                <anchor moveWithCells="1" sizeWithCells="1">
                  <from>
                    <xdr:col>18</xdr:col>
                    <xdr:colOff>314325</xdr:colOff>
                    <xdr:row>0</xdr:row>
                    <xdr:rowOff>47625</xdr:rowOff>
                  </from>
                  <to>
                    <xdr:col>18</xdr:col>
                    <xdr:colOff>676275</xdr:colOff>
                    <xdr:row>1</xdr:row>
                    <xdr:rowOff>76200</xdr:rowOff>
                  </to>
                </anchor>
              </controlPr>
            </control>
          </mc:Choice>
        </mc:AlternateContent>
        <mc:AlternateContent xmlns:mc="http://schemas.openxmlformats.org/markup-compatibility/2006">
          <mc:Choice Requires="x14">
            <control shapeId="51207" r:id="rId9" name="Button 7">
              <controlPr defaultSize="0" print="0" autoFill="0" autoPict="0" macro="[0]!DeleteColumn">
                <anchor moveWithCells="1" sizeWithCells="1">
                  <from>
                    <xdr:col>19</xdr:col>
                    <xdr:colOff>38100</xdr:colOff>
                    <xdr:row>0</xdr:row>
                    <xdr:rowOff>47625</xdr:rowOff>
                  </from>
                  <to>
                    <xdr:col>19</xdr:col>
                    <xdr:colOff>400050</xdr:colOff>
                    <xdr:row>1</xdr:row>
                    <xdr:rowOff>76200</xdr:rowOff>
                  </to>
                </anchor>
              </controlPr>
            </control>
          </mc:Choice>
        </mc:AlternateContent>
        <mc:AlternateContent xmlns:mc="http://schemas.openxmlformats.org/markup-compatibility/2006">
          <mc:Choice Requires="x14">
            <control shapeId="51208" r:id="rId10" name="Button 8">
              <controlPr defaultSize="0" print="0" autoFill="0" autoPict="0" macro="[0]!AddColumn">
                <anchor moveWithCells="1" sizeWithCells="1">
                  <from>
                    <xdr:col>21</xdr:col>
                    <xdr:colOff>133350</xdr:colOff>
                    <xdr:row>0</xdr:row>
                    <xdr:rowOff>66675</xdr:rowOff>
                  </from>
                  <to>
                    <xdr:col>21</xdr:col>
                    <xdr:colOff>495300</xdr:colOff>
                    <xdr:row>1</xdr:row>
                    <xdr:rowOff>95250</xdr:rowOff>
                  </to>
                </anchor>
              </controlPr>
            </control>
          </mc:Choice>
        </mc:AlternateContent>
        <mc:AlternateContent xmlns:mc="http://schemas.openxmlformats.org/markup-compatibility/2006">
          <mc:Choice Requires="x14">
            <control shapeId="51209" r:id="rId11" name="Button 9">
              <controlPr defaultSize="0" print="0" autoFill="0" autoPict="0" macro="[0]!DeleteColumn">
                <anchor moveWithCells="1" sizeWithCells="1">
                  <from>
                    <xdr:col>21</xdr:col>
                    <xdr:colOff>542925</xdr:colOff>
                    <xdr:row>0</xdr:row>
                    <xdr:rowOff>66675</xdr:rowOff>
                  </from>
                  <to>
                    <xdr:col>22</xdr:col>
                    <xdr:colOff>133350</xdr:colOff>
                    <xdr:row>1</xdr:row>
                    <xdr:rowOff>95250</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6" id="{68CFA04E-B687-4E63-B187-213D0E1182F4}">
            <xm:f>Security!$A$1="NO VBA"</xm:f>
            <x14:dxf>
              <font>
                <color theme="0"/>
              </font>
              <border>
                <vertical/>
                <horizontal/>
              </border>
            </x14:dxf>
          </x14:cfRule>
          <xm:sqref>A1:XFD1 A2:R2 R3 A56:XFD56 W2:XFD55 A57:Q109 T57:XFD109 A110:XFD110 A164:XFD1048576 A111:T163 W111:XFD163 A3:Q8 R4:S8 T3:V8 A9 C9:Q9 A10:V55 S9:T9 V9</xm:sqref>
        </x14:conditionalFormatting>
        <x14:conditionalFormatting xmlns:xm="http://schemas.microsoft.com/office/excel/2006/main">
          <x14:cfRule type="expression" priority="5" id="{05A3F894-79ED-4987-AE78-0220D43CF028}">
            <xm:f>Security!$A$1="NO VBA"</xm:f>
            <x14:dxf>
              <font>
                <color theme="0"/>
              </font>
              <border>
                <vertical/>
                <horizontal/>
              </border>
            </x14:dxf>
          </x14:cfRule>
          <xm:sqref>V3</xm:sqref>
        </x14:conditionalFormatting>
        <x14:conditionalFormatting xmlns:xm="http://schemas.microsoft.com/office/excel/2006/main">
          <x14:cfRule type="expression" priority="4" id="{0A031C81-4776-435C-B6B9-5C1B51BF690D}">
            <xm:f>Security!$A$1="NO VBA"</xm:f>
            <x14:dxf>
              <font>
                <color theme="0"/>
              </font>
              <border>
                <vertical/>
                <horizontal/>
              </border>
            </x14:dxf>
          </x14:cfRule>
          <xm:sqref>S3</xm:sqref>
        </x14:conditionalFormatting>
        <x14:conditionalFormatting xmlns:xm="http://schemas.microsoft.com/office/excel/2006/main">
          <x14:cfRule type="expression" priority="3" id="{0BE5C1D6-139D-45F4-A9CE-D1E3A970397C}">
            <xm:f>Security!$A$1="NO VBA"</xm:f>
            <x14:dxf>
              <font>
                <color theme="0"/>
              </font>
              <border>
                <vertical/>
                <horizontal/>
              </border>
            </x14:dxf>
          </x14:cfRule>
          <xm:sqref>B9</xm:sqref>
        </x14:conditionalFormatting>
        <x14:conditionalFormatting xmlns:xm="http://schemas.microsoft.com/office/excel/2006/main">
          <x14:cfRule type="expression" priority="2" id="{7DF58CAD-7A57-4925-BC0B-8D1FD2E30366}">
            <xm:f>Security!$A$1="NO VBA"</xm:f>
            <x14:dxf>
              <font>
                <color theme="0"/>
              </font>
              <border>
                <vertical/>
                <horizontal/>
              </border>
            </x14:dxf>
          </x14:cfRule>
          <xm:sqref>R9</xm:sqref>
        </x14:conditionalFormatting>
        <x14:conditionalFormatting xmlns:xm="http://schemas.microsoft.com/office/excel/2006/main">
          <x14:cfRule type="expression" priority="1" id="{DC8A11C8-2C3C-4FED-98C1-E492772931A7}">
            <xm:f>Security!$A$1="NO VBA"</xm:f>
            <x14:dxf>
              <font>
                <color theme="0"/>
              </font>
              <border>
                <vertical/>
                <horizontal/>
              </border>
            </x14:dxf>
          </x14:cfRule>
          <xm:sqref>U9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M496"/>
  <sheetViews>
    <sheetView showGridLines="0" zoomScaleNormal="100" workbookViewId="0">
      <selection activeCell="C7" sqref="C7"/>
    </sheetView>
  </sheetViews>
  <sheetFormatPr defaultRowHeight="18" customHeight="1" outlineLevelRow="4" outlineLevelCol="1" x14ac:dyDescent="0.15"/>
  <cols>
    <col min="1" max="1" width="9.625" style="7" customWidth="1"/>
    <col min="2" max="2" width="9.25" style="15" bestFit="1" customWidth="1"/>
    <col min="3" max="3" width="40.125" style="7" bestFit="1" customWidth="1"/>
    <col min="4" max="4" width="9.75" style="44" customWidth="1" outlineLevel="1"/>
    <col min="5" max="5" width="18.375" style="15" customWidth="1"/>
    <col min="6" max="6" width="15.625" style="15" bestFit="1" customWidth="1"/>
    <col min="7" max="7" width="1.625" style="15" customWidth="1"/>
    <col min="8" max="8" width="7.75" style="7" customWidth="1"/>
    <col min="9" max="9" width="41.625" style="44" bestFit="1" customWidth="1"/>
    <col min="10" max="10" width="11.5" style="44" customWidth="1"/>
    <col min="11" max="11" width="12.625" style="44" customWidth="1"/>
    <col min="12" max="12" width="1.625" style="15" customWidth="1"/>
    <col min="13" max="13" width="6.375" style="7" customWidth="1"/>
    <col min="14" max="14" width="36.5" style="44" customWidth="1"/>
    <col min="15" max="15" width="9.625" style="44" customWidth="1"/>
    <col min="16" max="38" width="12.625" style="44" customWidth="1"/>
    <col min="39" max="39" width="12.625" style="15" customWidth="1"/>
    <col min="40" max="40" width="12.625" style="7" customWidth="1"/>
    <col min="41" max="16384" width="9" style="7"/>
  </cols>
  <sheetData>
    <row r="1" spans="1:39" ht="18" customHeight="1" x14ac:dyDescent="0.15">
      <c r="A1" s="240"/>
      <c r="B1" s="242"/>
      <c r="C1" s="41" t="s">
        <v>354</v>
      </c>
      <c r="D1" s="263"/>
      <c r="E1" s="348"/>
      <c r="F1" s="348"/>
      <c r="G1" s="242"/>
      <c r="H1" s="240"/>
      <c r="I1" s="240"/>
      <c r="J1" s="348"/>
      <c r="K1" s="348"/>
      <c r="L1" s="242"/>
      <c r="M1" s="240"/>
      <c r="N1" s="240"/>
      <c r="O1" s="347"/>
      <c r="P1" s="347"/>
      <c r="Q1" s="240"/>
      <c r="R1" s="240"/>
      <c r="S1" s="240"/>
      <c r="T1" s="240"/>
      <c r="U1" s="240"/>
      <c r="V1" s="240"/>
      <c r="W1" s="240"/>
      <c r="X1" s="240"/>
      <c r="Y1" s="240"/>
      <c r="Z1" s="240"/>
      <c r="AA1" s="240"/>
      <c r="AB1" s="240"/>
      <c r="AC1" s="240"/>
      <c r="AD1" s="240"/>
      <c r="AE1" s="240"/>
      <c r="AF1" s="240"/>
      <c r="AG1" s="240"/>
      <c r="AH1" s="240"/>
      <c r="AI1" s="240"/>
      <c r="AJ1" s="240"/>
      <c r="AK1" s="240"/>
      <c r="AL1" s="240"/>
      <c r="AM1" s="240"/>
    </row>
    <row r="2" spans="1:39" ht="18" customHeight="1" x14ac:dyDescent="0.3">
      <c r="A2" s="240"/>
      <c r="B2" s="242"/>
      <c r="C2" s="7" t="s">
        <v>879</v>
      </c>
      <c r="D2" s="453">
        <v>45915</v>
      </c>
      <c r="E2" s="349">
        <f>+E73+E86-E97-E111</f>
        <v>-4050000000</v>
      </c>
      <c r="F2" s="349">
        <f>+F73+F86-F97-F111</f>
        <v>-4050000000</v>
      </c>
      <c r="G2" s="242"/>
      <c r="H2" s="240"/>
      <c r="I2" s="240"/>
      <c r="J2" s="240"/>
      <c r="K2" s="240"/>
      <c r="L2" s="242"/>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row>
    <row r="3" spans="1:39" ht="18" customHeight="1" x14ac:dyDescent="0.3">
      <c r="A3" s="240"/>
      <c r="B3" s="3" t="s">
        <v>355</v>
      </c>
      <c r="C3" s="4" t="s">
        <v>874</v>
      </c>
      <c r="D3" s="12" t="s">
        <v>356</v>
      </c>
      <c r="E3" s="3" t="s">
        <v>357</v>
      </c>
      <c r="F3" s="4" t="s">
        <v>358</v>
      </c>
      <c r="G3" s="350"/>
      <c r="H3" s="3" t="s">
        <v>355</v>
      </c>
      <c r="I3" s="4" t="s">
        <v>874</v>
      </c>
      <c r="J3" s="4" t="s">
        <v>891</v>
      </c>
      <c r="K3" s="4" t="s">
        <v>873</v>
      </c>
      <c r="L3" s="242"/>
      <c r="M3" s="3" t="s">
        <v>355</v>
      </c>
      <c r="N3" s="4" t="s">
        <v>874</v>
      </c>
      <c r="O3" s="4" t="s">
        <v>892</v>
      </c>
      <c r="P3" s="4" t="s">
        <v>873</v>
      </c>
      <c r="Q3" s="240"/>
      <c r="R3" s="240"/>
      <c r="S3" s="240"/>
      <c r="T3" s="240"/>
      <c r="U3" s="240"/>
      <c r="V3" s="240"/>
      <c r="W3" s="240"/>
      <c r="X3" s="240"/>
      <c r="Y3" s="240"/>
      <c r="Z3" s="240"/>
      <c r="AA3" s="240"/>
      <c r="AB3" s="240"/>
      <c r="AC3" s="240"/>
      <c r="AD3" s="240"/>
      <c r="AE3" s="240"/>
      <c r="AF3" s="240"/>
      <c r="AG3" s="240"/>
      <c r="AH3" s="240"/>
      <c r="AI3" s="240"/>
      <c r="AJ3" s="240"/>
      <c r="AK3" s="240"/>
      <c r="AL3" s="240"/>
      <c r="AM3" s="240"/>
    </row>
    <row r="4" spans="1:39" s="69" customFormat="1" ht="18" customHeight="1" x14ac:dyDescent="0.3">
      <c r="A4" s="240">
        <f>+A3+1</f>
        <v>1</v>
      </c>
      <c r="B4" s="351"/>
      <c r="C4" s="74" t="s">
        <v>359</v>
      </c>
      <c r="D4" s="350"/>
      <c r="E4" s="75" t="str">
        <f>CONCATENATE(BCTC_Nam, " / Đầu kỳ")</f>
        <v xml:space="preserve"> / Đầu kỳ</v>
      </c>
      <c r="F4" s="76" t="str">
        <f>CONCATENATE(BCTC_Thang,"-",BCTC_Nam, " / Cuối kỳ")</f>
        <v>- / Cuối kỳ</v>
      </c>
      <c r="G4" s="352"/>
      <c r="H4" s="351"/>
      <c r="I4" s="74" t="s">
        <v>359</v>
      </c>
      <c r="J4" s="353"/>
      <c r="K4" s="353">
        <f>K$1</f>
        <v>0</v>
      </c>
      <c r="L4" s="354"/>
      <c r="M4" s="351"/>
      <c r="N4" s="74" t="s">
        <v>359</v>
      </c>
      <c r="O4" s="353"/>
      <c r="P4" s="76">
        <f>P$1</f>
        <v>0</v>
      </c>
      <c r="Q4" s="354"/>
      <c r="R4" s="354"/>
      <c r="S4" s="354"/>
      <c r="T4" s="354"/>
      <c r="U4" s="354"/>
      <c r="V4" s="354"/>
      <c r="W4" s="354"/>
      <c r="X4" s="354"/>
      <c r="Y4" s="354"/>
      <c r="Z4" s="354"/>
      <c r="AA4" s="354"/>
      <c r="AB4" s="354"/>
      <c r="AC4" s="354"/>
      <c r="AD4" s="354"/>
      <c r="AE4" s="354"/>
      <c r="AF4" s="354"/>
      <c r="AG4" s="354"/>
      <c r="AH4" s="354"/>
      <c r="AI4" s="354"/>
      <c r="AJ4" s="354"/>
      <c r="AK4" s="354"/>
      <c r="AL4" s="354"/>
      <c r="AM4" s="354"/>
    </row>
    <row r="5" spans="1:39" ht="18" customHeight="1" x14ac:dyDescent="0.15">
      <c r="A5" s="240">
        <f t="shared" ref="A5:A68" si="0">+A4+1</f>
        <v>2</v>
      </c>
      <c r="B5" s="260"/>
      <c r="C5" s="74" t="s">
        <v>360</v>
      </c>
      <c r="D5" s="263"/>
      <c r="E5" s="355"/>
      <c r="F5" s="355"/>
      <c r="G5" s="240"/>
      <c r="H5" s="356"/>
      <c r="I5" s="74" t="s">
        <v>360</v>
      </c>
      <c r="J5" s="355"/>
      <c r="K5" s="355"/>
      <c r="L5" s="240"/>
      <c r="M5" s="356"/>
      <c r="N5" s="74" t="s">
        <v>360</v>
      </c>
      <c r="O5" s="355"/>
      <c r="P5" s="355"/>
      <c r="Q5" s="240"/>
      <c r="R5" s="240"/>
      <c r="S5" s="240"/>
      <c r="T5" s="240"/>
      <c r="U5" s="240"/>
      <c r="V5" s="240"/>
      <c r="W5" s="240"/>
      <c r="X5" s="240"/>
      <c r="Y5" s="240"/>
      <c r="Z5" s="240"/>
      <c r="AA5" s="240"/>
      <c r="AB5" s="240"/>
      <c r="AC5" s="240"/>
      <c r="AD5" s="240"/>
      <c r="AE5" s="240"/>
      <c r="AF5" s="240"/>
      <c r="AG5" s="240"/>
      <c r="AH5" s="240"/>
      <c r="AI5" s="240"/>
      <c r="AJ5" s="240"/>
      <c r="AK5" s="240"/>
      <c r="AL5" s="240"/>
      <c r="AM5" s="240"/>
    </row>
    <row r="6" spans="1:39" s="53" customFormat="1" ht="18" customHeight="1" outlineLevel="1" x14ac:dyDescent="0.3">
      <c r="A6" s="240">
        <f t="shared" si="0"/>
        <v>3</v>
      </c>
      <c r="B6" s="357"/>
      <c r="C6" s="72" t="s">
        <v>73</v>
      </c>
      <c r="D6" s="358"/>
      <c r="E6" s="359" cm="1">
        <f t="array" ref="E6">+IFERROR(SUM(
_xlfn._xlws.FILTER(Table_Main[Số lượng],
NOT(ISBLANK(Table_Main[Đơn bán]))*
(Table_Main[Loại] = "Xuất")*
(Table_Main[Ngày lên đơn] &gt;= DATE(BCTC_Nam, 1, 1))*
(Table_Main[Ngày lên đơn] &lt; DATE(BCTC_Nam+1, 1, 1))
)),0)
-IFERROR(SUM(
_xlfn._xlws.FILTER(Table_Main[Số lượng],
NOT(ISBLANK(Table_Main[Đơn bán]))*
(Table_Main[Loại] = "Nhập")*
(Table_Main[Ngày lên đơn] &gt;= DATE(BCTC_Nam, 1, 1))*
(Table_Main[Ngày lên đơn] &lt; DATE(BCTC_Nam+1, 1, 1))
)),0)</f>
        <v>0</v>
      </c>
      <c r="F6" s="360" cm="1">
        <f t="array" ref="F6">+IFERROR(SUM(
_xlfn._xlws.FILTER(Table_Main[Số lượng],
(NOT(ISBLANK(Table_Main[Đơn bán])))*
(Table_Main[Loại] = "Xuất")*
(Table_Main[Ngày lên đơn] &gt;= DATE(BCTC_Nam, BCTC_Thang, 1))*
(Table_Main[Ngày lên đơn] &lt; DATE(BCTC_Nam, BCTC_Thang+1, 1))
)),0)
-IFERROR(SUM(
_xlfn._xlws.FILTER(Table_Main[Số lượng],
(NOT(ISBLANK(Table_Main[Đơn bán])))*
(Table_Main[Loại] = "Nhập")*
(Table_Main[Ngày lên đơn] &gt;= DATE(BCTC_Nam, BCTC_Thang, 1))*
(Table_Main[Ngày lên đơn] &lt; DATE(BCTC_Nam, BCTC_Thang+1, 1))
)),0)</f>
        <v>0</v>
      </c>
      <c r="G6" s="359"/>
      <c r="H6" s="357"/>
      <c r="I6" s="72" t="s">
        <v>73</v>
      </c>
      <c r="J6" s="359" cm="1">
        <f t="array" ref="J6">+IFERROR(SUM(
_xlfn._xlws.FILTER(Table_Main[Số lượng],
NOT(ISBLANK(Table_Main[Đơn bán]))*
(Table_Main[Loại] = "Xuất")*
(Table_Main[Ngày lên đơn] &gt;= DATE(J$1, 1, 1))*
(Table_Main[Ngày lên đơn] &lt; DATE(J$1+1, 1, 1))
)),0)
-IFERROR(SUM(
_xlfn._xlws.FILTER(Table_Main[Số lượng],
NOT(ISBLANK(Table_Main[Đơn bán]))*
(Table_Main[Loại] = "Nhập")*
(Table_Main[Ngày lên đơn] &gt;= DATE(J$1, 1, 1))*
(Table_Main[Ngày lên đơn] &lt; DATE(J$1+1, 1, 1))
)),0)</f>
        <v>0</v>
      </c>
      <c r="K6" s="359" cm="1">
        <f t="array" ref="K6">+IFERROR(SUM(
_xlfn._xlws.FILTER(Table_Main[Số lượng],
NOT(ISBLANK(Table_Main[Đơn bán]))*
(Table_Main[Loại] = "Xuất")*
(Table_Main[Ngày lên đơn] &gt;= DATE(K$1, 1, 1))*
(Table_Main[Ngày lên đơn] &lt; DATE(K$1+1, 1, 1))
)),0)
-IFERROR(SUM(
_xlfn._xlws.FILTER(Table_Main[Số lượng],
NOT(ISBLANK(Table_Main[Đơn bán]))*
(Table_Main[Loại] = "Nhập")*
(Table_Main[Ngày lên đơn] &gt;= DATE(K$1, 1, 1))*
(Table_Main[Ngày lên đơn] &lt; DATE(K$1+1, 1, 1))
)),0)</f>
        <v>0</v>
      </c>
      <c r="L6" s="262"/>
      <c r="M6" s="357"/>
      <c r="N6" s="72" t="s">
        <v>73</v>
      </c>
      <c r="O6" s="360" cm="1">
        <f t="array" ref="O6">+IFERROR(SUM(
_xlfn._xlws.FILTER(Table_Main[Số lượng],
(NOT(ISBLANK(Table_Main[Đơn bán])))*
(Table_Main[Loại] = "Xuất")*
(Table_Main[Ngày lên đơn] &gt;= O$1)*
(Table_Main[Ngày lên đơn] &lt; DATE(YEAR(O$1),MONTH(O$1)+1, 1))
)),0)
-IFERROR(SUM(
_xlfn._xlws.FILTER(Table_Main[Số lượng],
(NOT(ISBLANK(Table_Main[Đơn bán])))*
(Table_Main[Loại] = "Nhập")*
(Table_Main[Ngày lên đơn] &gt;= O$1)*
(Table_Main[Ngày lên đơn] &lt; DATE(YEAR(O$1),MONTH(O$1)+1, 1))
)),0)</f>
        <v>0</v>
      </c>
      <c r="P6" s="360" cm="1">
        <f t="array" ref="P6">+IFERROR(SUM(
_xlfn._xlws.FILTER(Table_Main[Số lượng],
(NOT(ISBLANK(Table_Main[Đơn bán])))*
(Table_Main[Loại] = "Xuất")*
(Table_Main[Ngày lên đơn] &gt;= P$1)*
(Table_Main[Ngày lên đơn] &lt; DATE(YEAR(P$1),MONTH(P$1)+1, 1))
)),0)
-IFERROR(SUM(
_xlfn._xlws.FILTER(Table_Main[Số lượng],
(NOT(ISBLANK(Table_Main[Đơn bán])))*
(Table_Main[Loại] = "Nhập")*
(Table_Main[Ngày lên đơn] &gt;= P$1)*
(Table_Main[Ngày lên đơn] &lt; DATE(YEAR(P$1),MONTH(P$1)+1, 1))
)),0)</f>
        <v>0</v>
      </c>
      <c r="Q6" s="262"/>
      <c r="R6" s="262"/>
      <c r="S6" s="262"/>
      <c r="T6" s="262"/>
      <c r="U6" s="262"/>
      <c r="V6" s="262"/>
      <c r="W6" s="262"/>
      <c r="X6" s="262"/>
      <c r="Y6" s="262"/>
      <c r="Z6" s="262"/>
      <c r="AA6" s="262"/>
      <c r="AB6" s="262"/>
      <c r="AC6" s="262"/>
      <c r="AD6" s="262"/>
      <c r="AE6" s="262"/>
      <c r="AF6" s="262"/>
      <c r="AG6" s="262"/>
      <c r="AH6" s="262"/>
      <c r="AI6" s="262"/>
      <c r="AJ6" s="262"/>
      <c r="AK6" s="262"/>
      <c r="AL6" s="262"/>
      <c r="AM6" s="262"/>
    </row>
    <row r="7" spans="1:39" s="53" customFormat="1" ht="18" customHeight="1" outlineLevel="1" x14ac:dyDescent="0.3">
      <c r="A7" s="240">
        <f t="shared" si="0"/>
        <v>4</v>
      </c>
      <c r="B7" s="353">
        <v>10</v>
      </c>
      <c r="C7" s="74" t="s">
        <v>363</v>
      </c>
      <c r="D7" s="364"/>
      <c r="E7" s="363" cm="1">
        <f t="array" ref="E7" xml:space="preserve">
+IFERROR(SUM(
_xlfn._xlws.FILTER(Table_DonBan[Doanh thu ròng],
(ISBLANK(Table_DonBan[Phân bổ từ]))*
(ISBLANK(Table_DonBan[Phân bổ đến]))*
(Table_Main[Ngày lên đơn] &gt;= DATE(BCTC_Nam, 1, 1))*
(Table_Main[Ngày lên đơn] &lt; DATE(BCTC_Nam+1, 1, 1))
)),0)
+IFERROR(SUMPRODUCT(
_xlfn._xlws.FILTER(Table_DonBan[Doanh thu ròng],
(NOT(ISBLANK(Table_DonBan[Phân bổ từ])))*
(NOT(ISBLANK(Table_DonBan[Phân bổ đến])))*
(Table_DonBan[Phân bổ từ]&lt;DATE(BCTC_Nam+1, 1, 1))*
(Table_DonBan[Phân bổ đến]&gt;DATE(BCTC_Nam, 1, 1))
),
_xlfn._xlws.FILTER(
ROUND((DATE(BCTC_Nam+1, 1, 1) - 1 - Table_DonBan[Phân bổ từ]) / (362.25 / 12 ), 0),
(NOT(ISBLANK(Table_DonBan[Phân bổ từ])))*
(NOT(ISBLANK(Table_DonBan[Phân bổ đến])))*
(Table_DonBan[Phân bổ từ]&lt;DATE(BCTC_Nam+1, 1, 1))*
(Table_DonBan[Phân bổ đến]&gt;DATE(BCTC_Nam, 1, 1))
),
_xlfn._xlws.FILTER(
1/ROUND((Table_DonBan[Phân bổ đến] - Table_DonBan[Phân bổ từ]) / (362.25 / 12 ),0),
(NOT(ISBLANK(Table_DonBan[Phân bổ từ])))*
(NOT(ISBLANK(Table_DonBan[Phân bổ đến])))*
(Table_DonBan[Phân bổ từ]&lt;DATE(BCTC_Nam+1, 1, 1))*
(Table_DonBan[Phân bổ đến]&gt;DATE(BCTC_Nam, 1, 1))
)),0)</f>
        <v>0</v>
      </c>
      <c r="F7" s="363" cm="1">
        <f t="array" ref="F7" xml:space="preserve">
+IFERROR(SUM(
_xlfn._xlws.FILTER(Table_DonBan[Doanh thu ròng],
(ISBLANK(Table_DonBan[Phân bổ từ]))*
(ISBLANK(Table_DonBan[Phân bổ đến]))*
(Table_Main[Ngày lên đơn] &gt;= DATE(BCTC_Nam, BCTC_Thang, 1))*
(Table_Main[Ngày lên đơn] &lt; DATE(BCTC_Nam, BCTC_Thang+1, 1))
)),0)
+IFERROR(SUMPRODUCT(
_xlfn._xlws.FILTER(Table_DonBan[Doanh thu ròng],
(NOT(ISBLANK(Table_DonBan[Phân bổ từ])))*
(NOT(ISBLANK(Table_DonBan[Phân bổ đến])))*
(Table_DonBan[Phân bổ từ]&lt;DATE(BCTC_Nam, BCTC_Thang+1, 1))*
(Table_DonBan[Phân bổ đến]&gt;DATE(BCTC_Nam, BCTC_Thang, 1))
),
_xlfn._xlws.FILTER(
ROUND((DATE(BCTC_Nam, BCTC_Thang+1, 1) - 1 - Table_DonBan[Phân bổ từ]) / (362.25 / 12 ), 0),
(NOT(ISBLANK(Table_DonBan[Phân bổ từ])))*
(NOT(ISBLANK(Table_DonBan[Phân bổ đến])))*
(Table_DonBan[Phân bổ từ]&lt;DATE(BCTC_Nam, BCTC_Thang+1, 1))*
(Table_DonBan[Phân bổ đến]&gt;DATE(BCTC_Nam, BCTC_Thang, 1))
),
_xlfn._xlws.FILTER(
1/ROUND((Table_DonBan[Phân bổ đến] - Table_DonBan[Phân bổ từ]) / (362.25 / 12 ),0),
(NOT(ISBLANK(Table_DonBan[Phân bổ từ])))*
(NOT(ISBLANK(Table_DonBan[Phân bổ đến])))*
(Table_DonBan[Phân bổ từ]&lt;DATE(BCTC_Nam, BCTC_Thang+1, 1))*
(Table_DonBan[Phân bổ đến]&gt;DATE(BCTC_Nam, BCTC_Thang, 1))
)),0)</f>
        <v>0</v>
      </c>
      <c r="G7" s="359"/>
      <c r="H7" s="353">
        <v>10</v>
      </c>
      <c r="I7" s="74" t="s">
        <v>363</v>
      </c>
      <c r="J7" s="363" cm="1">
        <f t="array" ref="J7" xml:space="preserve">
+IFERROR(SUM(
_xlfn._xlws.FILTER(Table_DonBan[Doanh thu ròng],
(ISBLANK(Table_DonBan[Phân bổ từ]))*
(ISBLANK(Table_DonBan[Phân bổ đến]))*
(Table_Main[Ngày lên đơn] &gt;= DATE(J$1, 1, 1))*
(Table_Main[Ngày lên đơn] &lt; DATE(J$1+1, 1, 1))
)),0)
+IFERROR(SUMPRODUCT(
_xlfn._xlws.FILTER(Table_DonBan[Doanh thu ròng],
(NOT(ISBLANK(Table_DonBan[Phân bổ từ])))*
(NOT(ISBLANK(Table_DonBan[Phân bổ đến])))*
(Table_DonBan[Phân bổ từ]&lt;DATE(J$1+1, 1, 1))*
(Table_DonBan[Phân bổ đến]&gt;DATE(J$1, 1, 1))
),
_xlfn._xlws.FILTER(
ROUND((DATE(J$1+1, 1, 1) - 1 - Table_DonBan[Phân bổ từ]) / (362.25 / 12 ), 0),
(NOT(ISBLANK(Table_DonBan[Phân bổ từ])))*
(NOT(ISBLANK(Table_DonBan[Phân bổ đến])))*
(Table_DonBan[Phân bổ từ]&lt;DATE(J$1+1, 1, 1))*
(Table_DonBan[Phân bổ đến]&gt;DATE(J$1, 1, 1))
),
_xlfn._xlws.FILTER(
1/ROUND((Table_DonBan[Phân bổ đến] - Table_DonBan[Phân bổ từ]) / (362.25 / 12 ),0),
(NOT(ISBLANK(Table_DonBan[Phân bổ từ])))*
(NOT(ISBLANK(Table_DonBan[Phân bổ đến])))*
(Table_DonBan[Phân bổ từ]&lt;DATE(J$1+1, 1, 1))*
(Table_DonBan[Phân bổ đến]&gt;DATE(J$1, 1, 1))
)),0)</f>
        <v>0</v>
      </c>
      <c r="K7" s="363" cm="1">
        <f t="array" ref="K7" xml:space="preserve">
+IFERROR(SUM(
_xlfn._xlws.FILTER(Table_DonBan[Doanh thu ròng],
(ISBLANK(Table_DonBan[Phân bổ từ]))*
(ISBLANK(Table_DonBan[Phân bổ đến]))*
(Table_Main[Ngày lên đơn] &gt;= DATE(K$1, 1, 1))*
(Table_Main[Ngày lên đơn] &lt; DATE(K$1+1, 1, 1))
)),0)
+IFERROR(SUMPRODUCT(
_xlfn._xlws.FILTER(Table_DonBan[Doanh thu ròng],
(NOT(ISBLANK(Table_DonBan[Phân bổ từ])))*
(NOT(ISBLANK(Table_DonBan[Phân bổ đến])))*
(Table_DonBan[Phân bổ từ]&lt;DATE(K$1+1, 1, 1))*
(Table_DonBan[Phân bổ đến]&gt;DATE(K$1, 1, 1))
),
_xlfn._xlws.FILTER(
ROUND((DATE(K$1+1, 1, 1) - 1 - Table_DonBan[Phân bổ từ]) / (362.25 / 12 ), 0),
(NOT(ISBLANK(Table_DonBan[Phân bổ từ])))*
(NOT(ISBLANK(Table_DonBan[Phân bổ đến])))*
(Table_DonBan[Phân bổ từ]&lt;DATE(K$1+1, 1, 1))*
(Table_DonBan[Phân bổ đến]&gt;DATE(K$1, 1, 1))
),
_xlfn._xlws.FILTER(
1/ROUND((Table_DonBan[Phân bổ đến] - Table_DonBan[Phân bổ từ]) / (362.25 / 12 ),0),
(NOT(ISBLANK(Table_DonBan[Phân bổ từ])))*
(NOT(ISBLANK(Table_DonBan[Phân bổ đến])))*
(Table_DonBan[Phân bổ từ]&lt;DATE(K$1+1, 1, 1))*
(Table_DonBan[Phân bổ đến]&gt;DATE(K$1, 1, 1))
)),0)</f>
        <v>0</v>
      </c>
      <c r="L7" s="262"/>
      <c r="M7" s="353">
        <v>10</v>
      </c>
      <c r="N7" s="74" t="s">
        <v>363</v>
      </c>
      <c r="O7" s="363" cm="1">
        <f t="array" ref="O7" xml:space="preserve">
+IFERROR(SUM(
_xlfn._xlws.FILTER(Table_DonBan[Doanh thu ròng],
(ISBLANK(Table_DonBan[Phân bổ từ]))*
(ISBLANK(Table_DonBan[Phân bổ đến]))*
(Table_Main[Ngày lên đơn] &gt;= O$1)*
(Table_Main[Ngày lên đơn] &lt; DATE(YEAR(O$1),MONTH(O$1)+1, 1))
)),0)
+IFERROR(SUMPRODUCT(
_xlfn._xlws.FILTER(Table_DonBan[Doanh thu ròng],
(NOT(ISBLANK(Table_DonBan[Phân bổ từ])))*
(NOT(ISBLANK(Table_DonBan[Phân bổ đến])))*
(Table_DonBan[Phân bổ từ]&lt;DATE(YEAR(O$1),MONTH(O$1)+1, 1))*
(Table_DonBan[Phân bổ đến]&gt;O$1)
),
_xlfn._xlws.FILTER(
ROUND((DATE(YEAR(O$1),MONTH(O$1)+1, 1) - 1 - Table_DonBan[Phân bổ từ]) / (362.25 / 12 ), 0),
(NOT(ISBLANK(Table_DonBan[Phân bổ từ])))*
(NOT(ISBLANK(Table_DonBan[Phân bổ đến])))*
(Table_DonBan[Phân bổ từ]&lt;DATE(YEAR(O$1),MONTH(O$1)+1, 1))*
(Table_DonBan[Phân bổ đến]&gt;O$1)
),
_xlfn._xlws.FILTER(
1/ROUND((Table_DonBan[Phân bổ đến] - Table_DonBan[Phân bổ từ]) / (362.25 / 12 ),0),
(NOT(ISBLANK(Table_DonBan[Phân bổ từ])))*
(NOT(ISBLANK(Table_DonBan[Phân bổ đến])))*
(Table_DonBan[Phân bổ từ]&lt;DATE(YEAR(O$1),MONTH(O$1)+1, 1))*
(Table_DonBan[Phân bổ đến]&gt;O$1)
)),0)</f>
        <v>0</v>
      </c>
      <c r="P7" s="363" cm="1">
        <f t="array" ref="P7" xml:space="preserve">
+IFERROR(SUM(
_xlfn._xlws.FILTER(Table_DonBan[Doanh thu ròng],
(ISBLANK(Table_DonBan[Phân bổ từ]))*
(ISBLANK(Table_DonBan[Phân bổ đến]))*
(Table_Main[Ngày lên đơn] &gt;= P$1)*
(Table_Main[Ngày lên đơn] &lt; DATE(YEAR(P$1),MONTH(P$1)+1, 1))
)),0)
+IFERROR(SUMPRODUCT(
_xlfn._xlws.FILTER(Table_DonBan[Doanh thu ròng],
(NOT(ISBLANK(Table_DonBan[Phân bổ từ])))*
(NOT(ISBLANK(Table_DonBan[Phân bổ đến])))*
(Table_DonBan[Phân bổ từ]&lt;DATE(YEAR(P$1),MONTH(P$1)+1, 1))*
(Table_DonBan[Phân bổ đến]&gt;P$1)
),
_xlfn._xlws.FILTER(
ROUND((DATE(YEAR(P$1),MONTH(P$1)+1, 1) - 1 - Table_DonBan[Phân bổ từ]) / (362.25 / 12 ), 0),
(NOT(ISBLANK(Table_DonBan[Phân bổ từ])))*
(NOT(ISBLANK(Table_DonBan[Phân bổ đến])))*
(Table_DonBan[Phân bổ từ]&lt;DATE(YEAR(P$1),MONTH(P$1)+1, 1))*
(Table_DonBan[Phân bổ đến]&gt;P$1)
),
_xlfn._xlws.FILTER(
1/ROUND((Table_DonBan[Phân bổ đến] - Table_DonBan[Phân bổ từ]) / (362.25 / 12 ),0),
(NOT(ISBLANK(Table_DonBan[Phân bổ từ])))*
(NOT(ISBLANK(Table_DonBan[Phân bổ đến])))*
(Table_DonBan[Phân bổ từ]&lt;DATE(YEAR(P$1),MONTH(P$1)+1, 1))*
(Table_DonBan[Phân bổ đến]&gt;P$1)
)),0)</f>
        <v>0</v>
      </c>
      <c r="Q7" s="262"/>
      <c r="R7" s="262"/>
      <c r="S7" s="262"/>
      <c r="T7" s="262"/>
      <c r="U7" s="262"/>
      <c r="V7" s="262"/>
      <c r="W7" s="262"/>
      <c r="X7" s="262"/>
      <c r="Y7" s="262"/>
      <c r="Z7" s="262"/>
      <c r="AA7" s="262"/>
      <c r="AB7" s="262"/>
      <c r="AC7" s="262"/>
      <c r="AD7" s="262"/>
      <c r="AE7" s="262"/>
      <c r="AF7" s="262"/>
      <c r="AG7" s="262"/>
      <c r="AH7" s="262"/>
      <c r="AI7" s="262"/>
      <c r="AJ7" s="262"/>
      <c r="AK7" s="262"/>
      <c r="AL7" s="262"/>
      <c r="AM7" s="262"/>
    </row>
    <row r="8" spans="1:39" s="53" customFormat="1" ht="18" customHeight="1" outlineLevel="2" x14ac:dyDescent="0.3">
      <c r="A8" s="240">
        <f t="shared" si="0"/>
        <v>5</v>
      </c>
      <c r="B8" s="356">
        <v>11</v>
      </c>
      <c r="C8" s="73" t="s">
        <v>364</v>
      </c>
      <c r="D8" s="361"/>
      <c r="E8" s="355">
        <f>+SUM(E9:E15)</f>
        <v>0</v>
      </c>
      <c r="F8" s="355">
        <f>+SUM(F9:F15)</f>
        <v>0</v>
      </c>
      <c r="G8" s="359"/>
      <c r="H8" s="356">
        <v>11</v>
      </c>
      <c r="I8" s="73" t="s">
        <v>364</v>
      </c>
      <c r="J8" s="355">
        <f>+SUM(J9:J15)</f>
        <v>0</v>
      </c>
      <c r="K8" s="355">
        <f>+SUM(K9:K15)</f>
        <v>0</v>
      </c>
      <c r="L8" s="262"/>
      <c r="M8" s="356">
        <v>11</v>
      </c>
      <c r="N8" s="73" t="s">
        <v>364</v>
      </c>
      <c r="O8" s="355">
        <f>+SUM(O9:O15)</f>
        <v>0</v>
      </c>
      <c r="P8" s="355">
        <f>+SUM(P9:P15)</f>
        <v>0</v>
      </c>
      <c r="Q8" s="262"/>
      <c r="R8" s="262"/>
      <c r="S8" s="262"/>
      <c r="T8" s="262"/>
      <c r="U8" s="262"/>
      <c r="V8" s="262"/>
      <c r="W8" s="262"/>
      <c r="X8" s="262"/>
      <c r="Y8" s="262"/>
      <c r="Z8" s="262"/>
      <c r="AA8" s="262"/>
      <c r="AB8" s="262"/>
      <c r="AC8" s="262"/>
      <c r="AD8" s="262"/>
      <c r="AE8" s="262"/>
      <c r="AF8" s="262"/>
      <c r="AG8" s="262"/>
      <c r="AH8" s="262"/>
      <c r="AI8" s="262"/>
      <c r="AJ8" s="262"/>
      <c r="AK8" s="262"/>
      <c r="AL8" s="262"/>
      <c r="AM8" s="262"/>
    </row>
    <row r="9" spans="1:39" s="53" customFormat="1" ht="18" customHeight="1" outlineLevel="3" x14ac:dyDescent="0.3">
      <c r="A9" s="240">
        <f t="shared" si="0"/>
        <v>6</v>
      </c>
      <c r="B9" s="362"/>
      <c r="C9" s="72" t="s">
        <v>365</v>
      </c>
      <c r="D9" s="358"/>
      <c r="E9" s="359" cm="1">
        <f t="array" ref="E9">-IFERROR(
SUM(_xlfn._xlws.FILTER(Table_TonKho[Chi phí ghi nhận],
(Table_TonKho[Năm] = BCTC_Nam) *
(Table_TonKho[Chức năng] = "Nguyên liệu")
)),0)
-IFERROR(
SUM(_xlfn._xlws.FILTER(Table_TonKho[Chi phí ghi nhận],
(Table_TonKho[Năm] = BCTC_Nam) *
(Table_TonKho[Chức năng] = "")
)),0)</f>
        <v>0</v>
      </c>
      <c r="F9" s="359" cm="1">
        <f t="array" ref="F9">-IFERROR(
SUM(_xlfn._xlws.FILTER(Table_TonKho[Chi phí ghi nhận],
(Table_TonKho[Kỳ] = DATE(BCTC_Nam,BCTC_Thang,1)) *
(Table_TonKho[Chức năng] = "Nguyên liệu")
)),0)
-IFERROR(
SUM(_xlfn._xlws.FILTER(Table_TonKho[Chi phí ghi nhận],
(Table_TonKho[Kỳ] = DATE(BCTC_Nam,BCTC_Thang,1)) *
(Table_TonKho[Chức năng] = "")
)),0)</f>
        <v>0</v>
      </c>
      <c r="G9" s="359"/>
      <c r="H9" s="362"/>
      <c r="I9" s="72" t="s">
        <v>365</v>
      </c>
      <c r="J9" s="359" cm="1">
        <f t="array" ref="J9">-IFERROR(
SUM(_xlfn._xlws.FILTER(Table_TonKho[Chi phí ghi nhận],
(Table_TonKho[Năm] = J$1) *
(Table_TonKho[Chức năng] = "Nguyên liệu")
)),0)
-IFERROR(
SUM(_xlfn._xlws.FILTER(Table_TonKho[Chi phí ghi nhận],
(Table_TonKho[Năm] = J$1) *
(Table_TonKho[Chức năng] = "")
)),0)</f>
        <v>0</v>
      </c>
      <c r="K9" s="359" cm="1">
        <f t="array" ref="K9">-IFERROR(
SUM(_xlfn._xlws.FILTER(Table_TonKho[Chi phí ghi nhận],
(Table_TonKho[Năm] = K$1) *
(Table_TonKho[Chức năng] = "Nguyên liệu")
)),0)
-IFERROR(
SUM(_xlfn._xlws.FILTER(Table_TonKho[Chi phí ghi nhận],
(Table_TonKho[Năm] = K$1) *
(Table_TonKho[Chức năng] = "")
)),0)</f>
        <v>0</v>
      </c>
      <c r="L9" s="262"/>
      <c r="M9" s="362"/>
      <c r="N9" s="72" t="s">
        <v>365</v>
      </c>
      <c r="O9" s="359" cm="1">
        <f t="array" ref="O9">-IFERROR(
SUM(_xlfn._xlws.FILTER(Table_TonKho[Chi phí ghi nhận],
(Table_TonKho[Kỳ] = O$1) *
(Table_TonKho[Chức năng] = "Nguyên liệu")
)),0)
-IFERROR(
SUM(_xlfn._xlws.FILTER(Table_TonKho[Chi phí ghi nhận],
(Table_TonKho[Kỳ] = O$1) *
(Table_TonKho[Chức năng] = "")
)),0)</f>
        <v>0</v>
      </c>
      <c r="P9" s="359" cm="1">
        <f t="array" ref="P9">-IFERROR(
SUM(_xlfn._xlws.FILTER(Table_TonKho[Chi phí ghi nhận],
(Table_TonKho[Kỳ] = P$1) *
(Table_TonKho[Chức năng] = "Nguyên liệu")
)),0)
-IFERROR(
SUM(_xlfn._xlws.FILTER(Table_TonKho[Chi phí ghi nhận],
(Table_TonKho[Kỳ] = P$1) *
(Table_TonKho[Chức năng] = "")
)),0)</f>
        <v>0</v>
      </c>
      <c r="Q9" s="262"/>
      <c r="R9" s="262"/>
      <c r="S9" s="262"/>
      <c r="T9" s="262"/>
      <c r="U9" s="262"/>
      <c r="V9" s="262"/>
      <c r="W9" s="262"/>
      <c r="X9" s="262"/>
      <c r="Y9" s="262"/>
      <c r="Z9" s="262"/>
      <c r="AA9" s="262"/>
      <c r="AB9" s="262"/>
      <c r="AC9" s="262"/>
      <c r="AD9" s="262"/>
      <c r="AE9" s="262"/>
      <c r="AF9" s="262"/>
      <c r="AG9" s="262"/>
      <c r="AH9" s="262"/>
      <c r="AI9" s="262"/>
      <c r="AJ9" s="262"/>
      <c r="AK9" s="262"/>
      <c r="AL9" s="262"/>
      <c r="AM9" s="262"/>
    </row>
    <row r="10" spans="1:39" s="53" customFormat="1" ht="18" customHeight="1" outlineLevel="3" x14ac:dyDescent="0.3">
      <c r="A10" s="240">
        <f t="shared" si="0"/>
        <v>7</v>
      </c>
      <c r="B10" s="362"/>
      <c r="C10" s="72" t="s">
        <v>366</v>
      </c>
      <c r="D10" s="358"/>
      <c r="E10" s="359" cm="1">
        <f t="array" ref="E10">-IFERROR(
SUM(_xlfn._xlws.FILTER(Table_ChiPhiNV[Tổng chi phí],
(Table_ChiPhiNV[Chức năng] = "Sản xuất") *
(Table_ChiPhiNV[Năm] = BCTC_Nam)
)),0)</f>
        <v>0</v>
      </c>
      <c r="F10" s="359"/>
      <c r="G10" s="359"/>
      <c r="H10" s="362"/>
      <c r="I10" s="72" t="s">
        <v>366</v>
      </c>
      <c r="J10" s="359" cm="1">
        <f t="array" ref="J10" xml:space="preserve">
-IFERROR(
SUM(
_xlfn._xlws.FILTER(Table_ChiPhiNV[Tổng chi phí],
(Table_ChiPhiNV[Chức năng] = "Sản xuất") *
(NOT(ISBLANK(Table_ChiPhiNV[Tháng])))*
(Table_ChiPhiNV[Năm] = J$1)
)),
0)
-IFERROR(
SUMPRODUCT(
_xlfn._xlws.FILTER(Table_ChiPhiNV[Tổng chi phí],
(Table_ChiPhiNV[Chức năng] = "Sản xuất")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"Sản xuất") *
(ISBLANK(Table_ChiPhiNV[Tháng]))*
(Table_ChiPhiNV[Phân bổ từ] &lt; DATE(J$1+1,1,1))*
(Table_ChiPhiNV[Phân bổ đến] &gt; DATE(J$1,1,1))
),
1/_xlfn._xlws.FILTER(
ROUND(
(Table_ChiPhiNV[Phân bổ đến]-Table_ChiPhiNV[Phân bổ từ])
/(365.25/12),
0),
(Table_ChiPhiNV[Chức năng] = "Sản xuất") *
(ISBLANK(Table_ChiPhiNV[Tháng]))*
(Table_ChiPhiNV[Phân bổ từ] &lt; DATE(J$1+1,1,1))*
(Table_ChiPhiNV[Phân bổ đến] &gt; DATE(J$1,1,1))
)
),
0)</f>
        <v>0</v>
      </c>
      <c r="K10" s="359" cm="1">
        <f t="array" ref="K10" xml:space="preserve">
-IFERROR(
SUM(
_xlfn._xlws.FILTER(Table_ChiPhiNV[Tổng chi phí],
(Table_ChiPhiNV[Chức năng] = "Sản xuất") *
(NOT(ISBLANK(Table_ChiPhiNV[Tháng])))*
(Table_ChiPhiNV[Năm] = K$1)
)),
0)
-IFERROR(
SUMPRODUCT(
_xlfn._xlws.FILTER(Table_ChiPhiNV[Tổng chi phí],
(Table_ChiPhiNV[Chức năng] = "Sản xuất")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"Sản xuất") *
(ISBLANK(Table_ChiPhiNV[Tháng]))*
(Table_ChiPhiNV[Phân bổ từ] &lt; DATE(K$1+1,1,1))*
(Table_ChiPhiNV[Phân bổ đến] &gt; DATE(K$1,1,1))
),
1/_xlfn._xlws.FILTER(
ROUND(
(Table_ChiPhiNV[Phân bổ đến]-Table_ChiPhiNV[Phân bổ từ])
/(365.25/12),
0),
(Table_ChiPhiNV[Chức năng] = "Sản xuất") *
(ISBLANK(Table_ChiPhiNV[Tháng]))*
(Table_ChiPhiNV[Phân bổ từ] &lt; DATE(K$1+1,1,1))*
(Table_ChiPhiNV[Phân bổ đến] &gt; DATE(K$1,1,1))
)
),
0)</f>
        <v>0</v>
      </c>
      <c r="L10" s="262"/>
      <c r="M10" s="362"/>
      <c r="N10" s="72" t="s">
        <v>366</v>
      </c>
      <c r="O10" s="359" cm="1">
        <f t="array" ref="O10">-IFERROR(
SUM(_xlfn._xlws.FILTER(Table_ChiPhiNV[Tổng chi phí],
(Table_ChiPhiNV[Chức năng] = "Sản xuất") *
(NOT(ISBLANK(Table_ChiPhiNV[Tháng])))*
(Table_ChiPhiNV[Kỳ] = O$1)
)),0)
-IFERROR(
SUMPRODUCT(
_xlfn._xlws.FILTER(Table_ChiPhiNV[Tổng chi phí],
(Table_ChiPhiNV[Chức năng] = "Sản xuất") *
(ISBLANK(Table_ChiPhiNV[Tháng]))*
(Table_ChiPhiNV[Phân bổ từ] &lt; DATE(YEAR(O$1),MONTH(O$1)+1,1))*
(Table_ChiPhiNV[Phân bổ đến] &gt; O$1)
),
1/_xlfn._xlws.FILTER(ROUND((Table_ChiPhiNV[Phân bổ đến]-Table_ChiPhiNV[Phân bổ từ])/(365.25/12),0),
(Table_ChiPhiNV[Chức năng] = "Sản xuất") *
(ISBLANK(Table_ChiPhiNV[Tháng]))*
(Table_ChiPhiNV[Phân bổ từ] &lt; DATE(YEAR(O$1),MONTH(O$1)+1,1))*
(Table_ChiPhiNV[Phân bổ đến] &gt; O$1)
)
),0)</f>
        <v>0</v>
      </c>
      <c r="P10" s="359" cm="1">
        <f t="array" ref="P10">-IFERROR(
SUM(_xlfn._xlws.FILTER(Table_ChiPhiNV[Tổng chi phí],
(Table_ChiPhiNV[Chức năng] = "Sản xuất") *
(NOT(ISBLANK(Table_ChiPhiNV[Tháng])))*
(Table_ChiPhiNV[Kỳ] = P$1)
)),0)
-IFERROR(
SUMPRODUCT(
_xlfn._xlws.FILTER(Table_ChiPhiNV[Tổng chi phí],
(Table_ChiPhiNV[Chức năng] = "Sản xuất") *
(ISBLANK(Table_ChiPhiNV[Tháng]))*
(Table_ChiPhiNV[Phân bổ từ] &lt; DATE(YEAR(P$1),MONTH(P$1)+1,1))*
(Table_ChiPhiNV[Phân bổ đến] &gt; P$1)
),
1/_xlfn._xlws.FILTER(ROUND((Table_ChiPhiNV[Phân bổ đến]-Table_ChiPhiNV[Phân bổ từ])/(365.25/12),0),
(Table_ChiPhiNV[Chức năng] = "Sản xuất") *
(ISBLANK(Table_ChiPhiNV[Tháng]))*
(Table_ChiPhiNV[Phân bổ từ] &lt; DATE(YEAR(P$1),MONTH(P$1)+1,1))*
(Table_ChiPhiNV[Phân bổ đến] &gt; P$1)
)
),0)</f>
        <v>0</v>
      </c>
      <c r="Q10" s="262"/>
      <c r="R10" s="262"/>
      <c r="S10" s="262"/>
      <c r="T10" s="262"/>
      <c r="U10" s="262"/>
      <c r="V10" s="262"/>
      <c r="W10" s="262"/>
      <c r="X10" s="262"/>
      <c r="Y10" s="262"/>
      <c r="Z10" s="262"/>
      <c r="AA10" s="262"/>
      <c r="AB10" s="262"/>
      <c r="AC10" s="262"/>
      <c r="AD10" s="262"/>
      <c r="AE10" s="262"/>
      <c r="AF10" s="262"/>
      <c r="AG10" s="262"/>
      <c r="AH10" s="262"/>
      <c r="AI10" s="262"/>
      <c r="AJ10" s="262"/>
      <c r="AK10" s="262"/>
      <c r="AL10" s="262"/>
      <c r="AM10" s="262"/>
    </row>
    <row r="11" spans="1:39" s="53" customFormat="1" ht="18" customHeight="1" outlineLevel="3" x14ac:dyDescent="0.3">
      <c r="A11" s="240">
        <f t="shared" si="0"/>
        <v>8</v>
      </c>
      <c r="B11" s="362"/>
      <c r="C11" s="72" t="s">
        <v>367</v>
      </c>
      <c r="D11" s="358"/>
      <c r="E11" s="359" cm="1">
        <f t="array" ref="E11">-IFERROR(
SUM(_xlfn._xlws.FILTER(Table_TonKho[Chi phí ghi nhận],
(Table_TonKho[Năm] = BCTC_Nam) *
(Table_TonKho[Chức năng] = "Sản xuất")
)),0)</f>
        <v>0</v>
      </c>
      <c r="F11" s="359" cm="1">
        <f t="array" ref="F11">-IFERROR(
SUM(_xlfn._xlws.FILTER(Table_TonKho[Chi phí ghi nhận],
(Table_TonKho[Kỳ] = DATE(BCTC_Nam,BCTC_Thang,1)) *
(Table_TonKho[Chức năng] = "Sản xuất")
)),0)</f>
        <v>0</v>
      </c>
      <c r="G11" s="359"/>
      <c r="H11" s="362"/>
      <c r="I11" s="72" t="s">
        <v>367</v>
      </c>
      <c r="J11" s="359" cm="1">
        <f t="array" ref="J11">-IFERROR(
SUM(_xlfn._xlws.FILTER(Table_TonKho[Chi phí ghi nhận],
(Table_TonKho[Năm] = J$1) *
(Table_TonKho[Chức năng] = "Sản xuất")
)),0)</f>
        <v>0</v>
      </c>
      <c r="K11" s="359" cm="1">
        <f t="array" ref="K11">-IFERROR(
SUM(_xlfn._xlws.FILTER(Table_TonKho[Chi phí ghi nhận],
(Table_TonKho[Năm] = K$1) *
(Table_TonKho[Chức năng] = "Sản xuất")
)),0)</f>
        <v>0</v>
      </c>
      <c r="L11" s="262"/>
      <c r="M11" s="362"/>
      <c r="N11" s="72" t="s">
        <v>367</v>
      </c>
      <c r="O11" s="359" cm="1">
        <f t="array" ref="O11">-IFERROR(
SUM(_xlfn._xlws.FILTER(Table_TonKho[Chi phí ghi nhận],
(Table_TonKho[Kỳ] = O$1) *
(Table_TonKho[Chức năng] = "Sản xuất")
)),0)</f>
        <v>0</v>
      </c>
      <c r="P11" s="359" cm="1">
        <f t="array" ref="P11">-IFERROR(
SUM(_xlfn._xlws.FILTER(Table_TonKho[Chi phí ghi nhận],
(Table_TonKho[Kỳ] = P$1) *
(Table_TonKho[Chức năng] = "Sản xuất")
)),0)</f>
        <v>0</v>
      </c>
      <c r="Q11" s="262"/>
      <c r="R11" s="262"/>
      <c r="S11" s="262"/>
      <c r="T11" s="262"/>
      <c r="U11" s="262"/>
      <c r="V11" s="262"/>
      <c r="W11" s="262"/>
      <c r="X11" s="262"/>
      <c r="Y11" s="262"/>
      <c r="Z11" s="262"/>
      <c r="AA11" s="262"/>
      <c r="AB11" s="262"/>
      <c r="AC11" s="262"/>
      <c r="AD11" s="262"/>
      <c r="AE11" s="262"/>
      <c r="AF11" s="262"/>
      <c r="AG11" s="262"/>
      <c r="AH11" s="262"/>
      <c r="AI11" s="262"/>
      <c r="AJ11" s="262"/>
      <c r="AK11" s="262"/>
      <c r="AL11" s="262"/>
      <c r="AM11" s="262"/>
    </row>
    <row r="12" spans="1:39" s="53" customFormat="1" ht="18" customHeight="1" outlineLevel="3" x14ac:dyDescent="0.3">
      <c r="A12" s="240">
        <f t="shared" si="0"/>
        <v>9</v>
      </c>
      <c r="B12" s="362"/>
      <c r="C12" s="72" t="s">
        <v>286</v>
      </c>
      <c r="D12" s="358"/>
      <c r="E12" s="359" cm="1">
        <f t="array" ref="E12">-
IFERROR(
SUM(_xlfn._xlws.FILTER(Table_ChiPhiKD[Phân bổ sản xuất],
(Table_ChiPhiKD[Năm] = BCTC_Nam) *
(VLOOKUP(Table_ChiPhiKD[Nhóm chi phí],Table_ChiPhiKD_PhanNhom[],Sheet_ChiPhiKD!$J$2,0) = "Chưa phân bổ" )
)),0)</f>
        <v>0</v>
      </c>
      <c r="F12" s="359" cm="1">
        <f t="array" ref="F12">-
IFERROR(
SUM(
_xlfn._xlws.FILTER(Table_ChiPhiKD[Phân bổ sản xuất],
(Table_ChiPhiKD[Kỳ] = DATE(BCTC_Nam,BCTC_Thang,1)) *
(NOT(ISBLANK(Table_ChiPhiKD[Tháng])))*
(VLOOKUP(Table_ChiPhiKD[Nhóm chi phí],Table_ChiPhiKD_PhanNhom[],Sheet_ChiPhiKD!$J$2,0) = "Chưa phân bổ" )
)),0)
- IFERROR(SUMPRODUCT(
_xlfn._xlws.FILTER(Table_ChiPhiKD[Phân bổ sản xuất],
(Table_ChiPhiKD[Năm] = BCTC_Nam) *
(ISBLANK(Table_ChiPhiKD[Tháng])) *
(Table_ChiPhiKD[Phân bổ từ] &lt; DATE(BCTC_Nam,BCTC_Thang+1,1))*
(Table_ChiPhiKD[Phân bổ đến] &gt; DATE(BCTC_Nam,BCTC_Thang,1))*
(VLOOKUP(Table_ChiPhiKD[Nhóm chi phí],Table_ChiPhiKD_PhanNhom[],Sheet_ChiPhiKD!$J$2,0) = "Chưa phân bổ" )),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phí],Table_ChiPhiKD_PhanNhom[],Sheet_ChiPhiKD!$J$2,0) = "Chưa phân bổ" ))
), 0)</f>
        <v>0</v>
      </c>
      <c r="G12" s="310"/>
      <c r="H12" s="362"/>
      <c r="I12" s="72" t="s">
        <v>286</v>
      </c>
      <c r="J12" s="359" cm="1">
        <f t="array" ref="J12" xml:space="preserve">
-IFERROR(
SUM(
_xlfn._xlws.FILTER(Table_ChiPhiKD[Phân bổ sản xuất],
(Table_ChiPhiKD[Năm] = J$1)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12" s="359" cm="1">
        <f t="array" ref="K12" xml:space="preserve">
-IFERROR(
SUM(
_xlfn._xlws.FILTER(Table_ChiPhiKD[Phân bổ sản xuất],
(Table_ChiPhiKD[Năm] = K$1)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12" s="262"/>
      <c r="M12" s="362"/>
      <c r="N12" s="72" t="s">
        <v>286</v>
      </c>
      <c r="O12" s="359" cm="1">
        <f t="array" ref="O12">-
IFERROR(
SUM(
_xlfn._xlws.FILTER(Table_ChiPhiKD[Phân bổ sản xuất],
(Table_ChiPhiKD[Kỳ] = O$1) *
(NOT(ISBLANK(Table_ChiPhiKD[Tháng])))*
(VLOOKUP(Table_ChiPhiKD[Nhóm chi phí],Table_ChiPhiKD_PhanNhom[],Sheet_ChiPhiKD!$J$2,0) = "Chưa phân bổ" )
)),0)
- IFERROR(SUMPRODUCT(
_xlfn._xlws.FILTER(Table_ChiPhiKD[Phân bổ sản xuất],
(ISBLANK(Table_ChiPhiKD[Tháng])) *
(Table_ChiPhiKD[Phân bổ từ] &lt; DATE(YEAR(O$1),MONTH(O$1)+1,1))*
(Table_ChiPhiKD[Phân bổ đến] &gt; O$1)*
(VLOOKUP(Table_ChiPhiKD[Nhóm chi phí],Table_ChiPhiKD_PhanNhom[],Sheet_ChiPhiKD!$J$2,0) = "Chưa phân bổ" )),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phí],Table_ChiPhiKD_PhanNhom[],Sheet_ChiPhiKD!$J$2,0) = "Chưa phân bổ" ))
), 0)</f>
        <v>0</v>
      </c>
      <c r="P12" s="359" cm="1">
        <f t="array" ref="P12">-
IFERROR(
SUM(
_xlfn._xlws.FILTER(Table_ChiPhiKD[Phân bổ sản xuất],
(Table_ChiPhiKD[Kỳ] = P$1) *
(NOT(ISBLANK(Table_ChiPhiKD[Tháng])))*
(VLOOKUP(Table_ChiPhiKD[Nhóm chi phí],Table_ChiPhiKD_PhanNhom[],Sheet_ChiPhiKD!$J$2,0) = "Chưa phân bổ" )
)),0)
- IFERROR(SUMPRODUCT(
_xlfn._xlws.FILTER(Table_ChiPhiKD[Phân bổ sản xuất],
(ISBLANK(Table_ChiPhiKD[Tháng])) *
(Table_ChiPhiKD[Phân bổ từ] &lt; DATE(YEAR(P$1),MONTH(P$1)+1,1))*
(Table_ChiPhiKD[Phân bổ đến] &gt; P$1)*
(VLOOKUP(Table_ChiPhiKD[Nhóm chi phí],Table_ChiPhiKD_PhanNhom[],Sheet_ChiPhiKD!$J$2,0) = "Chưa phân bổ" )),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phí],Table_ChiPhiKD_PhanNhom[],Sheet_ChiPhiKD!$J$2,0) = "Chưa phân bổ" ))
), 0)</f>
        <v>0</v>
      </c>
      <c r="Q12" s="262"/>
      <c r="R12" s="262"/>
      <c r="S12" s="262"/>
      <c r="T12" s="262"/>
      <c r="U12" s="262"/>
      <c r="V12" s="262"/>
      <c r="W12" s="262"/>
      <c r="X12" s="262"/>
      <c r="Y12" s="262"/>
      <c r="Z12" s="262"/>
      <c r="AA12" s="262"/>
      <c r="AB12" s="262"/>
      <c r="AC12" s="262"/>
      <c r="AD12" s="262"/>
      <c r="AE12" s="262"/>
      <c r="AF12" s="262"/>
      <c r="AG12" s="262"/>
      <c r="AH12" s="262"/>
      <c r="AI12" s="262"/>
      <c r="AJ12" s="262"/>
      <c r="AK12" s="262"/>
      <c r="AL12" s="262"/>
      <c r="AM12" s="262"/>
    </row>
    <row r="13" spans="1:39" s="41" customFormat="1" ht="18" customHeight="1" outlineLevel="3" x14ac:dyDescent="0.3">
      <c r="A13" s="240">
        <f t="shared" si="0"/>
        <v>10</v>
      </c>
      <c r="B13" s="362"/>
      <c r="C13" s="72" t="s">
        <v>346</v>
      </c>
      <c r="D13" s="358"/>
      <c r="E13" s="359" cm="1">
        <f t="array" ref="E13">-IFERROR(
SUM(_xlfn._xlws.FILTER(Table_DonMua[Phụ phí],
(YEAR(Table_DonMua[Ngày lập]) = BCTC_Nam)
)),0)
+IFERROR(
SUM(_xlfn._xlws.FILTER(Table_DonMua[Khuyến mãi],
(YEAR(Table_DonMua[Ngày lập]) = BCTC_Nam)
)),0)
-IFERROR(
SUM(_xlfn._xlws.FILTER(Table_ChiPhiKD[Giá trị],
(Table_ChiPhiKD[Nhóm chi phí] = Table_BCTC[[#This Row],[Gtri]]) *
(Table_ChiPhiKD[Năm] = BCTC_Nam)
)),0)</f>
        <v>0</v>
      </c>
      <c r="F13" s="359" cm="1">
        <f t="array" ref="F13">-IFERROR(
SUM(_xlfn._xlws.FILTER(Table_DonMua[Phụ phí],
(YEAR(Table_DonMua[Ngày lập]) = BCTC_Nam)*
(MONTH(Table_DonMua[Ngày lập]) = BCTC_Thang)
)),0)
+IFERROR(
SUM(_xlfn._xlws.FILTER(Table_DonMua[Khuyến mãi],
(YEAR(Table_DonMua[Ngày lập]) = BCTC_Nam)*
(MONTH(Table_DonMua[Ngày lập]) = BCTC_Thang)
)),0)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3" s="355"/>
      <c r="H13" s="362"/>
      <c r="I13" s="72" t="s">
        <v>346</v>
      </c>
      <c r="J13" s="359" cm="1">
        <f t="array" ref="J13" xml:space="preserve">
-IFERROR(
SUM(
_xlfn._xlws.FILTER(Table_DonMua[Phụ phí],
(Table_DonMua[Ngày lập] &gt;= DATE(J$1,1,1))*
(Table_DonMua[Ngày lập] &lt; DATE(J$1+1,1,1))
)),
0)
+IFERROR(
SUM(
_xlfn._xlws.FILTER(Table_DonMua[Khuyến mãi],
(Table_DonMua[Ngày lập] &gt;= DATE(J$1,1,1))*
(Table_DonMua[Ngày lập] &lt; DATE(J$1+1,1,1))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3" s="359" cm="1">
        <f t="array" ref="K13" xml:space="preserve">
-IFERROR(
SUM(
_xlfn._xlws.FILTER(Table_DonMua[Phụ phí],
(Table_DonMua[Ngày lập] &gt;= DATE(K$1,1,1))*
(Table_DonMua[Ngày lập] &lt; DATE(K$1+1,1,1))
)),
0)
+IFERROR(
SUM(
_xlfn._xlws.FILTER(Table_DonMua[Khuyến mãi],
(Table_DonMua[Ngày lập] &gt;= DATE(K$1,1,1))*
(Table_DonMua[Ngày lập] &lt; DATE(K$1+1,1,1))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3" s="264"/>
      <c r="M13" s="362"/>
      <c r="N13" s="72" t="s">
        <v>346</v>
      </c>
      <c r="O13" s="359" cm="1">
        <f t="array" ref="O13">-IFERROR(
SUM(_xlfn._xlws.FILTER(Table_DonMua[Phụ phí],
(Table_DonMua[Ngày lập] &gt;= O$1)*
(Table_DonMua[Ngày lập] &lt; DATE(YEAR(O$1),MONTH(O$1)+1,1))
)),0)
+IFERROR(
SUM(_xlfn._xlws.FILTER(Table_DonMua[Khuyến mãi],
(Table_DonMua[Ngày lập] &gt;= O$1)*
(Table_DonMua[Ngày lập] &lt; DATE(YEAR(O$1),MONTH(O$1)+1,1))
)),0)
-IFERROR(
SUM(_xlfn._xlws.FILTER(Table_ChiPhiKD[Giá trị],
(NOT(ISBLANK(Table_ChiPhiKD[Tháng])))*
(Table_ChiPhiKD[Nhóm chi phí] = Table_BCTC_Thang[[#This Row],[Gtri]]) *
(Table_ChiPhiKD[Kỳ] = O$1)
)),0)
- IFERROR(SUMPRODUCT(
_xlfn._xlws.FILTER(Table_ChiPhiKD[Giá trị],
(ISBLANK(Table_ChiPhiKD[Tháng])) *
(Table_ChiPhiKD[Nhóm chi phí] = Table_BCTC_Thang[[#This Row],[Gtri]]) *
(Table_ChiPhiKD[Phân bổ từ] &lt; DATE(YEAR(O$1),MONTH(O$1)+1,1))*
(Table_ChiPhiKD[Phân bổ đến] &gt; O$1)),
1/_xlfn._xlws.FILTER(ROUND((Table_ChiPhiKD[Phân bổ đến]-Table_ChiPhiKD[Phân bổ từ])/(365.25/12),0),
(ISBLANK(Table_ChiPhiKD[Tháng])) *
(Table_ChiPhiKD[Nhóm chi phí] = Table_BCTC_Thang[[#This Row],[Gtri]]) *
(Table_ChiPhiKD[Phân bổ từ] &lt; DATE(YEAR(O$1),MONTH(O$1)+1,1))*
(Table_ChiPhiKD[Phân bổ đến] &gt; O$1))
), 0)</f>
        <v>0</v>
      </c>
      <c r="P13" s="359" cm="1">
        <f t="array" ref="P13">-IFERROR(
SUM(_xlfn._xlws.FILTER(Table_DonMua[Phụ phí],
(Table_DonMua[Ngày lập] &gt;= P$1)*
(Table_DonMua[Ngày lập] &lt; DATE(YEAR(P$1),MONTH(P$1)+1,1))
)),0)
+IFERROR(
SUM(_xlfn._xlws.FILTER(Table_DonMua[Khuyến mãi],
(Table_DonMua[Ngày lập] &gt;= P$1)*
(Table_DonMua[Ngày lập] &lt; DATE(YEAR(P$1),MONTH(P$1)+1,1))
)),0)
-IFERROR(
SUM(_xlfn._xlws.FILTER(Table_ChiPhiKD[Giá trị],
(NOT(ISBLANK(Table_ChiPhiKD[Tháng])))*
(Table_ChiPhiKD[Nhóm chi phí] = Table_BCTC_Thang[[#This Row],[Gtri]]) *
(Table_ChiPhiKD[Kỳ] = P$1)
)),0)
- IFERROR(SUMPRODUCT(
_xlfn._xlws.FILTER(Table_ChiPhiKD[Giá trị],
(ISBLANK(Table_ChiPhiKD[Tháng])) *
(Table_ChiPhiKD[Nhóm chi phí] = Table_BCTC_Thang[[#This Row],[Gtri]]) *
(Table_ChiPhiKD[Phân bổ từ] &lt; DATE(YEAR(P$1),MONTH(P$1)+1,1))*
(Table_ChiPhiKD[Phân bổ đến] &gt; P$1)),
1/_xlfn._xlws.FILTER(ROUND((Table_ChiPhiKD[Phân bổ đến]-Table_ChiPhiKD[Phân bổ từ])/(365.25/12),0),
(ISBLANK(Table_ChiPhiKD[Tháng])) *
(Table_ChiPhiKD[Nhóm chi phí] = Table_BCTC_Thang[[#This Row],[Gtri]]) *
(Table_ChiPhiKD[Phân bổ từ] &lt; DATE(YEAR(P$1),MONTH(P$1)+1,1))*
(Table_ChiPhiKD[Phân bổ đến] &gt; P$1))
), 0)</f>
        <v>0</v>
      </c>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s="41" customFormat="1" ht="18" customHeight="1" outlineLevel="3" x14ac:dyDescent="0.3">
      <c r="A14" s="240">
        <f t="shared" si="0"/>
        <v>11</v>
      </c>
      <c r="B14" s="362"/>
      <c r="C14" s="72" t="s">
        <v>368</v>
      </c>
      <c r="D14" s="358"/>
      <c r="E14" s="359" cm="1">
        <f t="array" ref="E14">-IFERROR(
SUM(_xlfn._xlws.FILTER(Table_TSCD_KhauHao[Khấu hao sản xuất],
(Table_TSCD_KhauHao[Năm] = BCTC_Nam)
)),0)</f>
        <v>0</v>
      </c>
      <c r="F14" s="359" cm="1">
        <f t="array" ref="F14">-IFERROR(
SUM(_xlfn._xlws.FILTER(Table_TSCD_KhauHao[Khấu hao sản xuất],
(Table_TSCD_KhauHao[Kỳ] = DATE(BCTC_Nam,BCTC_Thang,1))
)),0)</f>
        <v>0</v>
      </c>
      <c r="G14" s="363"/>
      <c r="H14" s="362"/>
      <c r="I14" s="72" t="s">
        <v>368</v>
      </c>
      <c r="J14" s="359" cm="1">
        <f t="array" ref="J14">-IFERROR(
SUM(_xlfn._xlws.FILTER(Table_TSCD_KhauHao[Khấu hao sản xuất],
(Table_TSCD_KhauHao[Năm] = J$1)
)),0)</f>
        <v>0</v>
      </c>
      <c r="K14" s="359" cm="1">
        <f t="array" ref="K14">-IFERROR(
SUM(_xlfn._xlws.FILTER(Table_TSCD_KhauHao[Khấu hao sản xuất],
(Table_TSCD_KhauHao[Năm] = K$1)
)),0)</f>
        <v>0</v>
      </c>
      <c r="L14" s="264"/>
      <c r="M14" s="362"/>
      <c r="N14" s="72" t="s">
        <v>368</v>
      </c>
      <c r="O14" s="359" cm="1">
        <f t="array" ref="O14">-IFERROR(
SUM(_xlfn._xlws.FILTER(Table_TSCD_KhauHao[Khấu hao sản xuất],
(Table_TSCD_KhauHao[Kỳ] = O$1)
)),0)</f>
        <v>0</v>
      </c>
      <c r="P14" s="359" cm="1">
        <f t="array" ref="P14">-IFERROR(
SUM(_xlfn._xlws.FILTER(Table_TSCD_KhauHao[Khấu hao sản xuất],
(Table_TSCD_KhauHao[Kỳ] = P$1)
)),0)</f>
        <v>0</v>
      </c>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s="53" customFormat="1" ht="18" customHeight="1" outlineLevel="3" x14ac:dyDescent="0.3">
      <c r="A15" s="240">
        <f t="shared" si="0"/>
        <v>12</v>
      </c>
      <c r="B15" s="257"/>
      <c r="C15" s="72" t="s">
        <v>369</v>
      </c>
      <c r="D15" s="358"/>
      <c r="E15" s="310" cm="1">
        <f t="array" ref="E15">-IFERROR(
SUM(_xlfn._xlws.FILTER(Table_ChiPhiKD[Giá trị],
(Table_ChiPhiKD[Nhóm chi phí] = Table_BCTC[[#This Row],[Gtri]]) *
(Table_ChiPhiKD[Năm] = BCTC_Nam)
)),0)</f>
        <v>0</v>
      </c>
      <c r="F15" s="310" cm="1">
        <f t="array" ref="F15">-IFERROR(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5" s="359"/>
      <c r="H15" s="257"/>
      <c r="I15" s="72" t="s">
        <v>369</v>
      </c>
      <c r="J15" s="310" cm="1">
        <f t="array" ref="J15"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5" s="310" cm="1">
        <f t="array" ref="K15"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5" s="262"/>
      <c r="M15" s="257"/>
      <c r="N15" s="72" t="s">
        <v>369</v>
      </c>
      <c r="O15" s="310" cm="1">
        <f t="array" ref="O15">-IFERROR(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15" s="310" cm="1">
        <f t="array" ref="P15">-IFERROR(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15" s="262"/>
      <c r="R15" s="262"/>
      <c r="S15" s="262"/>
      <c r="T15" s="262"/>
      <c r="U15" s="262"/>
      <c r="V15" s="262"/>
      <c r="W15" s="262"/>
      <c r="X15" s="262"/>
      <c r="Y15" s="262"/>
      <c r="Z15" s="262"/>
      <c r="AA15" s="262"/>
      <c r="AB15" s="262"/>
      <c r="AC15" s="262"/>
      <c r="AD15" s="262"/>
      <c r="AE15" s="262"/>
      <c r="AF15" s="262"/>
      <c r="AG15" s="262"/>
      <c r="AH15" s="262"/>
      <c r="AI15" s="262"/>
      <c r="AJ15" s="262"/>
      <c r="AK15" s="262"/>
      <c r="AL15" s="262"/>
      <c r="AM15" s="262"/>
    </row>
    <row r="16" spans="1:39" s="53" customFormat="1" ht="18" customHeight="1" outlineLevel="1" x14ac:dyDescent="0.3">
      <c r="A16" s="240">
        <f t="shared" si="0"/>
        <v>13</v>
      </c>
      <c r="B16" s="353" t="s">
        <v>370</v>
      </c>
      <c r="C16" s="74" t="s">
        <v>371</v>
      </c>
      <c r="D16" s="364"/>
      <c r="E16" s="363">
        <f>+E7+E8</f>
        <v>0</v>
      </c>
      <c r="F16" s="363">
        <f>+F7+F8</f>
        <v>0</v>
      </c>
      <c r="G16" s="359"/>
      <c r="H16" s="353" t="s">
        <v>370</v>
      </c>
      <c r="I16" s="74" t="s">
        <v>371</v>
      </c>
      <c r="J16" s="363">
        <f>+J7+J8</f>
        <v>0</v>
      </c>
      <c r="K16" s="363">
        <f>+K7+K8</f>
        <v>0</v>
      </c>
      <c r="L16" s="262"/>
      <c r="M16" s="353" t="s">
        <v>370</v>
      </c>
      <c r="N16" s="74" t="s">
        <v>371</v>
      </c>
      <c r="O16" s="363">
        <f>+O7+O8</f>
        <v>0</v>
      </c>
      <c r="P16" s="363">
        <f>+P7+P8</f>
        <v>0</v>
      </c>
      <c r="Q16" s="262"/>
      <c r="R16" s="262"/>
      <c r="S16" s="262"/>
      <c r="T16" s="262"/>
      <c r="U16" s="262"/>
      <c r="V16" s="262"/>
      <c r="W16" s="262"/>
      <c r="X16" s="262"/>
      <c r="Y16" s="262"/>
      <c r="Z16" s="262"/>
      <c r="AA16" s="262"/>
      <c r="AB16" s="262"/>
      <c r="AC16" s="262"/>
      <c r="AD16" s="262"/>
      <c r="AE16" s="262"/>
      <c r="AF16" s="262"/>
      <c r="AG16" s="262"/>
      <c r="AH16" s="262"/>
      <c r="AI16" s="262"/>
      <c r="AJ16" s="262"/>
      <c r="AK16" s="262"/>
      <c r="AL16" s="262"/>
      <c r="AM16" s="262"/>
    </row>
    <row r="17" spans="1:39" s="53" customFormat="1" ht="18" customHeight="1" outlineLevel="2" x14ac:dyDescent="0.3">
      <c r="A17" s="240">
        <f t="shared" si="0"/>
        <v>14</v>
      </c>
      <c r="B17" s="356" t="s">
        <v>372</v>
      </c>
      <c r="C17" s="73" t="s">
        <v>373</v>
      </c>
      <c r="D17" s="361"/>
      <c r="E17" s="355">
        <f>+SUM(E18:E27)</f>
        <v>0</v>
      </c>
      <c r="F17" s="355">
        <f>+SUM(F18:F27)</f>
        <v>0</v>
      </c>
      <c r="G17" s="359"/>
      <c r="H17" s="356" t="s">
        <v>372</v>
      </c>
      <c r="I17" s="73" t="s">
        <v>373</v>
      </c>
      <c r="J17" s="355">
        <f>+SUM(J18:J27)</f>
        <v>0</v>
      </c>
      <c r="K17" s="355">
        <f>+SUM(K18:K27)</f>
        <v>0</v>
      </c>
      <c r="L17" s="262"/>
      <c r="M17" s="356" t="s">
        <v>372</v>
      </c>
      <c r="N17" s="73" t="s">
        <v>373</v>
      </c>
      <c r="O17" s="355">
        <f>+SUM(O18:O27)</f>
        <v>0</v>
      </c>
      <c r="P17" s="355">
        <f>+SUM(P18:P27)</f>
        <v>0</v>
      </c>
      <c r="Q17" s="262"/>
      <c r="R17" s="262"/>
      <c r="S17" s="262"/>
      <c r="T17" s="262"/>
      <c r="U17" s="262"/>
      <c r="V17" s="262"/>
      <c r="W17" s="262"/>
      <c r="X17" s="262"/>
      <c r="Y17" s="262"/>
      <c r="Z17" s="262"/>
      <c r="AA17" s="262"/>
      <c r="AB17" s="262"/>
      <c r="AC17" s="262"/>
      <c r="AD17" s="262"/>
      <c r="AE17" s="262"/>
      <c r="AF17" s="262"/>
      <c r="AG17" s="262"/>
      <c r="AH17" s="262"/>
      <c r="AI17" s="262"/>
      <c r="AJ17" s="262"/>
      <c r="AK17" s="262"/>
      <c r="AL17" s="262"/>
      <c r="AM17" s="262"/>
    </row>
    <row r="18" spans="1:39" s="53" customFormat="1" ht="18" customHeight="1" outlineLevel="3" x14ac:dyDescent="0.3">
      <c r="A18" s="240">
        <f t="shared" si="0"/>
        <v>15</v>
      </c>
      <c r="B18" s="362"/>
      <c r="C18" s="72" t="s">
        <v>374</v>
      </c>
      <c r="D18" s="358"/>
      <c r="E18" s="359" cm="1">
        <f t="array" ref="E18">-IFERROR(
SUM(_xlfn._xlws.FILTER(Table_ChiPhiNV[Tổng chi phí],
(Table_ChiPhiNV[Chức năng] = "Bán hàng") *
(Table_ChiPhiNV[Năm] = BCTC_Nam)
)),0)-E19</f>
        <v>0</v>
      </c>
      <c r="F18" s="359" cm="1">
        <f t="array" ref="F18">-IFERROR(
SUM(_xlfn._xlws.FILTER(Table_ChiPhiNV[Tổng chi phí],
(Table_ChiPhiNV[Chức năng] = "Bán hàng") *
(NOT(ISBLANK(Table_ChiPhiNV[Tháng])))*
(Table_ChiPhiNV[Kỳ] = DATE(BCTC_Nam,BCTC_Thang,1))
)),0)
-IFERROR(
SUMPRODUCT(
_xlfn._xlws.FILTER(Table_ChiPhiNV[Tổng chi phí],
(Table_ChiPhiNV[Chức năng] = "Bán hàng")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"Bán hàng") *
(Table_ChiPhiNV[Năm] = BCTC_Nam) *
(ISBLANK(Table_ChiPhiNV[Tháng]))*
(Table_ChiPhiNV[Phân bổ từ] &lt; DATE(BCTC_Nam,BCTC_Thang+1,1))*
(Table_ChiPhiNV[Phân bổ đến] &gt; DATE(BCTC_Nam,BCTC_Thang,1))
)
),0)-F19</f>
        <v>0</v>
      </c>
      <c r="G18" s="359"/>
      <c r="H18" s="362"/>
      <c r="I18" s="72" t="s">
        <v>374</v>
      </c>
      <c r="J18" s="359" cm="1">
        <f t="array" ref="J18" xml:space="preserve">
-IFERROR(
SUM(
_xlfn._xlws.FILTER(Table_ChiPhiNV[Tổng chi phí],
(Table_ChiPhiNV[Chức năng] = "Bán hàng") *
(NOT(ISBLANK(Table_ChiPhiNV[Tháng])))*
(Table_ChiPhiNV[Năm] = J$1)
)),
0)
-IFERROR(
SUMPRODUCT(
_xlfn._xlws.FILTER(Table_ChiPhiNV[Tổng chi phí],
(Table_ChiPhiNV[Chức năng] = "Bán hàng")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"Bán hàng") *
(ISBLANK(Table_ChiPhiNV[Tháng]))*
(Table_ChiPhiNV[Phân bổ từ] &lt; DATE(J$1+1,1,1))*
(Table_ChiPhiNV[Phân bổ đến] &gt; DATE(J$1,1,1))
),
1/_xlfn._xlws.FILTER(
ROUND(
(Table_ChiPhiNV[Phân bổ đến]-Table_ChiPhiNV[Phân bổ từ])
/(365.25/12),
0),
(Table_ChiPhiNV[Chức năng] = "Bán hàng") *
(ISBLANK(Table_ChiPhiNV[Tháng]))*
(Table_ChiPhiNV[Phân bổ từ] &lt; DATE(J$1+1,1,1))*
(Table_ChiPhiNV[Phân bổ đến] &gt; DATE(J$1,1,1))
)
),
0)-J19</f>
        <v>0</v>
      </c>
      <c r="K18" s="359" cm="1">
        <f t="array" ref="K18" xml:space="preserve">
-IFERROR(
SUM(
_xlfn._xlws.FILTER(Table_ChiPhiNV[Tổng chi phí],
(Table_ChiPhiNV[Chức năng] = "Bán hàng") *
(NOT(ISBLANK(Table_ChiPhiNV[Tháng])))*
(Table_ChiPhiNV[Năm] = K$1)
)),
0)
-IFERROR(
SUMPRODUCT(
_xlfn._xlws.FILTER(Table_ChiPhiNV[Tổng chi phí],
(Table_ChiPhiNV[Chức năng] = "Bán hàng")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"Bán hàng") *
(ISBLANK(Table_ChiPhiNV[Tháng]))*
(Table_ChiPhiNV[Phân bổ từ] &lt; DATE(K$1+1,1,1))*
(Table_ChiPhiNV[Phân bổ đến] &gt; DATE(K$1,1,1))
),
1/_xlfn._xlws.FILTER(
ROUND(
(Table_ChiPhiNV[Phân bổ đến]-Table_ChiPhiNV[Phân bổ từ])
/(365.25/12),
0),
(Table_ChiPhiNV[Chức năng] = "Bán hàng") *
(ISBLANK(Table_ChiPhiNV[Tháng]))*
(Table_ChiPhiNV[Phân bổ từ] &lt; DATE(K$1+1,1,1))*
(Table_ChiPhiNV[Phân bổ đến] &gt; DATE(K$1,1,1))
)
),
0)-K19</f>
        <v>0</v>
      </c>
      <c r="L18" s="262"/>
      <c r="M18" s="362"/>
      <c r="N18" s="72" t="s">
        <v>374</v>
      </c>
      <c r="O18" s="359" cm="1">
        <f t="array" ref="O18">-IFERROR(
SUM(_xlfn._xlws.FILTER(Table_ChiPhiNV[Tổng chi phí],
(Table_ChiPhiNV[Chức năng] = "Bán hàng") *
(NOT(ISBLANK(Table_ChiPhiNV[Tháng])))*
(Table_ChiPhiNV[Kỳ] = O$1)
)),0)
-IFERROR(
SUMPRODUCT(
_xlfn._xlws.FILTER(Table_ChiPhiNV[Tổng chi phí],
(Table_ChiPhiNV[Chức năng] = "Bán hàng") *
(ISBLANK(Table_ChiPhiNV[Tháng]))*
(Table_ChiPhiNV[Phân bổ từ] &lt; DATE(YEAR(O$1),MONTH(O$1)+1,1))*
(Table_ChiPhiNV[Phân bổ đến] &gt; O$1)
),
1/_xlfn._xlws.FILTER(ROUND((Table_ChiPhiNV[Phân bổ đến]-Table_ChiPhiNV[Phân bổ từ])/(365.25/12),0),
(Table_ChiPhiNV[Chức năng] = "Bán hàng") *
(ISBLANK(Table_ChiPhiNV[Tháng]))*
(Table_ChiPhiNV[Phân bổ từ] &lt; DATE(YEAR(O$1),MONTH(O$1)+1,1))*
(Table_ChiPhiNV[Phân bổ đến] &gt; O$1)
)
),0)-O19</f>
        <v>0</v>
      </c>
      <c r="P18" s="359" cm="1">
        <f t="array" ref="P18">-IFERROR(
SUM(_xlfn._xlws.FILTER(Table_ChiPhiNV[Tổng chi phí],
(Table_ChiPhiNV[Chức năng] = "Bán hàng") *
(NOT(ISBLANK(Table_ChiPhiNV[Tháng])))*
(Table_ChiPhiNV[Kỳ] = P$1)
)),0)
-IFERROR(
SUMPRODUCT(
_xlfn._xlws.FILTER(Table_ChiPhiNV[Tổng chi phí],
(Table_ChiPhiNV[Chức năng] = "Bán hàng") *
(ISBLANK(Table_ChiPhiNV[Tháng]))*
(Table_ChiPhiNV[Phân bổ từ] &lt; DATE(YEAR(P$1),MONTH(P$1)+1,1))*
(Table_ChiPhiNV[Phân bổ đến] &gt; P$1)
),
1/_xlfn._xlws.FILTER(ROUND((Table_ChiPhiNV[Phân bổ đến]-Table_ChiPhiNV[Phân bổ từ])/(365.25/12),0),
(Table_ChiPhiNV[Chức năng] = "Bán hàng") *
(ISBLANK(Table_ChiPhiNV[Tháng]))*
(Table_ChiPhiNV[Phân bổ từ] &lt; DATE(YEAR(P$1),MONTH(P$1)+1,1))*
(Table_ChiPhiNV[Phân bổ đến] &gt; P$1)
)
),0)-P19</f>
        <v>0</v>
      </c>
      <c r="Q18" s="262"/>
      <c r="R18" s="262"/>
      <c r="S18" s="262"/>
      <c r="T18" s="262"/>
      <c r="U18" s="262"/>
      <c r="V18" s="262"/>
      <c r="W18" s="262"/>
      <c r="X18" s="262"/>
      <c r="Y18" s="262"/>
      <c r="Z18" s="262"/>
      <c r="AA18" s="262"/>
      <c r="AB18" s="262"/>
      <c r="AC18" s="262"/>
      <c r="AD18" s="262"/>
      <c r="AE18" s="262"/>
      <c r="AF18" s="262"/>
      <c r="AG18" s="262"/>
      <c r="AH18" s="262"/>
      <c r="AI18" s="262"/>
      <c r="AJ18" s="262"/>
      <c r="AK18" s="262"/>
      <c r="AL18" s="262"/>
      <c r="AM18" s="262"/>
    </row>
    <row r="19" spans="1:39" s="53" customFormat="1" ht="18" customHeight="1" outlineLevel="3" x14ac:dyDescent="0.3">
      <c r="A19" s="240">
        <f t="shared" si="0"/>
        <v>16</v>
      </c>
      <c r="B19" s="362"/>
      <c r="C19" s="72" t="s">
        <v>223</v>
      </c>
      <c r="D19" s="358"/>
      <c r="E19" s="359" cm="1">
        <f t="array" ref="E19">-IFERROR(SUM(_xlfn._xlws.FILTER(Table_ChiPhiNV[Hoa hồng],
(Table_ChiPhiNV[Năm] = BCTC_Nam)
)),0)
-IFERROR(
SUM(_xlfn._xlws.FILTER(Table_KPI[Thưởng KPI],
(NOT(ISBLANK(Table_KPI[Nhân viên]))) *
(Table_KPI[Năm] =  BCTC_Nam)
)),0)</f>
        <v>0</v>
      </c>
      <c r="F19" s="359" cm="1">
        <f t="array" ref="F19">-IFERROR(SUM(_xlfn._xlws.FILTER(Table_ChiPhiNV[Hoa hồng],
(Table_ChiPhiNV[Kỳ] = DATE(BCTC_Nam, BCTC_Thang, 1))
)),0)
-IFERROR(
SUM(_xlfn._xlws.FILTER(Table_KPI[Thưởng KPI],
(NOT(ISBLANK(Table_KPI[Nhân viên]))) *
(NOT(ISBLANK(Table_KPI[Tháng]))) *
(Table_KPI[Kỳ] &gt;= DATE(BCTC_Nam, BCTC_Thang, 1)) *
(Table_KPI[Kỳ] &lt; DATE(BCTC_Nam, BCTC_Thang+1, 1))
)),0)
-IFERROR(
SUM(_xlfn._xlws.FILTER(Table_KPI[Thưởng KPI],
(NOT(ISBLANK(Table_KPI[Nhân viên]))) *
(ISBLANK(Table_KPI[Tháng])) *
(Table_KPI[Năm] =  BCTC_Nam)
)) / 12,0)</f>
        <v>0</v>
      </c>
      <c r="G19" s="359"/>
      <c r="H19" s="362"/>
      <c r="I19" s="72" t="s">
        <v>223</v>
      </c>
      <c r="J19" s="359" cm="1">
        <f t="array" ref="J19" xml:space="preserve">
-IFERROR(
SUM(
_xlfn._xlws.FILTER(Table_ChiPhiNV[Hoa hồng],
(Table_ChiPhiNV[Năm] = J$1)
)),
0)
-IFERROR(
SUM(
_xlfn._xlws.FILTER(Table_KPI[Thưởng KPI],
(NOT(ISBLANK(Table_KPI[Nhân viên]))) *
(Table_KPI[Năm] =  J$1)
)),
0)</f>
        <v>0</v>
      </c>
      <c r="K19" s="359" cm="1">
        <f t="array" ref="K19" xml:space="preserve">
-IFERROR(
SUM(
_xlfn._xlws.FILTER(Table_ChiPhiNV[Hoa hồng],
(Table_ChiPhiNV[Năm] = K$1)
)),
0)
-IFERROR(
SUM(
_xlfn._xlws.FILTER(Table_KPI[Thưởng KPI],
(NOT(ISBLANK(Table_KPI[Nhân viên]))) *
(Table_KPI[Năm] =  K$1)
)),
0)</f>
        <v>0</v>
      </c>
      <c r="L19" s="262"/>
      <c r="M19" s="362"/>
      <c r="N19" s="72" t="s">
        <v>223</v>
      </c>
      <c r="O19" s="359" cm="1">
        <f t="array" ref="O19" xml:space="preserve">
-IFERROR(
SUM(
_xlfn._xlws.FILTER(Table_ChiPhiNV[Hoa hồng],
(Table_ChiPhiNV[Kỳ] = O$1)
)),
0)
-IFERROR(
SUM(
_xlfn._xlws.FILTER(Table_KPI[Thưởng KPI],
(NOT(ISBLANK(Table_KPI[Nhân viên]))) *
(NOT(ISBLANK(Table_KPI[Tháng]))) *
(Table_KPI[Kỳ] = O$1)
)),
0)
-IFERROR(
SUM(
_xlfn._xlws.FILTER(Table_KPI[Thưởng KPI],
(NOT(ISBLANK(Table_KPI[Nhân viên]))) *
(ISBLANK(Table_KPI[Tháng])) *
(Table_KPI[Năm] =  YEAR(O$1))
)) / 12,
0)</f>
        <v>0</v>
      </c>
      <c r="P19" s="359" cm="1">
        <f t="array" ref="P19" xml:space="preserve">
-IFERROR(
SUM(
_xlfn._xlws.FILTER(Table_ChiPhiNV[Hoa hồng],
(Table_ChiPhiNV[Kỳ] = P$1)
)),
0)
-IFERROR(
SUM(
_xlfn._xlws.FILTER(Table_KPI[Thưởng KPI],
(NOT(ISBLANK(Table_KPI[Nhân viên]))) *
(NOT(ISBLANK(Table_KPI[Tháng]))) *
(Table_KPI[Kỳ] = P$1)
)),
0)
-IFERROR(
SUM(
_xlfn._xlws.FILTER(Table_KPI[Thưởng KPI],
(NOT(ISBLANK(Table_KPI[Nhân viên]))) *
(ISBLANK(Table_KPI[Tháng])) *
(Table_KPI[Năm] =  YEAR(P$1))
)) / 12,
0)</f>
        <v>0</v>
      </c>
      <c r="Q19" s="262"/>
      <c r="R19" s="262"/>
      <c r="S19" s="262"/>
      <c r="T19" s="262"/>
      <c r="U19" s="262"/>
      <c r="V19" s="262"/>
      <c r="W19" s="262"/>
      <c r="X19" s="262"/>
      <c r="Y19" s="262"/>
      <c r="Z19" s="262"/>
      <c r="AA19" s="262"/>
      <c r="AB19" s="262"/>
      <c r="AC19" s="262"/>
      <c r="AD19" s="262"/>
      <c r="AE19" s="262"/>
      <c r="AF19" s="262"/>
      <c r="AG19" s="262"/>
      <c r="AH19" s="262"/>
      <c r="AI19" s="262"/>
      <c r="AJ19" s="262"/>
      <c r="AK19" s="262"/>
      <c r="AL19" s="262"/>
      <c r="AM19" s="262"/>
    </row>
    <row r="20" spans="1:39" s="53" customFormat="1" ht="18" customHeight="1" outlineLevel="3" x14ac:dyDescent="0.3">
      <c r="A20" s="240">
        <f t="shared" si="0"/>
        <v>17</v>
      </c>
      <c r="B20" s="362"/>
      <c r="C20" s="72" t="s">
        <v>375</v>
      </c>
      <c r="D20" s="358"/>
      <c r="E20" s="359" cm="1">
        <f t="array" ref="E20">-IFERROR(
SUM(_xlfn._xlws.FILTER(Table_TonKho[Chi phí ghi nhận],
(Table_TonKho[Năm] = BCTC_Nam) *
(Table_TonKho[Chức năng] = "Bán hàng")
)),0)</f>
        <v>0</v>
      </c>
      <c r="F20" s="359" cm="1">
        <f t="array" ref="F20">-IFERROR(
SUM(_xlfn._xlws.FILTER(Table_TonKho[Chi phí ghi nhận],
(Table_TonKho[Kỳ] = DATE(BCTC_Nam,BCTC_Thang,1)) *
(Table_TonKho[Chức năng] = "Bán hàng")
)),0)</f>
        <v>0</v>
      </c>
      <c r="G20" s="359"/>
      <c r="H20" s="362"/>
      <c r="I20" s="72" t="s">
        <v>375</v>
      </c>
      <c r="J20" s="359" cm="1">
        <f t="array" ref="J20">-IFERROR(
SUM(_xlfn._xlws.FILTER(Table_TonKho[Chi phí ghi nhận],
(Table_TonKho[Năm] = J$1) *
(Table_TonKho[Chức năng] = "Bán hàng")
)),0)</f>
        <v>0</v>
      </c>
      <c r="K20" s="359" cm="1">
        <f t="array" ref="K20">-IFERROR(
SUM(_xlfn._xlws.FILTER(Table_TonKho[Chi phí ghi nhận],
(Table_TonKho[Năm] = K$1) *
(Table_TonKho[Chức năng] = "Bán hàng")
)),0)</f>
        <v>0</v>
      </c>
      <c r="L20" s="262"/>
      <c r="M20" s="362"/>
      <c r="N20" s="72" t="s">
        <v>375</v>
      </c>
      <c r="O20" s="359" cm="1">
        <f t="array" ref="O20">-IFERROR(
SUM(_xlfn._xlws.FILTER(Table_TonKho[Chi phí ghi nhận],
(Table_TonKho[Kỳ] = O$1) *
(Table_TonKho[Chức năng] = "Bán hàng")
)),0)</f>
        <v>0</v>
      </c>
      <c r="P20" s="359" cm="1">
        <f t="array" ref="P20">-IFERROR(
SUM(_xlfn._xlws.FILTER(Table_TonKho[Chi phí ghi nhận],
(Table_TonKho[Kỳ] = P$1) *
(Table_TonKho[Chức năng] = "Bán hàng")
)),0)</f>
        <v>0</v>
      </c>
      <c r="Q20" s="262"/>
      <c r="R20" s="262"/>
      <c r="S20" s="262"/>
      <c r="T20" s="262"/>
      <c r="U20" s="262"/>
      <c r="V20" s="262"/>
      <c r="W20" s="262"/>
      <c r="X20" s="262"/>
      <c r="Y20" s="262"/>
      <c r="Z20" s="262"/>
      <c r="AA20" s="262"/>
      <c r="AB20" s="262"/>
      <c r="AC20" s="262"/>
      <c r="AD20" s="262"/>
      <c r="AE20" s="262"/>
      <c r="AF20" s="262"/>
      <c r="AG20" s="262"/>
      <c r="AH20" s="262"/>
      <c r="AI20" s="262"/>
      <c r="AJ20" s="262"/>
      <c r="AK20" s="262"/>
      <c r="AL20" s="262"/>
      <c r="AM20" s="262"/>
    </row>
    <row r="21" spans="1:39" s="53" customFormat="1" ht="18" customHeight="1" outlineLevel="3" x14ac:dyDescent="0.3">
      <c r="A21" s="240">
        <f t="shared" si="0"/>
        <v>18</v>
      </c>
      <c r="B21" s="362"/>
      <c r="C21" s="72" t="s">
        <v>290</v>
      </c>
      <c r="D21" s="358"/>
      <c r="E21" s="359" cm="1">
        <f t="array" ref="E21">-IFERROR(
SUM(_xlfn._xlws.FILTER(Table_VanDon[Phí ship],
(Table_VanDon[Bên chịu phí] = "Bên bán") *
(Table_VanDon[Ngày lập] &gt;= DATE(BCTC_Nam,1,1)) *
(Table_VanDon[Ngày lập] &lt; DATE(BCTC_Nam+1,1,1))
)),0)</f>
        <v>0</v>
      </c>
      <c r="F21" s="359" cm="1">
        <f t="array" ref="F21">-IFERROR(
SUM(_xlfn._xlws.FILTER(Table_VanDon[Phí ship],
(Table_VanDon[Bên chịu phí] = "Bên bán") *
(Table_VanDon[Ngày lập] &gt;= DATE(BCTC_Nam, BCTC_Thang,1)) *
(Table_VanDon[Ngày lập] &lt; DATE(BCTC_Nam, BCTC_Thang+1,1))
)),0)</f>
        <v>0</v>
      </c>
      <c r="G21" s="359"/>
      <c r="H21" s="362"/>
      <c r="I21" s="72" t="s">
        <v>290</v>
      </c>
      <c r="J21" s="359" cm="1">
        <f t="array" ref="J21">-IFERROR(
SUM(
_xlfn._xlws.FILTER(Table_VanDon[Phí ship],
(Table_VanDon[Bên chịu phí] = "Bên bán") *
(Table_VanDon[Ngày lập] &gt;= DATE(J$1,1,1)) *
(Table_VanDon[Ngày lập] &lt; DATE(J$1+1,1,1))
)),
0)</f>
        <v>0</v>
      </c>
      <c r="K21" s="359" cm="1">
        <f t="array" ref="K21">-IFERROR(
SUM(
_xlfn._xlws.FILTER(Table_VanDon[Phí ship],
(Table_VanDon[Bên chịu phí] = "Bên bán") *
(Table_VanDon[Ngày lập] &gt;= DATE(K$1,1,1)) *
(Table_VanDon[Ngày lập] &lt; DATE(K$1+1,1,1))
)),
0)</f>
        <v>0</v>
      </c>
      <c r="L21" s="262"/>
      <c r="M21" s="362"/>
      <c r="N21" s="72" t="s">
        <v>290</v>
      </c>
      <c r="O21" s="359" cm="1">
        <f t="array" ref="O21">-IFERROR(
SUM(
_xlfn._xlws.FILTER(Table_VanDon[Phí ship],
(Table_VanDon[Bên chịu phí] = "Bên bán") *
(Table_VanDon[Ngày lập] &gt;= O$1) *
(Table_VanDon[Ngày lập] &lt; DATE(YEAR(O$1),MONTH(O$1)+1,1))
)),
0)</f>
        <v>0</v>
      </c>
      <c r="P21" s="359" cm="1">
        <f t="array" ref="P21">-IFERROR(
SUM(
_xlfn._xlws.FILTER(Table_VanDon[Phí ship],
(Table_VanDon[Bên chịu phí] = "Bên bán") *
(Table_VanDon[Ngày lập] &gt;= P$1) *
(Table_VanDon[Ngày lập] &lt; DATE(YEAR(P$1),MONTH(P$1)+1,1))
)),
0)</f>
        <v>0</v>
      </c>
      <c r="Q21" s="262"/>
      <c r="R21" s="262"/>
      <c r="S21" s="262"/>
      <c r="T21" s="262"/>
      <c r="U21" s="262"/>
      <c r="V21" s="262"/>
      <c r="W21" s="262"/>
      <c r="X21" s="262"/>
      <c r="Y21" s="262"/>
      <c r="Z21" s="262"/>
      <c r="AA21" s="262"/>
      <c r="AB21" s="262"/>
      <c r="AC21" s="262"/>
      <c r="AD21" s="262"/>
      <c r="AE21" s="262"/>
      <c r="AF21" s="262"/>
      <c r="AG21" s="262"/>
      <c r="AH21" s="262"/>
      <c r="AI21" s="262"/>
      <c r="AJ21" s="262"/>
      <c r="AK21" s="262"/>
      <c r="AL21" s="262"/>
      <c r="AM21" s="262"/>
    </row>
    <row r="22" spans="1:39" s="53" customFormat="1" ht="18" customHeight="1" outlineLevel="3" x14ac:dyDescent="0.3">
      <c r="A22" s="240">
        <f t="shared" si="0"/>
        <v>19</v>
      </c>
      <c r="B22" s="362"/>
      <c r="C22" s="72" t="s">
        <v>343</v>
      </c>
      <c r="D22" s="358"/>
      <c r="E22" s="359" cm="1">
        <f t="array" ref="E22">-IFERROR(SUM(
_xlfn._xlws.FILTER(Table_Main[CK kênh],
(Table_Main[Ngày lên đơn] &gt;= DATE(BCTC_Nam, 1, 1))*
(Table_Main[Ngày lên đơn]  &lt; DATE(BCTC_Nam+1, 1, 1))
)),0)
-IFERROR(
SUM(_xlfn._xlws.FILTER(Table_KPI[Thưởng KPI],
(NOT(ISBLANK(Table_KPI[Kênh]))) *
(Table_KPI[Năm] =  BCTC_Nam)
)),0)
-IFERROR(
SUM(_xlfn._xlws.FILTER(Table_ChiPhiKD[Giá trị],
(Table_ChiPhiKD[Nhóm chi phí] = Table_BCTC[[#This Row],[Gtri]]) *
(Table_ChiPhiKD[Năm] = BCTC_Nam)
)),0)</f>
        <v>0</v>
      </c>
      <c r="F22" s="359" cm="1">
        <f t="array" ref="F22">-IFERROR(SUM(
_xlfn._xlws.FILTER(Table_Main[CK kênh],
(Table_Main[Ngày lên đơn] &gt;= DATE(BCTC_Nam, BCTC_Thang, 1))*
(Table_Main[Ngày lên đơn] &lt; DATE(BCTC_Nam, BCTC_Thang+1, 1))
)),0)
-IFERROR(
SUM(_xlfn._xlws.FILTER(Table_KPI[Thưởng KPI],
(NOT(ISBLANK(Table_KPI[Kênh]))) *
(NOT(ISBLANK(Table_KPI[Tháng]))) *
(Table_KPI[Kỳ] &gt;= DATE(BCTC_Nam, BCTC_Thang, 1)) *
(Table_KPI[Kỳ] &lt; DATE(BCTC_Nam, BCTC_Thang+1, 1))
)),0)
-IFERROR(
SUM(_xlfn._xlws.FILTER(Table_KPI[Thưởng KPI],
(NOT(ISBLANK(Table_KPI[Kênh]))) *
(ISBLANK(Table_KPI[Tháng])) *
(Table_KPI[Năm] =  BCTC_Nam)
)) / 12,0)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2" s="359"/>
      <c r="H22" s="362"/>
      <c r="I22" s="72" t="s">
        <v>343</v>
      </c>
      <c r="J22" s="359" cm="1">
        <f t="array" ref="J22">-IFERROR(
SUM(
_xlfn._xlws.FILTER(Table_Main[CK kênh],
(Table_Main[Ngày lên đơn] &gt;= DATE(J$1, 1, 1))*
(Table_Main[Ngày lên đơn]  &lt; DATE(J$1+1, 1, 1))
)),
0)
-IFERROR(
SUM(
_xlfn._xlws.FILTER(Table_KPI[Thưởng KPI],
(NOT(ISBLANK(Table_KPI[Kênh]))) *
(Table_KPI[Năm] =  J$1)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2" s="359" cm="1">
        <f t="array" ref="K22">-IFERROR(
SUM(
_xlfn._xlws.FILTER(Table_Main[CK kênh],
(Table_Main[Ngày lên đơn] &gt;= DATE(K$1, 1, 1))*
(Table_Main[Ngày lên đơn]  &lt; DATE(K$1+1, 1, 1))
)),
0)
-IFERROR(
SUM(
_xlfn._xlws.FILTER(Table_KPI[Thưởng KPI],
(NOT(ISBLANK(Table_KPI[Kênh]))) *
(Table_KPI[Năm] =  K$1)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2" s="262"/>
      <c r="M22" s="362"/>
      <c r="N22" s="72" t="s">
        <v>343</v>
      </c>
      <c r="O22" s="359" cm="1">
        <f t="array" ref="O22">-IFERROR(
SUM(
_xlfn._xlws.FILTER(Table_Main[CK kênh],
(Table_Main[Ngày lên đơn] &gt;= O$1)*
(Table_Main[Ngày lên đơn] &lt; DATE(YEAR(O$1),MONTH(O$1)+1,1))
)),
0)
-IFERROR(
SUM(
_xlfn._xlws.FILTER(Table_KPI[Thưởng KPI],
(NOT(ISBLANK(Table_KPI[Kênh]))) *
(NOT(ISBLANK(Table_KPI[Tháng]))) *
(Table_KPI[Kỳ] = O$1)
)),
0)
-IFERROR(
SUM(
_xlfn._xlws.FILTER(Table_KPI[Thưởng KPI],
(NOT(ISBLANK(Table_KPI[Kênh]))) *
(ISBLANK(Table_KPI[Tháng])) *
(Table_KPI[Năm] =  YEAR(O$1))
)) / 12,
0)
-IFERROR(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2" s="359" cm="1">
        <f t="array" ref="P22">-IFERROR(
SUM(
_xlfn._xlws.FILTER(Table_Main[CK kênh],
(Table_Main[Ngày lên đơn] &gt;= P$1)*
(Table_Main[Ngày lên đơn] &lt; DATE(YEAR(P$1),MONTH(P$1)+1,1))
)),
0)
-IFERROR(
SUM(
_xlfn._xlws.FILTER(Table_KPI[Thưởng KPI],
(NOT(ISBLANK(Table_KPI[Kênh]))) *
(NOT(ISBLANK(Table_KPI[Tháng]))) *
(Table_KPI[Kỳ] = P$1)
)),
0)
-IFERROR(
SUM(
_xlfn._xlws.FILTER(Table_KPI[Thưởng KPI],
(NOT(ISBLANK(Table_KPI[Kênh]))) *
(ISBLANK(Table_KPI[Tháng])) *
(Table_KPI[Năm] =  YEAR(P$1))
)) / 12,
0)
-IFERROR(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2" s="262"/>
      <c r="R22" s="262"/>
      <c r="S22" s="262"/>
      <c r="T22" s="262"/>
      <c r="U22" s="262"/>
      <c r="V22" s="262"/>
      <c r="W22" s="262"/>
      <c r="X22" s="262"/>
      <c r="Y22" s="262"/>
      <c r="Z22" s="262"/>
      <c r="AA22" s="262"/>
      <c r="AB22" s="262"/>
      <c r="AC22" s="262"/>
      <c r="AD22" s="262"/>
      <c r="AE22" s="262"/>
      <c r="AF22" s="262"/>
      <c r="AG22" s="262"/>
      <c r="AH22" s="262"/>
      <c r="AI22" s="262"/>
      <c r="AJ22" s="262"/>
      <c r="AK22" s="262"/>
      <c r="AL22" s="262"/>
      <c r="AM22" s="262"/>
    </row>
    <row r="23" spans="1:39" s="53" customFormat="1" ht="18" customHeight="1" outlineLevel="3" x14ac:dyDescent="0.3">
      <c r="A23" s="240">
        <f t="shared" si="0"/>
        <v>20</v>
      </c>
      <c r="B23" s="362"/>
      <c r="C23" s="72" t="s">
        <v>289</v>
      </c>
      <c r="D23" s="358"/>
      <c r="E23" s="359" cm="1">
        <f t="array" ref="E23">-IFERROR(SUM(
_xlfn._xlws.FILTER(Table_ThuChiKD[Phí GD],
(Table_ThuChiKD[Ngày GD] &gt;= DATE(BCTC_Nam, 1, 1))*
(Table_ThuChiKD[Ngày GD] &lt; DATE(BCTC_Nam+1, 1, 1))
)),0)</f>
        <v>0</v>
      </c>
      <c r="F23" s="359" cm="1">
        <f t="array" ref="F23">-IFERROR(SUM(
_xlfn._xlws.FILTER(Table_ThuChiKD[Phí GD],
(Table_ThuChiKD[Ngày GD] &gt;= DATE(BCTC_Nam, BCTC_Thang, 1))*
(Table_ThuChiKD[Ngày GD] &lt; DATE(BCTC_Nam, BCTC_Thang + 1, 1))
)),0)</f>
        <v>0</v>
      </c>
      <c r="G23" s="359"/>
      <c r="H23" s="362"/>
      <c r="I23" s="72" t="s">
        <v>289</v>
      </c>
      <c r="J23" s="359" cm="1">
        <f t="array" ref="J23">-IFERROR(
SUM(
_xlfn._xlws.FILTER(Table_ThuChiKD[Phí GD],
(Table_ThuChiKD[Ngày GD] &gt;= DATE(J$1, 1, 1))*
(Table_ThuChiKD[Ngày GD] &lt; DATE(J$1+1, 1, 1))
)),
0)</f>
        <v>0</v>
      </c>
      <c r="K23" s="359" cm="1">
        <f t="array" ref="K23">-IFERROR(
SUM(
_xlfn._xlws.FILTER(Table_ThuChiKD[Phí GD],
(Table_ThuChiKD[Ngày GD] &gt;= DATE(K$1, 1, 1))*
(Table_ThuChiKD[Ngày GD] &lt; DATE(K$1+1, 1, 1))
)),
0)</f>
        <v>0</v>
      </c>
      <c r="L23" s="262"/>
      <c r="M23" s="362"/>
      <c r="N23" s="72" t="s">
        <v>289</v>
      </c>
      <c r="O23" s="359" cm="1">
        <f t="array" ref="O23">-IFERROR(
SUM(
_xlfn._xlws.FILTER(Table_ThuChiKD[Phí GD],
(Table_ThuChiKD[Ngày GD] &gt;= O$1)*
(Table_ThuChiKD[Ngày GD] &lt; DATE(YEAR(O$1),MONTH(O$1)+1,1))
)),
0)</f>
        <v>0</v>
      </c>
      <c r="P23" s="359" cm="1">
        <f t="array" ref="P23">-IFERROR(
SUM(
_xlfn._xlws.FILTER(Table_ThuChiKD[Phí GD],
(Table_ThuChiKD[Ngày GD] &gt;= P$1)*
(Table_ThuChiKD[Ngày GD] &lt; DATE(YEAR(P$1),MONTH(P$1)+1,1))
)),
0)</f>
        <v>0</v>
      </c>
      <c r="Q23" s="262"/>
      <c r="R23" s="262"/>
      <c r="S23" s="262"/>
      <c r="T23" s="262"/>
      <c r="U23" s="262"/>
      <c r="V23" s="262"/>
      <c r="W23" s="262"/>
      <c r="X23" s="262"/>
      <c r="Y23" s="262"/>
      <c r="Z23" s="262"/>
      <c r="AA23" s="262"/>
      <c r="AB23" s="262"/>
      <c r="AC23" s="262"/>
      <c r="AD23" s="262"/>
      <c r="AE23" s="262"/>
      <c r="AF23" s="262"/>
      <c r="AG23" s="262"/>
      <c r="AH23" s="262"/>
      <c r="AI23" s="262"/>
      <c r="AJ23" s="262"/>
      <c r="AK23" s="262"/>
      <c r="AL23" s="262"/>
      <c r="AM23" s="262"/>
    </row>
    <row r="24" spans="1:39" s="53" customFormat="1" ht="18" customHeight="1" outlineLevel="3" x14ac:dyDescent="0.3">
      <c r="A24" s="240">
        <f t="shared" si="0"/>
        <v>21</v>
      </c>
      <c r="B24" s="362"/>
      <c r="C24" s="72" t="s">
        <v>344</v>
      </c>
      <c r="D24" s="358"/>
      <c r="E24" s="359" cm="1">
        <f t="array" ref="E24">-IFERROR(
SUM(_xlfn._xlws.FILTER(Table_ChiPhiKD[Giá trị],
(Table_ChiPhiKD[Nhóm chi phí] = Table_BCTC[[#This Row],[Gtri]]) *
(Table_ChiPhiKD[Năm] = BCTC_Nam)
)),0)</f>
        <v>0</v>
      </c>
      <c r="F24" s="359" cm="1">
        <f t="array" ref="F24">-IFERROR(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4" s="355"/>
      <c r="H24" s="362"/>
      <c r="I24" s="72" t="s">
        <v>344</v>
      </c>
      <c r="J24" s="359" cm="1">
        <f t="array" ref="J24"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4" s="359" cm="1">
        <f t="array" ref="K24"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4" s="262"/>
      <c r="M24" s="362"/>
      <c r="N24" s="72" t="s">
        <v>344</v>
      </c>
      <c r="O24" s="359" cm="1">
        <f t="array" ref="O24">-IFERROR(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4" s="359" cm="1">
        <f t="array" ref="P24">-IFERROR(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4" s="262"/>
      <c r="R24" s="262"/>
      <c r="S24" s="262"/>
      <c r="T24" s="262"/>
      <c r="U24" s="262"/>
      <c r="V24" s="262"/>
      <c r="W24" s="262"/>
      <c r="X24" s="262"/>
      <c r="Y24" s="262"/>
      <c r="Z24" s="262"/>
      <c r="AA24" s="262"/>
      <c r="AB24" s="262"/>
      <c r="AC24" s="262"/>
      <c r="AD24" s="262"/>
      <c r="AE24" s="262"/>
      <c r="AF24" s="262"/>
      <c r="AG24" s="262"/>
      <c r="AH24" s="262"/>
      <c r="AI24" s="262"/>
      <c r="AJ24" s="262"/>
      <c r="AK24" s="262"/>
      <c r="AL24" s="262"/>
      <c r="AM24" s="262"/>
    </row>
    <row r="25" spans="1:39" ht="18" customHeight="1" outlineLevel="3" x14ac:dyDescent="0.3">
      <c r="A25" s="240">
        <f t="shared" si="0"/>
        <v>22</v>
      </c>
      <c r="B25" s="362"/>
      <c r="C25" s="72" t="s">
        <v>345</v>
      </c>
      <c r="D25" s="358"/>
      <c r="E25" s="359" cm="1">
        <f t="array" ref="E25">-IFERROR(
SUM(_xlfn._xlws.FILTER(Table_ChiPhiKD[Giá trị],
(Table_ChiPhiKD[Nhóm chi phí] = Table_BCTC[[#This Row],[Gtri]]) *
(Table_ChiPhiKD[Năm] = BCTC_Nam)
)),0)</f>
        <v>0</v>
      </c>
      <c r="F25" s="359" cm="1">
        <f t="array" ref="F25">-IFERROR(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5" s="359"/>
      <c r="H25" s="362"/>
      <c r="I25" s="72" t="s">
        <v>345</v>
      </c>
      <c r="J25" s="359" cm="1">
        <f t="array" ref="J25"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5" s="359" cm="1">
        <f t="array" ref="K25"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5" s="242"/>
      <c r="M25" s="362"/>
      <c r="N25" s="72" t="s">
        <v>345</v>
      </c>
      <c r="O25" s="359" cm="1">
        <f t="array" ref="O25">-IFERROR(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5" s="359" cm="1">
        <f t="array" ref="P25">-IFERROR(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5" s="240"/>
      <c r="R25" s="240"/>
      <c r="S25" s="240"/>
      <c r="T25" s="240"/>
      <c r="U25" s="240"/>
      <c r="V25" s="240"/>
      <c r="W25" s="240"/>
      <c r="X25" s="240"/>
      <c r="Y25" s="240"/>
      <c r="Z25" s="240"/>
      <c r="AA25" s="240"/>
      <c r="AB25" s="240"/>
      <c r="AC25" s="240"/>
      <c r="AD25" s="240"/>
      <c r="AE25" s="240"/>
      <c r="AF25" s="240"/>
      <c r="AG25" s="240"/>
      <c r="AH25" s="240"/>
      <c r="AI25" s="240"/>
      <c r="AJ25" s="240"/>
      <c r="AK25" s="240"/>
      <c r="AL25" s="240"/>
      <c r="AM25" s="240"/>
    </row>
    <row r="26" spans="1:39" s="53" customFormat="1" ht="18" customHeight="1" outlineLevel="3" x14ac:dyDescent="0.3">
      <c r="A26" s="240">
        <f t="shared" si="0"/>
        <v>23</v>
      </c>
      <c r="B26" s="362"/>
      <c r="C26" s="72" t="s">
        <v>376</v>
      </c>
      <c r="D26" s="358"/>
      <c r="E26" s="359" cm="1">
        <f t="array" ref="E26">-IFERROR(
SUM(_xlfn._xlws.FILTER(Table_TSCD_KhauHao[Khấu hao bán hàng],
(Table_TSCD_KhauHao[Năm] = BCTC_Nam)
)),0)</f>
        <v>0</v>
      </c>
      <c r="F26" s="359" cm="1">
        <f t="array" ref="F26">-IFERROR(
SUM(_xlfn._xlws.FILTER(Table_TSCD_KhauHao[Khấu hao bán hàng],
(Table_TSCD_KhauHao[Kỳ] = DATE(BCTC_Nam,BCTC_Thang,1))
)),0)</f>
        <v>0</v>
      </c>
      <c r="G26" s="359"/>
      <c r="H26" s="362"/>
      <c r="I26" s="72" t="s">
        <v>377</v>
      </c>
      <c r="J26" s="359" cm="1">
        <f t="array" ref="J26">-IFERROR(
SUM(_xlfn._xlws.FILTER(Table_TSCD_KhauHao[Khấu hao bán hàng],
(Table_TSCD_KhauHao[Năm] = J$1)
)),0)</f>
        <v>0</v>
      </c>
      <c r="K26" s="359" cm="1">
        <f t="array" ref="K26">-IFERROR(
SUM(_xlfn._xlws.FILTER(Table_TSCD_KhauHao[Khấu hao bán hàng],
(Table_TSCD_KhauHao[Năm] = K$1)
)),0)</f>
        <v>0</v>
      </c>
      <c r="L26" s="262"/>
      <c r="M26" s="362"/>
      <c r="N26" s="72" t="s">
        <v>377</v>
      </c>
      <c r="O26" s="359" cm="1">
        <f t="array" ref="O26">-IFERROR(
SUM(_xlfn._xlws.FILTER(Table_TSCD_KhauHao[Khấu hao bán hàng],
(Table_TSCD_KhauHao[Kỳ] = O$1)
)),0)</f>
        <v>0</v>
      </c>
      <c r="P26" s="359" cm="1">
        <f t="array" ref="P26">-IFERROR(
SUM(_xlfn._xlws.FILTER(Table_TSCD_KhauHao[Khấu hao bán hàng],
(Table_TSCD_KhauHao[Kỳ] = P$1)
)),0)</f>
        <v>0</v>
      </c>
      <c r="Q26" s="262"/>
      <c r="R26" s="262"/>
      <c r="S26" s="262"/>
      <c r="T26" s="262"/>
      <c r="U26" s="262"/>
      <c r="V26" s="262"/>
      <c r="W26" s="262"/>
      <c r="X26" s="262"/>
      <c r="Y26" s="262"/>
      <c r="Z26" s="262"/>
      <c r="AA26" s="262"/>
      <c r="AB26" s="262"/>
      <c r="AC26" s="262"/>
      <c r="AD26" s="262"/>
      <c r="AE26" s="262"/>
      <c r="AF26" s="262"/>
      <c r="AG26" s="262"/>
      <c r="AH26" s="262"/>
      <c r="AI26" s="262"/>
      <c r="AJ26" s="262"/>
      <c r="AK26" s="262"/>
      <c r="AL26" s="262"/>
      <c r="AM26" s="262"/>
    </row>
    <row r="27" spans="1:39" s="53" customFormat="1" ht="18" customHeight="1" outlineLevel="3" x14ac:dyDescent="0.3">
      <c r="A27" s="240">
        <f t="shared" si="0"/>
        <v>24</v>
      </c>
      <c r="B27" s="362"/>
      <c r="C27" s="72" t="s">
        <v>378</v>
      </c>
      <c r="D27" s="358"/>
      <c r="E27" s="359" cm="1">
        <f t="array" ref="E27">-IFERROR(
SUM(_xlfn._xlws.FILTER(Table_ChiPhiKD[Giá trị],
(Table_ChiPhiKD[Nhóm chi phí] = Table_BCTC[[#This Row],[Gtri]]) *
(Table_ChiPhiKD[Năm] = BCTC_Nam)
)),0)</f>
        <v>0</v>
      </c>
      <c r="F27" s="359" cm="1">
        <f t="array" ref="F27">-IFERROR(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7" s="359"/>
      <c r="H27" s="362"/>
      <c r="I27" s="72" t="s">
        <v>378</v>
      </c>
      <c r="J27" s="359" cm="1">
        <f t="array" ref="J27"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7" s="359" cm="1">
        <f t="array" ref="K27"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7" s="262"/>
      <c r="M27" s="362"/>
      <c r="N27" s="72" t="s">
        <v>378</v>
      </c>
      <c r="O27" s="359" cm="1">
        <f t="array" ref="O27">-IFERROR(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7" s="359" cm="1">
        <f t="array" ref="P27">-IFERROR(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7" s="262"/>
      <c r="R27" s="262"/>
      <c r="S27" s="262"/>
      <c r="T27" s="262"/>
      <c r="U27" s="262"/>
      <c r="V27" s="262"/>
      <c r="W27" s="262"/>
      <c r="X27" s="262"/>
      <c r="Y27" s="262"/>
      <c r="Z27" s="262"/>
      <c r="AA27" s="262"/>
      <c r="AB27" s="262"/>
      <c r="AC27" s="262"/>
      <c r="AD27" s="262"/>
      <c r="AE27" s="262"/>
      <c r="AF27" s="262"/>
      <c r="AG27" s="262"/>
      <c r="AH27" s="262"/>
      <c r="AI27" s="262"/>
      <c r="AJ27" s="262"/>
      <c r="AK27" s="262"/>
      <c r="AL27" s="262"/>
      <c r="AM27" s="262"/>
    </row>
    <row r="28" spans="1:39" s="53" customFormat="1" ht="18" customHeight="1" outlineLevel="2" x14ac:dyDescent="0.3">
      <c r="A28" s="240">
        <f t="shared" si="0"/>
        <v>25</v>
      </c>
      <c r="B28" s="356" t="s">
        <v>379</v>
      </c>
      <c r="C28" s="73" t="s">
        <v>380</v>
      </c>
      <c r="D28" s="361"/>
      <c r="E28" s="355">
        <f>+SUM(E29:E35)</f>
        <v>0</v>
      </c>
      <c r="F28" s="355">
        <f>+SUM(F29:F35)</f>
        <v>0</v>
      </c>
      <c r="G28" s="359"/>
      <c r="H28" s="356" t="s">
        <v>379</v>
      </c>
      <c r="I28" s="73" t="s">
        <v>380</v>
      </c>
      <c r="J28" s="355">
        <f>+SUM(J29:J35)</f>
        <v>0</v>
      </c>
      <c r="K28" s="355">
        <f>+SUM(K29:K35)</f>
        <v>0</v>
      </c>
      <c r="L28" s="262"/>
      <c r="M28" s="356" t="s">
        <v>379</v>
      </c>
      <c r="N28" s="73" t="s">
        <v>380</v>
      </c>
      <c r="O28" s="355">
        <f>+SUM(O29:O35)</f>
        <v>0</v>
      </c>
      <c r="P28" s="355">
        <f>+SUM(P29:P35)</f>
        <v>0</v>
      </c>
      <c r="Q28" s="262"/>
      <c r="R28" s="262"/>
      <c r="S28" s="262"/>
      <c r="T28" s="262"/>
      <c r="U28" s="262"/>
      <c r="V28" s="262"/>
      <c r="W28" s="262"/>
      <c r="X28" s="262"/>
      <c r="Y28" s="262"/>
      <c r="Z28" s="262"/>
      <c r="AA28" s="262"/>
      <c r="AB28" s="262"/>
      <c r="AC28" s="262"/>
      <c r="AD28" s="262"/>
      <c r="AE28" s="262"/>
      <c r="AF28" s="262"/>
      <c r="AG28" s="262"/>
      <c r="AH28" s="262"/>
      <c r="AI28" s="262"/>
      <c r="AJ28" s="262"/>
      <c r="AK28" s="262"/>
      <c r="AL28" s="262"/>
      <c r="AM28" s="262"/>
    </row>
    <row r="29" spans="1:39" s="53" customFormat="1" ht="18" customHeight="1" outlineLevel="3" x14ac:dyDescent="0.3">
      <c r="A29" s="240">
        <f t="shared" si="0"/>
        <v>26</v>
      </c>
      <c r="B29" s="362"/>
      <c r="C29" s="72" t="s">
        <v>381</v>
      </c>
      <c r="D29" s="358"/>
      <c r="E29" s="359" cm="1">
        <f t="array" ref="E29">-IFERROR(
SUM(_xlfn._xlws.FILTER(Table_ChiPhiNV[Tổng chi phí],
(Table_ChiPhiNV[Chức năng] = "Văn phòng") *
(Table_ChiPhiNV[Năm] = BCTC_Nam)
)),0)</f>
        <v>0</v>
      </c>
      <c r="F29" s="359" cm="1">
        <f t="array" ref="F29">-IFERROR(
SUM(_xlfn._xlws.FILTER(Table_ChiPhiNV[Tổng chi phí],
(Table_ChiPhiNV[Chức năng] = "Văn phòng") *
(NOT(ISBLANK(Table_ChiPhiNV[Tháng])))*
(Table_ChiPhiNV[Kỳ] = DATE(BCTC_Nam,BCTC_Thang,1))
)),0)
-IFERROR(
SUMPRODUCT(
_xlfn._xlws.FILTER(Table_ChiPhiNV[Tổng chi phí],
(Table_ChiPhiNV[Chức năng] = "Văn phòng")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"Văn phòng") *
(Table_ChiPhiNV[Năm] = BCTC_Nam) *
(ISBLANK(Table_ChiPhiNV[Tháng]))*
(Table_ChiPhiNV[Phân bổ từ] &lt; DATE(BCTC_Nam,BCTC_Thang+1,1))*
(Table_ChiPhiNV[Phân bổ đến] &gt; DATE(BCTC_Nam,BCTC_Thang,1))
)
),0)</f>
        <v>0</v>
      </c>
      <c r="G29" s="359"/>
      <c r="H29" s="362"/>
      <c r="I29" s="72" t="s">
        <v>381</v>
      </c>
      <c r="J29" s="359" cm="1">
        <f t="array" ref="J29" xml:space="preserve">
-IFERROR(
SUM(
_xlfn._xlws.FILTER(Table_ChiPhiNV[Tổng chi phí],
(Table_ChiPhiNV[Chức năng] = "Văn phòng") *
(NOT(ISBLANK(Table_ChiPhiNV[Tháng])))*
(Table_ChiPhiNV[Năm] = J$1)
)),
0)
-IFERROR(
SUMPRODUCT(
_xlfn._xlws.FILTER(Table_ChiPhiNV[Tổng chi phí],
(Table_ChiPhiNV[Chức năng] = "Văn phòng")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"Văn phòng") *
(ISBLANK(Table_ChiPhiNV[Tháng]))*
(Table_ChiPhiNV[Phân bổ từ] &lt; DATE(J$1+1,1,1))*
(Table_ChiPhiNV[Phân bổ đến] &gt; DATE(J$1,1,1))
),
1/_xlfn._xlws.FILTER(
ROUND(
(Table_ChiPhiNV[Phân bổ đến]-Table_ChiPhiNV[Phân bổ từ])
/(365.25/12),
0),
(Table_ChiPhiNV[Chức năng] = "Văn phòng") *
(ISBLANK(Table_ChiPhiNV[Tháng]))*
(Table_ChiPhiNV[Phân bổ từ] &lt; DATE(J$1+1,1,1))*
(Table_ChiPhiNV[Phân bổ đến] &gt; DATE(J$1,1,1))
)
),
0)</f>
        <v>0</v>
      </c>
      <c r="K29" s="359" cm="1">
        <f t="array" ref="K29" xml:space="preserve">
-IFERROR(
SUM(
_xlfn._xlws.FILTER(Table_ChiPhiNV[Tổng chi phí],
(Table_ChiPhiNV[Chức năng] = "Văn phòng") *
(NOT(ISBLANK(Table_ChiPhiNV[Tháng])))*
(Table_ChiPhiNV[Năm] = K$1)
)),
0)
-IFERROR(
SUMPRODUCT(
_xlfn._xlws.FILTER(Table_ChiPhiNV[Tổng chi phí],
(Table_ChiPhiNV[Chức năng] = "Văn phòng")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"Văn phòng") *
(ISBLANK(Table_ChiPhiNV[Tháng]))*
(Table_ChiPhiNV[Phân bổ từ] &lt; DATE(K$1+1,1,1))*
(Table_ChiPhiNV[Phân bổ đến] &gt; DATE(K$1,1,1))
),
1/_xlfn._xlws.FILTER(
ROUND(
(Table_ChiPhiNV[Phân bổ đến]-Table_ChiPhiNV[Phân bổ từ])
/(365.25/12),
0),
(Table_ChiPhiNV[Chức năng] = "Văn phòng") *
(ISBLANK(Table_ChiPhiNV[Tháng]))*
(Table_ChiPhiNV[Phân bổ từ] &lt; DATE(K$1+1,1,1))*
(Table_ChiPhiNV[Phân bổ đến] &gt; DATE(K$1,1,1))
)
),
0)</f>
        <v>0</v>
      </c>
      <c r="L29" s="262"/>
      <c r="M29" s="362"/>
      <c r="N29" s="72" t="s">
        <v>381</v>
      </c>
      <c r="O29" s="359" cm="1">
        <f t="array" ref="O29">-IFERROR(
SUM(_xlfn._xlws.FILTER(Table_ChiPhiNV[Tổng chi phí],
(Table_ChiPhiNV[Chức năng] = "Văn phòng") *
(NOT(ISBLANK(Table_ChiPhiNV[Tháng])))*
(Table_ChiPhiNV[Kỳ] = O$1)
)),0)
-IFERROR(
SUMPRODUCT(
_xlfn._xlws.FILTER(Table_ChiPhiNV[Tổng chi phí],
(Table_ChiPhiNV[Chức năng] = "Văn phòng") *
(ISBLANK(Table_ChiPhiNV[Tháng]))*
(Table_ChiPhiNV[Phân bổ từ] &lt; DATE(YEAR(O$1),MONTH(O$1)+1,1))*
(Table_ChiPhiNV[Phân bổ đến] &gt; O$1)
),
1/_xlfn._xlws.FILTER(ROUND((Table_ChiPhiNV[Phân bổ đến]-Table_ChiPhiNV[Phân bổ từ])/(365.25/12),0),
(Table_ChiPhiNV[Chức năng] = "Văn phòng") *
(ISBLANK(Table_ChiPhiNV[Tháng]))*
(Table_ChiPhiNV[Phân bổ từ] &lt; DATE(YEAR(O$1),MONTH(O$1)+1,1))*
(Table_ChiPhiNV[Phân bổ đến] &gt; O$1)
)
),0)</f>
        <v>0</v>
      </c>
      <c r="P29" s="359" cm="1">
        <f t="array" ref="P29">-IFERROR(
SUM(_xlfn._xlws.FILTER(Table_ChiPhiNV[Tổng chi phí],
(Table_ChiPhiNV[Chức năng] = "Văn phòng") *
(NOT(ISBLANK(Table_ChiPhiNV[Tháng])))*
(Table_ChiPhiNV[Kỳ] = P$1)
)),0)
-IFERROR(
SUMPRODUCT(
_xlfn._xlws.FILTER(Table_ChiPhiNV[Tổng chi phí],
(Table_ChiPhiNV[Chức năng] = "Văn phòng") *
(ISBLANK(Table_ChiPhiNV[Tháng]))*
(Table_ChiPhiNV[Phân bổ từ] &lt; DATE(YEAR(P$1),MONTH(P$1)+1,1))*
(Table_ChiPhiNV[Phân bổ đến] &gt; P$1)
),
1/_xlfn._xlws.FILTER(ROUND((Table_ChiPhiNV[Phân bổ đến]-Table_ChiPhiNV[Phân bổ từ])/(365.25/12),0),
(Table_ChiPhiNV[Chức năng] = "Văn phòng") *
(ISBLANK(Table_ChiPhiNV[Tháng]))*
(Table_ChiPhiNV[Phân bổ từ] &lt; DATE(YEAR(P$1),MONTH(P$1)+1,1))*
(Table_ChiPhiNV[Phân bổ đến] &gt; P$1)
)
),0)</f>
        <v>0</v>
      </c>
      <c r="Q29" s="262"/>
      <c r="R29" s="262"/>
      <c r="S29" s="262"/>
      <c r="T29" s="262"/>
      <c r="U29" s="262"/>
      <c r="V29" s="262"/>
      <c r="W29" s="262"/>
      <c r="X29" s="262"/>
      <c r="Y29" s="262"/>
      <c r="Z29" s="262"/>
      <c r="AA29" s="262"/>
      <c r="AB29" s="262"/>
      <c r="AC29" s="262"/>
      <c r="AD29" s="262"/>
      <c r="AE29" s="262"/>
      <c r="AF29" s="262"/>
      <c r="AG29" s="262"/>
      <c r="AH29" s="262"/>
      <c r="AI29" s="262"/>
      <c r="AJ29" s="262"/>
      <c r="AK29" s="262"/>
      <c r="AL29" s="262"/>
      <c r="AM29" s="262"/>
    </row>
    <row r="30" spans="1:39" s="53" customFormat="1" ht="18" customHeight="1" outlineLevel="3" x14ac:dyDescent="0.3">
      <c r="A30" s="240">
        <f t="shared" si="0"/>
        <v>27</v>
      </c>
      <c r="B30" s="362"/>
      <c r="C30" s="72" t="s">
        <v>382</v>
      </c>
      <c r="D30" s="358"/>
      <c r="E30" s="359" cm="1">
        <f t="array" ref="E30">-IFERROR(
SUM(_xlfn._xlws.FILTER(Table_TonKho[Chi phí ghi nhận],
(Table_TonKho[Năm] = BCTC_Nam) *
(Table_TonKho[Chức năng] = "Văn phòng")
)),0)</f>
        <v>0</v>
      </c>
      <c r="F30" s="359" cm="1">
        <f t="array" ref="F30">-IFERROR(
SUM(_xlfn._xlws.FILTER(Table_TonKho[Chi phí ghi nhận],
(Table_TonKho[Kỳ] = DATE(BCTC_Nam,BCTC_Thang,1)) *
(Table_TonKho[Chức năng] = "Văn phòng")
)),0)</f>
        <v>0</v>
      </c>
      <c r="G30" s="359"/>
      <c r="H30" s="362"/>
      <c r="I30" s="72" t="s">
        <v>382</v>
      </c>
      <c r="J30" s="359" cm="1">
        <f t="array" ref="J30">-IFERROR(
SUM(_xlfn._xlws.FILTER(Table_TonKho[Chi phí ghi nhận],
(Table_TonKho[Năm] = J$1) *
(Table_TonKho[Chức năng] = "Văn phòng")
)),0)</f>
        <v>0</v>
      </c>
      <c r="K30" s="359" cm="1">
        <f t="array" ref="K30">-IFERROR(
SUM(_xlfn._xlws.FILTER(Table_TonKho[Chi phí ghi nhận],
(Table_TonKho[Năm] = K$1) *
(Table_TonKho[Chức năng] = "Văn phòng")
)),0)</f>
        <v>0</v>
      </c>
      <c r="L30" s="262"/>
      <c r="M30" s="362"/>
      <c r="N30" s="72" t="s">
        <v>382</v>
      </c>
      <c r="O30" s="359" cm="1">
        <f t="array" ref="O30">-IFERROR(
SUM(_xlfn._xlws.FILTER(Table_TonKho[Chi phí ghi nhận],
(Table_TonKho[Kỳ] = O$1) *
(Table_TonKho[Chức năng] = "Văn phòng")
)),0)</f>
        <v>0</v>
      </c>
      <c r="P30" s="359" cm="1">
        <f t="array" ref="P30">-IFERROR(
SUM(_xlfn._xlws.FILTER(Table_TonKho[Chi phí ghi nhận],
(Table_TonKho[Kỳ] = P$1) *
(Table_TonKho[Chức năng] = "Văn phòng")
)),0)</f>
        <v>0</v>
      </c>
      <c r="Q30" s="262"/>
      <c r="R30" s="262"/>
      <c r="S30" s="262"/>
      <c r="T30" s="262"/>
      <c r="U30" s="262"/>
      <c r="V30" s="262"/>
      <c r="W30" s="262"/>
      <c r="X30" s="262"/>
      <c r="Y30" s="262"/>
      <c r="Z30" s="262"/>
      <c r="AA30" s="262"/>
      <c r="AB30" s="262"/>
      <c r="AC30" s="262"/>
      <c r="AD30" s="262"/>
      <c r="AE30" s="262"/>
      <c r="AF30" s="262"/>
      <c r="AG30" s="262"/>
      <c r="AH30" s="262"/>
      <c r="AI30" s="262"/>
      <c r="AJ30" s="262"/>
      <c r="AK30" s="262"/>
      <c r="AL30" s="262"/>
      <c r="AM30" s="262"/>
    </row>
    <row r="31" spans="1:39" s="53" customFormat="1" ht="18" customHeight="1" outlineLevel="3" x14ac:dyDescent="0.3">
      <c r="A31" s="240">
        <f t="shared" si="0"/>
        <v>28</v>
      </c>
      <c r="B31" s="362"/>
      <c r="C31" s="72" t="s">
        <v>383</v>
      </c>
      <c r="D31" s="358"/>
      <c r="E31" s="359" cm="1">
        <f t="array" ref="E31">-
IFERROR(
SUM(
_xlfn._xlws.FILTER(Table_ChiPhiKD[Giá trị]-Table_ChiPhiKD[Phân bổ sản xuất],
(Table_ChiPhiKD[Năm] = BCTC_Nam) *
(VLOOKUP(Table_ChiPhiKD[Nhóm chi phí],Table_ChiPhiKD_PhanNhom[],Sheet_ChiPhiKD!$J$2,0) = "Chưa phân bổ" )
)),0)</f>
        <v>0</v>
      </c>
      <c r="F31" s="359" cm="1">
        <f t="array" ref="F31">-
IFERROR(
SUM(
_xlfn._xlws.FILTER(Table_ChiPhiKD[Giá trị]-Table_ChiPhiKD[Phân bổ sản xuất],
(Table_ChiPhiKD[Kỳ] = DATE(BCTC_Nam,BCTC_Thang,1)) *
(NOT(ISBLANK(Table_ChiPhiKD[Tháng])))*
(VLOOKUP(Table_ChiPhiKD[Nhóm chi phí],Table_ChiPhiKD_PhanNhom[],Sheet_ChiPhiKD!$J$2,0) = "Chưa phân bổ" )
)),0)
- IFERROR(SUMPRODUCT(
_xlfn._xlws.FILTER(Table_ChiPhiKD[Giá trị]-Table_ChiPhiKD[Phân bổ sản xuất],
(Table_ChiPhiKD[Năm] = BCTC_Nam) *
(ISBLANK(Table_ChiPhiKD[Tháng])) *
(Table_ChiPhiKD[Phân bổ từ] &lt; DATE(BCTC_Nam,BCTC_Thang+1,1))*
(Table_ChiPhiKD[Phân bổ đến] &gt; DATE(BCTC_Nam,BCTC_Thang,1))*
(VLOOKUP(Table_ChiPhiKD[Nhóm chi phí],Table_ChiPhiKD_PhanNhom[],Sheet_ChiPhiKD!$J$2,0) = "Chưa phân bổ" )),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phí],Table_ChiPhiKD_PhanNhom[],Sheet_ChiPhiKD!$J$2,0) = "Chưa phân bổ" ))
), 0)</f>
        <v>0</v>
      </c>
      <c r="G31" s="359"/>
      <c r="H31" s="362"/>
      <c r="I31" s="72" t="s">
        <v>383</v>
      </c>
      <c r="J31" s="359" cm="1">
        <f t="array" ref="J31" xml:space="preserve">
-IFERROR(
SUM(
_xlfn._xlws.FILTER(Table_ChiPhiKD[Giá trị]-Table_ChiPhiKD[Phân bổ sản xuất],
(Table_ChiPhiKD[Năm] = J$1)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31" s="359" cm="1">
        <f t="array" ref="K31" xml:space="preserve">
-IFERROR(
SUM(
_xlfn._xlws.FILTER(Table_ChiPhiKD[Giá trị]-Table_ChiPhiKD[Phân bổ sản xuất],
(Table_ChiPhiKD[Năm] = K$1)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31" s="262"/>
      <c r="M31" s="362"/>
      <c r="N31" s="72" t="s">
        <v>383</v>
      </c>
      <c r="O31" s="359" cm="1">
        <f t="array" ref="O31">-
IFERROR(
SUM(
_xlfn._xlws.FILTER(Table_ChiPhiKD[Giá trị]-Table_ChiPhiKD[Phân bổ sản xuất],
(Table_ChiPhiKD[Kỳ] = O$1)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DATE(YEAR(O$1),MONTH(O$1)+1,1))*
(Table_ChiPhiKD[Phân bổ đến] &gt; O$1)*
(VLOOKUP(Table_ChiPhiKD[Nhóm chi phí],Table_ChiPhiKD_PhanNhom[],Sheet_ChiPhiKD!$J$2,0) = "Chưa phân bổ" )),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phí],Table_ChiPhiKD_PhanNhom[],Sheet_ChiPhiKD!$J$2,0) = "Chưa phân bổ" ))
), 0)</f>
        <v>0</v>
      </c>
      <c r="P31" s="359" cm="1">
        <f t="array" ref="P31">-
IFERROR(
SUM(
_xlfn._xlws.FILTER(Table_ChiPhiKD[Giá trị]-Table_ChiPhiKD[Phân bổ sản xuất],
(Table_ChiPhiKD[Kỳ] = P$1)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DATE(YEAR(P$1),MONTH(P$1)+1,1))*
(Table_ChiPhiKD[Phân bổ đến] &gt; P$1)*
(VLOOKUP(Table_ChiPhiKD[Nhóm chi phí],Table_ChiPhiKD_PhanNhom[],Sheet_ChiPhiKD!$J$2,0) = "Chưa phân bổ" )),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phí],Table_ChiPhiKD_PhanNhom[],Sheet_ChiPhiKD!$J$2,0) = "Chưa phân bổ" ))
), 0)</f>
        <v>0</v>
      </c>
      <c r="Q31" s="262"/>
      <c r="R31" s="262"/>
      <c r="S31" s="262"/>
      <c r="T31" s="262"/>
      <c r="U31" s="262"/>
      <c r="V31" s="262"/>
      <c r="W31" s="262"/>
      <c r="X31" s="262"/>
      <c r="Y31" s="262"/>
      <c r="Z31" s="262"/>
      <c r="AA31" s="262"/>
      <c r="AB31" s="262"/>
      <c r="AC31" s="262"/>
      <c r="AD31" s="262"/>
      <c r="AE31" s="262"/>
      <c r="AF31" s="262"/>
      <c r="AG31" s="262"/>
      <c r="AH31" s="262"/>
      <c r="AI31" s="262"/>
      <c r="AJ31" s="262"/>
      <c r="AK31" s="262"/>
      <c r="AL31" s="262"/>
      <c r="AM31" s="262"/>
    </row>
    <row r="32" spans="1:39" s="53" customFormat="1" ht="18" customHeight="1" outlineLevel="3" x14ac:dyDescent="0.3">
      <c r="A32" s="240">
        <f t="shared" si="0"/>
        <v>29</v>
      </c>
      <c r="B32" s="257"/>
      <c r="C32" s="72" t="s">
        <v>347</v>
      </c>
      <c r="D32" s="358"/>
      <c r="E32" s="359" cm="1">
        <f t="array" ref="E32">-IFERROR(
SUM(_xlfn._xlws.FILTER(Table_ChiPhiKD[Giá trị],
(Table_ChiPhiKD[Nhóm chi phí] = Table_BCTC[[#This Row],[Gtri]]) *
(Table_ChiPhiKD[Năm] = BCTC_Nam)
)),0)</f>
        <v>0</v>
      </c>
      <c r="F32" s="359" cm="1">
        <f t="array" ref="F32">-IFERROR(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2" s="355"/>
      <c r="H32" s="257"/>
      <c r="I32" s="72" t="s">
        <v>347</v>
      </c>
      <c r="J32" s="359" cm="1">
        <f t="array" ref="J32"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2" s="359" cm="1">
        <f t="array" ref="K32"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2" s="262"/>
      <c r="M32" s="257"/>
      <c r="N32" s="72" t="s">
        <v>347</v>
      </c>
      <c r="O32" s="359" cm="1">
        <f t="array" ref="O32">-IFERROR(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2" s="359" cm="1">
        <f t="array" ref="P32">-IFERROR(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2" s="262"/>
      <c r="R32" s="262"/>
      <c r="S32" s="262"/>
      <c r="T32" s="262"/>
      <c r="U32" s="262"/>
      <c r="V32" s="262"/>
      <c r="W32" s="262"/>
      <c r="X32" s="262"/>
      <c r="Y32" s="262"/>
      <c r="Z32" s="262"/>
      <c r="AA32" s="262"/>
      <c r="AB32" s="262"/>
      <c r="AC32" s="262"/>
      <c r="AD32" s="262"/>
      <c r="AE32" s="262"/>
      <c r="AF32" s="262"/>
      <c r="AG32" s="262"/>
      <c r="AH32" s="262"/>
      <c r="AI32" s="262"/>
      <c r="AJ32" s="262"/>
      <c r="AK32" s="262"/>
      <c r="AL32" s="262"/>
      <c r="AM32" s="262"/>
    </row>
    <row r="33" spans="1:39" ht="18" customHeight="1" outlineLevel="3" x14ac:dyDescent="0.3">
      <c r="A33" s="240">
        <f t="shared" si="0"/>
        <v>30</v>
      </c>
      <c r="B33" s="362"/>
      <c r="C33" s="72" t="s">
        <v>384</v>
      </c>
      <c r="D33" s="358"/>
      <c r="E33" s="359" cm="1">
        <f t="array" ref="E33">-IFERROR(
SUM(_xlfn._xlws.FILTER(Table_TSCD_KhauHao[Khấu hao quản lý],
(Table_TSCD_KhauHao[Năm] = BCTC_Nam)
)),0)</f>
        <v>0</v>
      </c>
      <c r="F33" s="359" cm="1">
        <f t="array" ref="F33">-IFERROR(
SUM(_xlfn._xlws.FILTER(Table_TSCD_KhauHao[Khấu hao quản lý],
(Table_TSCD_KhauHao[Kỳ] = DATE(BCTC_Nam,BCTC_Thang,1))
)),0)</f>
        <v>0</v>
      </c>
      <c r="G33" s="363"/>
      <c r="H33" s="362"/>
      <c r="I33" s="72" t="s">
        <v>384</v>
      </c>
      <c r="J33" s="359" cm="1">
        <f t="array" ref="J33">-IFERROR(
SUM(_xlfn._xlws.FILTER(Table_TSCD_KhauHao[Khấu hao quản lý],
(Table_TSCD_KhauHao[Năm] = J$1)
)),0)</f>
        <v>0</v>
      </c>
      <c r="K33" s="359" cm="1">
        <f t="array" ref="K33">-IFERROR(
SUM(_xlfn._xlws.FILTER(Table_TSCD_KhauHao[Khấu hao quản lý],
(Table_TSCD_KhauHao[Năm] = K$1)
)),0)</f>
        <v>0</v>
      </c>
      <c r="L33" s="242"/>
      <c r="M33" s="362"/>
      <c r="N33" s="72" t="s">
        <v>384</v>
      </c>
      <c r="O33" s="359" cm="1">
        <f t="array" ref="O33">-IFERROR(
SUM(_xlfn._xlws.FILTER(Table_TSCD_KhauHao[Khấu hao quản lý],
(Table_TSCD_KhauHao[Kỳ] = O$1)
)),0)</f>
        <v>0</v>
      </c>
      <c r="P33" s="359" cm="1">
        <f t="array" ref="P33">-IFERROR(
SUM(_xlfn._xlws.FILTER(Table_TSCD_KhauHao[Khấu hao quản lý],
(Table_TSCD_KhauHao[Kỳ] = P$1)
)),0)</f>
        <v>0</v>
      </c>
      <c r="Q33" s="240"/>
      <c r="R33" s="240"/>
      <c r="S33" s="240"/>
      <c r="T33" s="240"/>
      <c r="U33" s="240"/>
      <c r="V33" s="240"/>
      <c r="W33" s="240"/>
      <c r="X33" s="240"/>
      <c r="Y33" s="240"/>
      <c r="Z33" s="240"/>
      <c r="AA33" s="240"/>
      <c r="AB33" s="240"/>
      <c r="AC33" s="240"/>
      <c r="AD33" s="240"/>
      <c r="AE33" s="240"/>
      <c r="AF33" s="240"/>
      <c r="AG33" s="240"/>
      <c r="AH33" s="240"/>
      <c r="AI33" s="240"/>
      <c r="AJ33" s="240"/>
      <c r="AK33" s="240"/>
      <c r="AL33" s="240"/>
      <c r="AM33" s="240"/>
    </row>
    <row r="34" spans="1:39" s="41" customFormat="1" ht="18" customHeight="1" outlineLevel="3" x14ac:dyDescent="0.3">
      <c r="A34" s="240">
        <f t="shared" si="0"/>
        <v>31</v>
      </c>
      <c r="B34" s="257"/>
      <c r="C34" s="72" t="s">
        <v>299</v>
      </c>
      <c r="D34" s="358"/>
      <c r="E34" s="359" cm="1">
        <f t="array" ref="E34">-IFERROR(
SUM(_xlfn._xlws.FILTER(Table_ChiPhiKD[Giá trị],
(Table_ChiPhiKD[Nhóm chi phí] = Table_BCTC[[#This Row],[Gtri]]) *
(Table_ChiPhiKD[Năm] = BCTC_Nam)
)),0)</f>
        <v>0</v>
      </c>
      <c r="F34" s="359" cm="1">
        <f t="array" ref="F34">-IFERROR(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4" s="359"/>
      <c r="H34" s="257"/>
      <c r="I34" s="72" t="s">
        <v>299</v>
      </c>
      <c r="J34" s="359" cm="1">
        <f t="array" ref="J34"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4" s="359" cm="1">
        <f t="array" ref="K34"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4" s="264"/>
      <c r="M34" s="257"/>
      <c r="N34" s="72" t="s">
        <v>299</v>
      </c>
      <c r="O34" s="359" cm="1">
        <f t="array" ref="O34">-IFERROR(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4" s="359" cm="1">
        <f t="array" ref="P34">-IFERROR(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s="53" customFormat="1" ht="18" customHeight="1" outlineLevel="3" x14ac:dyDescent="0.3">
      <c r="A35" s="240">
        <f t="shared" si="0"/>
        <v>32</v>
      </c>
      <c r="B35" s="362"/>
      <c r="C35" s="72" t="s">
        <v>385</v>
      </c>
      <c r="D35" s="358"/>
      <c r="E35" s="359" cm="1">
        <f t="array" ref="E35">-IFERROR(
SUM(_xlfn._xlws.FILTER(Table_ChiPhiKD[Giá trị],
(Table_ChiPhiKD[Nhóm chi phí] = Table_BCTC[[#This Row],[Gtri]]) *
(Table_ChiPhiKD[Năm] = BCTC_Nam)
)),0)</f>
        <v>0</v>
      </c>
      <c r="F35" s="359" cm="1">
        <f t="array" ref="F35">-IFERROR(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5" s="359"/>
      <c r="H35" s="362"/>
      <c r="I35" s="72" t="s">
        <v>385</v>
      </c>
      <c r="J35" s="359" cm="1">
        <f t="array" ref="J35"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5" s="359" cm="1">
        <f t="array" ref="K35"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5" s="262"/>
      <c r="M35" s="362"/>
      <c r="N35" s="72" t="s">
        <v>385</v>
      </c>
      <c r="O35" s="359" cm="1">
        <f t="array" ref="O35">-IFERROR(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5" s="359" cm="1">
        <f t="array" ref="P35">-IFERROR(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5" s="262"/>
      <c r="R35" s="262"/>
      <c r="S35" s="262"/>
      <c r="T35" s="262"/>
      <c r="U35" s="262"/>
      <c r="V35" s="262"/>
      <c r="W35" s="262"/>
      <c r="X35" s="262"/>
      <c r="Y35" s="262"/>
      <c r="Z35" s="262"/>
      <c r="AA35" s="262"/>
      <c r="AB35" s="262"/>
      <c r="AC35" s="262"/>
      <c r="AD35" s="262"/>
      <c r="AE35" s="262"/>
      <c r="AF35" s="262"/>
      <c r="AG35" s="262"/>
      <c r="AH35" s="262"/>
      <c r="AI35" s="262"/>
      <c r="AJ35" s="262"/>
      <c r="AK35" s="262"/>
      <c r="AL35" s="262"/>
      <c r="AM35" s="262"/>
    </row>
    <row r="36" spans="1:39" s="53" customFormat="1" ht="18" customHeight="1" outlineLevel="1" x14ac:dyDescent="0.3">
      <c r="A36" s="240">
        <f t="shared" si="0"/>
        <v>33</v>
      </c>
      <c r="B36" s="353" t="s">
        <v>386</v>
      </c>
      <c r="C36" s="74" t="s">
        <v>96</v>
      </c>
      <c r="D36" s="364"/>
      <c r="E36" s="363">
        <f>+E16+E17+E28</f>
        <v>0</v>
      </c>
      <c r="F36" s="363">
        <f>+F16+F17+F28</f>
        <v>0</v>
      </c>
      <c r="G36" s="359"/>
      <c r="H36" s="353" t="s">
        <v>386</v>
      </c>
      <c r="I36" s="74" t="s">
        <v>96</v>
      </c>
      <c r="J36" s="363">
        <f>+J16+J17+J28</f>
        <v>0</v>
      </c>
      <c r="K36" s="363">
        <f>+K16+K17+K28</f>
        <v>0</v>
      </c>
      <c r="L36" s="262"/>
      <c r="M36" s="353" t="s">
        <v>386</v>
      </c>
      <c r="N36" s="74" t="s">
        <v>96</v>
      </c>
      <c r="O36" s="363">
        <f>+O16+O17+O28</f>
        <v>0</v>
      </c>
      <c r="P36" s="363">
        <f>+P16+P17+P28</f>
        <v>0</v>
      </c>
      <c r="Q36" s="262"/>
      <c r="R36" s="262"/>
      <c r="S36" s="262"/>
      <c r="T36" s="262"/>
      <c r="U36" s="262"/>
      <c r="V36" s="262"/>
      <c r="W36" s="262"/>
      <c r="X36" s="262"/>
      <c r="Y36" s="262"/>
      <c r="Z36" s="262"/>
      <c r="AA36" s="262"/>
      <c r="AB36" s="262"/>
      <c r="AC36" s="262"/>
      <c r="AD36" s="262"/>
      <c r="AE36" s="262"/>
      <c r="AF36" s="262"/>
      <c r="AG36" s="262"/>
      <c r="AH36" s="262"/>
      <c r="AI36" s="262"/>
      <c r="AJ36" s="262"/>
      <c r="AK36" s="262"/>
      <c r="AL36" s="262"/>
      <c r="AM36" s="262"/>
    </row>
    <row r="37" spans="1:39" s="53" customFormat="1" ht="18" customHeight="1" outlineLevel="2" x14ac:dyDescent="0.3">
      <c r="A37" s="240">
        <f t="shared" si="0"/>
        <v>34</v>
      </c>
      <c r="B37" s="356" t="s">
        <v>387</v>
      </c>
      <c r="C37" s="73" t="s">
        <v>388</v>
      </c>
      <c r="D37" s="361"/>
      <c r="E37" s="355">
        <f>+SUM(E38:E43)</f>
        <v>0</v>
      </c>
      <c r="F37" s="355">
        <f>+SUM(F38:F43)</f>
        <v>0</v>
      </c>
      <c r="G37" s="359"/>
      <c r="H37" s="356" t="s">
        <v>387</v>
      </c>
      <c r="I37" s="73" t="s">
        <v>388</v>
      </c>
      <c r="J37" s="355">
        <f>+SUM(J38:J43)</f>
        <v>0</v>
      </c>
      <c r="K37" s="355">
        <f>+SUM(K38:K43)</f>
        <v>0</v>
      </c>
      <c r="L37" s="262"/>
      <c r="M37" s="356" t="s">
        <v>387</v>
      </c>
      <c r="N37" s="73" t="s">
        <v>388</v>
      </c>
      <c r="O37" s="355">
        <f>+SUM(O38:O43)</f>
        <v>0</v>
      </c>
      <c r="P37" s="355">
        <f>+SUM(P38:P43)</f>
        <v>0</v>
      </c>
      <c r="Q37" s="262"/>
      <c r="R37" s="262"/>
      <c r="S37" s="262"/>
      <c r="T37" s="262"/>
      <c r="U37" s="262"/>
      <c r="V37" s="262"/>
      <c r="W37" s="262"/>
      <c r="X37" s="262"/>
      <c r="Y37" s="262"/>
      <c r="Z37" s="262"/>
      <c r="AA37" s="262"/>
      <c r="AB37" s="262"/>
      <c r="AC37" s="262"/>
      <c r="AD37" s="262"/>
      <c r="AE37" s="262"/>
      <c r="AF37" s="262"/>
      <c r="AG37" s="262"/>
      <c r="AH37" s="262"/>
      <c r="AI37" s="262"/>
      <c r="AJ37" s="262"/>
      <c r="AK37" s="262"/>
      <c r="AL37" s="262"/>
      <c r="AM37" s="262"/>
    </row>
    <row r="38" spans="1:39" s="53" customFormat="1" ht="18" customHeight="1" outlineLevel="3" x14ac:dyDescent="0.3">
      <c r="A38" s="240">
        <f t="shared" si="0"/>
        <v>35</v>
      </c>
      <c r="B38" s="362" t="s">
        <v>389</v>
      </c>
      <c r="C38" s="72" t="s">
        <v>297</v>
      </c>
      <c r="D38" s="358"/>
      <c r="E38" s="359" cm="1">
        <f t="array" ref="E38">-
IFERROR(
SUM(_xlfn._xlws.FILTER(Table_VayNo_LichTra[Lãi vay],
(Table_VayNo_LichTra[Năm] = BCTC_Nam)
)),0)</f>
        <v>0</v>
      </c>
      <c r="F38" s="359" cm="1">
        <f t="array" ref="F38">-IFERROR(
SUM(_xlfn._xlws.FILTER(Table_VayNo_LichTra[Lãi vay],
(Table_VayNo_LichTra[Kỳ] = DATE(BCTC_Nam,BCTC_Thang,1))*
(NOT(ISBLANK(Table_VayNo_LichTra[Tháng])))
)),0)
-IFERROR(
SUM(_xlfn._xlws.FILTER(Table_VayNo_LichTra[Lãi vay],
(YEAR(VLOOKUP(Table_VayNo_LichTra[Khoản vay], Table_VayNo[[Mã khoản vay]:[Ngày vay]],Sheet_VayNo!$I$3,0)) &lt;&gt; BCTC_Nam) *
(YEAR(VLOOKUP(Table_VayNo_LichTra[Khoản vay], Table_VayNo[[Mã khoản vay]:[Kết thúc trả gốc]],Sheet_VayNo!$K$3,0)) &lt;&gt; BCTC_Nam) *
(Table_VayNo_LichTra[Năm] = BCTC_Nam) *
(ISBLANK(Table_VayNo_LichTra[Tháng]))
))/12,0)
-IFERROR(SUMPRODUCT(
_xlfn._xlws.FILTER(Table_VayNo_LichTra[Lãi vay],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
_xlfn._xlws.FILTER(1/ ( 12 - MONTH(VLOOKUP(Table_VayNo_LichTra[Khoản vay], Table_VayNo[[Mã khoản vay]:[Ngày vay]],Sheet_VayNo!$I$3,0)) +1 ),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)),0)
-IFERROR(SUMPRODUCT(
_xlfn._xlws.FILTER(Table_VayNo_LichTra[Lãi vay],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
_xlfn._xlws.FILTER(1/ MONTH(VLOOKUP(Table_VayNo_LichTra[Khoản vay], Table_VayNo[[Mã khoản vay]:[Kết thúc trả gốc]],Sheet_VayNo!$K$3,0)),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)),0)
-IFERROR(SUMPRODUCT(
_xlfn._xlws.FILTER(Table_VayNo_LichTra[Lãi vay],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)),0)</f>
        <v>0</v>
      </c>
      <c r="G38" s="355"/>
      <c r="H38" s="362" t="s">
        <v>389</v>
      </c>
      <c r="I38" s="72" t="s">
        <v>297</v>
      </c>
      <c r="J38" s="359" cm="1">
        <f t="array" ref="J38">-
IFERROR(
SUM(_xlfn._xlws.FILTER(Table_VayNo_LichTra[Lãi vay],
(Table_VayNo_LichTra[Năm] = J$1)
)),0)</f>
        <v>0</v>
      </c>
      <c r="K38" s="359" cm="1">
        <f t="array" ref="K38">-
IFERROR(
SUM(_xlfn._xlws.FILTER(Table_VayNo_LichTra[Lãi vay],
(Table_VayNo_LichTra[Năm] = K$1)
)),0)</f>
        <v>0</v>
      </c>
      <c r="L38" s="262"/>
      <c r="M38" s="362" t="s">
        <v>389</v>
      </c>
      <c r="N38" s="72" t="s">
        <v>297</v>
      </c>
      <c r="O38" s="359" cm="1">
        <f t="array" ref="O38" xml:space="preserve">
-IFERROR(
SUM(
_xlfn._xlws.FILTER(Table_VayNo_LichTra[Lãi vay],
(Table_VayNo_LichTra[Kỳ] = O$1)*
(NOT(ISBLANK(Table_VayNo_LichTra[Tháng])))
)),
0)
-IFERROR(
SUM(
_xlfn._xlws.FILTER(Table_VayNo_LichTra[Lãi vay],
(YEAR(
VLOOKUP(
Table_VayNo_LichTra[Khoản vay],
Table_VayNo[],
COUNTA(Table_VayNo[[#Headers],[Mã khoản vay]:[Ngày vay]]),
0)
) &lt;&gt; YEAR(O$1)) *
(YEAR(
VLOOKUP(
Table_VayNo_LichTra[Khoản vay],
Table_VayNo[],
COUNTA(Table_VayNo[[#Headers],[Mã khoản vay]:[Kết thúc trả gốc]]),
0)
) &lt;&gt; YEAR(O$1)) *
(Table_VayNo_LichTra[Năm] = YEAR(O$1)) *
(ISBLANK(Table_VayNo_LichTra[Tháng]))
))/12,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
0)
-IFERROR(
SUMPRODUCT(
_xlfn._xlws.FILTER(Table_VayNo_LichTra[Lãi vay],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
0)</f>
        <v>0</v>
      </c>
      <c r="P38" s="359" cm="1">
        <f t="array" ref="P38" xml:space="preserve">
-IFERROR(
SUM(
_xlfn._xlws.FILTER(Table_VayNo_LichTra[Lãi vay],
(Table_VayNo_LichTra[Kỳ] = P$1)*
(NOT(ISBLANK(Table_VayNo_LichTra[Tháng])))
)),
0)
-IFERROR(
SUM(
_xlfn._xlws.FILTER(Table_VayNo_LichTra[Lãi vay],
(YEAR(
VLOOKUP(
Table_VayNo_LichTra[Khoản vay],
Table_VayNo[],
COUNTA(Table_VayNo[[#Headers],[Mã khoản vay]:[Ngày vay]]),
0)
) &lt;&gt; YEAR(P$1)) *
(YEAR(
VLOOKUP(
Table_VayNo_LichTra[Khoản vay],
Table_VayNo[],
COUNTA(Table_VayNo[[#Headers],[Mã khoản vay]:[Kết thúc trả gốc]]),
0)
) &lt;&gt; YEAR(P$1)) *
(Table_VayNo_LichTra[Năm] = YEAR(P$1)) *
(ISBLANK(Table_VayNo_LichTra[Tháng]))
))/12,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
0)
-IFERROR(
SUMPRODUCT(
_xlfn._xlws.FILTER(Table_VayNo_LichTra[Lãi vay],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
0)</f>
        <v>0</v>
      </c>
      <c r="Q38" s="262"/>
      <c r="R38" s="262"/>
      <c r="S38" s="262"/>
      <c r="T38" s="262"/>
      <c r="U38" s="262"/>
      <c r="V38" s="262"/>
      <c r="W38" s="262"/>
      <c r="X38" s="262"/>
      <c r="Y38" s="262"/>
      <c r="Z38" s="262"/>
      <c r="AA38" s="262"/>
      <c r="AB38" s="262"/>
      <c r="AC38" s="262"/>
      <c r="AD38" s="262"/>
      <c r="AE38" s="262"/>
      <c r="AF38" s="262"/>
      <c r="AG38" s="262"/>
      <c r="AH38" s="262"/>
      <c r="AI38" s="262"/>
      <c r="AJ38" s="262"/>
      <c r="AK38" s="262"/>
      <c r="AL38" s="262"/>
      <c r="AM38" s="262"/>
    </row>
    <row r="39" spans="1:39" ht="18" customHeight="1" outlineLevel="3" x14ac:dyDescent="0.3">
      <c r="A39" s="240">
        <f t="shared" si="0"/>
        <v>36</v>
      </c>
      <c r="B39" s="362"/>
      <c r="C39" s="72" t="s">
        <v>390</v>
      </c>
      <c r="D39" s="358"/>
      <c r="E39" s="359" cm="1">
        <f t="array" ref="E39" xml:space="preserve">
+IFERROR(
SUM(_xlfn._xlws.FILTER(Table_DauTu_LichThu[Nhận lãi],
(Table_DauTu_LichThu[Năm] = BCTC_Nam)
)),0)
+IFERROR(
SUM(_xlfn._xlws.FILTER(Table_LaiKhac[Giá trị]-Table_LaiKhac[Giá trị VAT],
(Table_LaiKhac[Phân loại] = Table_BCTC[[#This Row],[Gtri]]) *
(Table_LaiKhac[Năm] = BCTC_Nam)
)),0)</f>
        <v>0</v>
      </c>
      <c r="F39" s="359" cm="1">
        <f t="array" ref="F39" xml:space="preserve">
+IFERROR(
SUM(_xlfn._xlws.FILTER(Table_DauTu_LichThu[Nhận lãi],
(NOT(ISBLANK(Table_DauTu_LichThu[Tháng])))*
(Table_DauTu_LichThu[Kỳ] = DATE(BCTC_Nam,BCTC_Thang,1))
)),0)
+IFERROR(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39" s="363"/>
      <c r="H39" s="362"/>
      <c r="I39" s="72" t="s">
        <v>390</v>
      </c>
      <c r="J39" s="359" cm="1">
        <f t="array" ref="J39">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
Table_LaiKhac[Phân bổ đến],
Table_LaiKhac[Phân bổ đến],
DATE(J$1+1,1,1)-1
)
-IF(
DATE(J$1,1,1) &gt;
Table_LaiKhac[Phân bổ từ],
DATE(J$1,1,1),
Table_LaiKhac[Phân bổ từ]
)
) /(365.25/12),
0),
(ISBLANK(Table_LaiKhac[Tháng]))*
(Table_LaiKhac[Phân loại] = Table_BCTC_Nam[[#This Row],[Gtri]]) *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39" s="359" cm="1">
        <f t="array" ref="K39">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
Table_LaiKhac[Phân bổ đến],
Table_LaiKhac[Phân bổ đến],
DATE(K$1+1,1,1)-1
)
-IF(
DATE(K$1,1,1) &gt;
Table_LaiKhac[Phân bổ từ],
DATE(K$1,1,1),
Table_LaiKhac[Phân bổ từ]
)
) /(365.25/12),
0),
(ISBLANK(Table_LaiKhac[Tháng]))*
(Table_LaiKhac[Phân loại] = Table_BCTC_Nam[[#This Row],[Gtri]]) *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39" s="242"/>
      <c r="M39" s="362"/>
      <c r="N39" s="72" t="s">
        <v>390</v>
      </c>
      <c r="O39" s="359" cm="1">
        <f t="array" ref="O39">IFERROR(
SUM(
_xlfn._xlws.FILTER(Table_DauTu_LichThu[Nhận lãi],
(NOT(ISBLANK(Table_DauTu_LichThu[Tháng])))*
(Table_DauTu_LichThu[Kỳ] = O$1)
)),
0)
+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39" s="359" cm="1">
        <f t="array" ref="P39">IFERROR(
SUM(
_xlfn._xlws.FILTER(Table_DauTu_LichThu[Nhận lãi],
(NOT(ISBLANK(Table_DauTu_LichThu[Tháng])))*
(Table_DauTu_LichThu[Kỳ] = P$1)
)),
0)
+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39" s="240"/>
      <c r="R39" s="240"/>
      <c r="S39" s="240"/>
      <c r="T39" s="240"/>
      <c r="U39" s="240"/>
      <c r="V39" s="240"/>
      <c r="W39" s="240"/>
      <c r="X39" s="240"/>
      <c r="Y39" s="240"/>
      <c r="Z39" s="240"/>
      <c r="AA39" s="240"/>
      <c r="AB39" s="240"/>
      <c r="AC39" s="240"/>
      <c r="AD39" s="240"/>
      <c r="AE39" s="240"/>
      <c r="AF39" s="240"/>
      <c r="AG39" s="240"/>
      <c r="AH39" s="240"/>
      <c r="AI39" s="240"/>
      <c r="AJ39" s="240"/>
      <c r="AK39" s="240"/>
      <c r="AL39" s="240"/>
      <c r="AM39" s="240"/>
    </row>
    <row r="40" spans="1:39" s="41" customFormat="1" ht="18" customHeight="1" outlineLevel="3" x14ac:dyDescent="0.3">
      <c r="A40" s="240">
        <f t="shared" si="0"/>
        <v>37</v>
      </c>
      <c r="B40" s="257"/>
      <c r="C40" s="72" t="s">
        <v>391</v>
      </c>
      <c r="D40" s="358"/>
      <c r="E40" s="359" cm="1">
        <f t="array" ref="E40" xml:space="preserve">
IFERROR(
SUM(
_xlfn._xlws.FILTER(Table_LaiKhac[Giá trị]-Table_LaiKhac[Giá trị VAT],
(Table_LaiKhac[Phân loại] = Table_BCTC[[#This Row],[Gtri]]) *
(NOT(ISBLANK(Table_LaiKhac[Tháng])))*
(Table_LaiKhac[Năm] = BCTC_Nam)
)),
0)
+ IFERROR(
SUMPRODUCT(
_xlfn._xlws.FILTER(Table_LaiKhac[Giá trị]-Table_LaiKhac[Giá trị VAT],
(ISBLANK(Table_LaiKhac[Tháng]))*
(Table_LaiKhac[Phân loại] = Table_BCTC[[#This Row],[Gtri]]) *
(Table_LaiKhac[Phân bổ từ] &lt; DATE(BCTC_Nam+1,1,1))*
(Table_LaiKhac[Phân bổ đến] &gt; DATE(BCTC_Nam,1,1))
),
_xlfn._xlws.FILTER(
ROUND(
(
IF(
DATE(BCTC_Nam+1,1,1)-1 &gt;Table_LaiKhac[Phân bổ đến],
Table_LaiKhac[Phân bổ đến],
DATE(BCTC_Nam+1,1,1)-1
)
-IF(
DATE(BCTC_Nam,1,1) &gt;Table_LaiKhac[Phân bổ từ],
DATE(BCTC_Nam,1,1),
Table_LaiKhac[Phân bổ từ]
)
)
/(365.25/12),
0),
(ISBLANK(Table_LaiKhac[Tháng]))*
(Table_LaiKhac[Phân loại] = Table_BCTC[[#This Row],[Gtri]])*
(Table_LaiKhac[Phân bổ từ] &lt; DATE(BCTC_Nam+1,1,1))*
(Table_LaiKhac[Phân bổ đến] &gt; DATE(BCTC_Nam,1,1))
),
1/_xlfn._xlws.FILTER(
ROUND(
(Table_LaiKhac[Phân bổ đến]-Table_LaiKhac[Phân bổ từ])
/(365.25/12),
0),
(ISBLANK(Table_LaiKhac[Tháng]))*
(Table_LaiKhac[Phân loại] = Table_BCTC[[#This Row],[Gtri]]) *
(Table_LaiKhac[Phân bổ từ] &lt; DATE(BCTC_Nam+1,1,1))*
(Table_LaiKhac[Phân bổ đến] &gt; DATE(BCTC_Nam,1,1))
)
),
0)</f>
        <v>0</v>
      </c>
      <c r="F40" s="359" cm="1">
        <f t="array" ref="F40" xml:space="preserve">
IFERROR(
SUM(
_xlfn._xlws.FILTER(Table_LaiKhac[Giá trị]-Table_LaiKhac[Giá trị VAT],
(Table_LaiKhac[Phân loại] = Table_BCTC[[#This Row],[Gtri]]) *
(NOT(ISBLANK(Table_LaiKhac[Tháng])))*
(Table_LaiKhac[Kỳ] = DATE(BCTC_Nam,BCTC_Thang,1))
)),
0)
+ IFERROR(
SUMPRODUCT(
_xlfn._xlws.FILTER(Table_LaiKhac[Giá trị]-Table_LaiKhac[Giá trị VAT],
(ISBLANK(Table_LaiKhac[Tháng]))*
(Table_LaiKhac[Phân loại] = Table_BCTC[[#This Row],[Gtri]]) *
(Table_LaiKhac[Phân bổ từ] &lt; DATE(BCTC_Nam,BCTC_Thang+1,1))*
(Table_LaiKhac[Phân bổ đến] &gt; DATE(BCTC_Nam,BCTC_Thang,1))
),
1/_xlfn._xlws.FILTER(
ROUND(
(Table_LaiKhac[Phân bổ đến]-Table_LaiKhac[Phân bổ từ])
/(365.25/12),
0),
(ISBLANK(Table_LaiKhac[Tháng]))*
(Table_LaiKhac[Phân loại] = Table_BCTC[[#This Row],[Gtri]]) *
(Table_LaiKhac[Phân bổ từ] &lt; DATE(BCTC_Nam,BCTC_Thang+1,1))*
(Table_LaiKhac[Phân bổ đến] &gt; DATE(BCTC_Nam,BCTC_Thang,1))
)
),
0)</f>
        <v>0</v>
      </c>
      <c r="G40" s="355"/>
      <c r="H40" s="257"/>
      <c r="I40" s="72" t="s">
        <v>391</v>
      </c>
      <c r="J40" s="359" cm="1">
        <f t="array" ref="J40"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0" s="359" cm="1">
        <f t="array" ref="K40"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0" s="264"/>
      <c r="M40" s="257"/>
      <c r="N40" s="72" t="s">
        <v>391</v>
      </c>
      <c r="O40" s="359" cm="1">
        <f t="array" ref="O40"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0" s="359" cm="1">
        <f t="array" ref="P40"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ht="18" customHeight="1" outlineLevel="3" x14ac:dyDescent="0.3">
      <c r="A41" s="240">
        <f t="shared" si="0"/>
        <v>38</v>
      </c>
      <c r="B41" s="257"/>
      <c r="C41" s="72" t="s">
        <v>392</v>
      </c>
      <c r="D41" s="358"/>
      <c r="E41" s="359" cm="1">
        <f t="array" ref="E41">IFERROR(
SUM(_xlfn._xlws.FILTER(Table_LaiKhac[Giá trị]-Table_LaiKhac[Giá trị VAT],
(Table_LaiKhac[Phân loại] = Table_BCTC[[#This Row],[Gtri]]) *
(Table_LaiKhac[Năm] = BCTC_Nam)
)),0)</f>
        <v>0</v>
      </c>
      <c r="F41" s="359" cm="1">
        <f t="array" ref="F41">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1" s="363"/>
      <c r="H41" s="257"/>
      <c r="I41" s="72" t="s">
        <v>392</v>
      </c>
      <c r="J41" s="359" cm="1">
        <f t="array" ref="J41"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1" s="359" cm="1">
        <f t="array" ref="K41"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1" s="242"/>
      <c r="M41" s="257"/>
      <c r="N41" s="72" t="s">
        <v>392</v>
      </c>
      <c r="O41" s="359" cm="1">
        <f t="array" ref="O41"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1" s="359" cm="1">
        <f t="array" ref="P41"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1" s="240"/>
      <c r="R41" s="240"/>
      <c r="S41" s="240"/>
      <c r="T41" s="240"/>
      <c r="U41" s="240"/>
      <c r="V41" s="240"/>
      <c r="W41" s="240"/>
      <c r="X41" s="240"/>
      <c r="Y41" s="240"/>
      <c r="Z41" s="240"/>
      <c r="AA41" s="240"/>
      <c r="AB41" s="240"/>
      <c r="AC41" s="240"/>
      <c r="AD41" s="240"/>
      <c r="AE41" s="240"/>
      <c r="AF41" s="240"/>
      <c r="AG41" s="240"/>
      <c r="AH41" s="240"/>
      <c r="AI41" s="240"/>
      <c r="AJ41" s="240"/>
      <c r="AK41" s="240"/>
      <c r="AL41" s="240"/>
      <c r="AM41" s="240"/>
    </row>
    <row r="42" spans="1:39" s="41" customFormat="1" ht="18" customHeight="1" outlineLevel="3" x14ac:dyDescent="0.3">
      <c r="A42" s="240">
        <f t="shared" si="0"/>
        <v>39</v>
      </c>
      <c r="B42" s="362"/>
      <c r="C42" s="72" t="s">
        <v>393</v>
      </c>
      <c r="D42" s="358"/>
      <c r="E42" s="359" cm="1">
        <f t="array" ref="E42">IFERROR(
SUM(_xlfn._xlws.FILTER(Table_LaiKhac[Giá trị]-Table_LaiKhac[Giá trị VAT],
(Table_LaiKhac[Phân loại] = Table_BCTC[[#This Row],[Gtri]]) *
(Table_LaiKhac[Năm] = BCTC_Nam)
)),0)</f>
        <v>0</v>
      </c>
      <c r="F42" s="359" cm="1">
        <f t="array" ref="F42">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2" s="242"/>
      <c r="H42" s="362"/>
      <c r="I42" s="72" t="s">
        <v>393</v>
      </c>
      <c r="J42" s="359" cm="1">
        <f t="array" ref="J42"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2" s="359" cm="1">
        <f t="array" ref="K42"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2" s="264"/>
      <c r="M42" s="362"/>
      <c r="N42" s="72" t="s">
        <v>393</v>
      </c>
      <c r="O42" s="359" cm="1">
        <f t="array" ref="O42"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2" s="359" cm="1">
        <f t="array" ref="P42"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8" customHeight="1" outlineLevel="3" x14ac:dyDescent="0.3">
      <c r="A43" s="240">
        <f t="shared" si="0"/>
        <v>40</v>
      </c>
      <c r="B43" s="362"/>
      <c r="C43" s="72" t="s">
        <v>394</v>
      </c>
      <c r="D43" s="358"/>
      <c r="E43" s="359" cm="1">
        <f t="array" ref="E43">IFERROR(
SUM(_xlfn._xlws.FILTER(Table_LaiKhac[Giá trị]-Table_LaiKhac[Giá trị VAT],
(Table_LaiKhac[Phân loại] = Table_BCTC[[#This Row],[Gtri]]) *
(Table_LaiKhac[Năm] = BCTC_Nam)
)),0)</f>
        <v>0</v>
      </c>
      <c r="F43" s="359" cm="1">
        <f t="array" ref="F43">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3" s="242"/>
      <c r="H43" s="362"/>
      <c r="I43" s="72" t="s">
        <v>394</v>
      </c>
      <c r="J43" s="359" cm="1">
        <f t="array" ref="J43"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3" s="359" cm="1">
        <f t="array" ref="K43"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3" s="242"/>
      <c r="M43" s="362"/>
      <c r="N43" s="72" t="s">
        <v>394</v>
      </c>
      <c r="O43" s="359" cm="1">
        <f t="array" ref="O43"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3" s="359" cm="1">
        <f t="array" ref="P43"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3" s="240"/>
      <c r="R43" s="240"/>
      <c r="S43" s="240"/>
      <c r="T43" s="240"/>
      <c r="U43" s="240"/>
      <c r="V43" s="240"/>
      <c r="W43" s="240"/>
      <c r="X43" s="240"/>
      <c r="Y43" s="240"/>
      <c r="Z43" s="240"/>
      <c r="AA43" s="240"/>
      <c r="AB43" s="240"/>
      <c r="AC43" s="240"/>
      <c r="AD43" s="240"/>
      <c r="AE43" s="240"/>
      <c r="AF43" s="240"/>
      <c r="AG43" s="240"/>
      <c r="AH43" s="240"/>
      <c r="AI43" s="240"/>
      <c r="AJ43" s="240"/>
      <c r="AK43" s="240"/>
      <c r="AL43" s="240"/>
      <c r="AM43" s="240"/>
    </row>
    <row r="44" spans="1:39" ht="18" customHeight="1" outlineLevel="1" x14ac:dyDescent="0.3">
      <c r="A44" s="240">
        <f t="shared" si="0"/>
        <v>41</v>
      </c>
      <c r="B44" s="353" t="s">
        <v>395</v>
      </c>
      <c r="C44" s="74" t="s">
        <v>396</v>
      </c>
      <c r="D44" s="364"/>
      <c r="E44" s="363">
        <f>+E36+E37</f>
        <v>0</v>
      </c>
      <c r="F44" s="363">
        <f>+F36+F37</f>
        <v>0</v>
      </c>
      <c r="G44" s="242"/>
      <c r="H44" s="353" t="s">
        <v>395</v>
      </c>
      <c r="I44" s="74" t="s">
        <v>396</v>
      </c>
      <c r="J44" s="363">
        <f>+J36+J37</f>
        <v>0</v>
      </c>
      <c r="K44" s="363">
        <f>+K36+K37</f>
        <v>0</v>
      </c>
      <c r="L44" s="242"/>
      <c r="M44" s="353" t="s">
        <v>395</v>
      </c>
      <c r="N44" s="74" t="s">
        <v>396</v>
      </c>
      <c r="O44" s="363">
        <f>+O36+O37</f>
        <v>0</v>
      </c>
      <c r="P44" s="363">
        <f>+P36+P37</f>
        <v>0</v>
      </c>
      <c r="Q44" s="240"/>
      <c r="R44" s="240"/>
      <c r="S44" s="240"/>
      <c r="T44" s="240"/>
      <c r="U44" s="240"/>
      <c r="V44" s="240"/>
      <c r="W44" s="240"/>
      <c r="X44" s="240"/>
      <c r="Y44" s="240"/>
      <c r="Z44" s="240"/>
      <c r="AA44" s="240"/>
      <c r="AB44" s="240"/>
      <c r="AC44" s="240"/>
      <c r="AD44" s="240"/>
      <c r="AE44" s="240"/>
      <c r="AF44" s="240"/>
      <c r="AG44" s="240"/>
      <c r="AH44" s="240"/>
      <c r="AI44" s="240"/>
      <c r="AJ44" s="240"/>
      <c r="AK44" s="240"/>
      <c r="AL44" s="240"/>
      <c r="AM44" s="240"/>
    </row>
    <row r="45" spans="1:39" ht="18" customHeight="1" outlineLevel="2" x14ac:dyDescent="0.3">
      <c r="A45" s="240">
        <f t="shared" si="0"/>
        <v>42</v>
      </c>
      <c r="B45" s="356" t="s">
        <v>397</v>
      </c>
      <c r="C45" s="73" t="s">
        <v>398</v>
      </c>
      <c r="D45" s="361"/>
      <c r="E45" s="310" cm="1">
        <f t="array" ref="E45">-MAX(0,IFERROR(
SUM(_xlfn._xlws.FILTER(Table_NopNS[Giá trị phải nộp],
(Table_NopNS[Ngân sách] = "Thuế TNDN")*
(Table_NopNS[Kỳ]&gt;=DATE(BCTC_Nam,1,1))*
(Table_NopNS[Kỳ]&lt;DATE(BCTC_Nam+1,1,1))
)),0))</f>
        <v>0</v>
      </c>
      <c r="F45" s="355" cm="1">
        <f t="array" ref="F45">-MAX(0,IFERROR(
SUM(_xlfn._xlws.FILTER(Table_NopNS[Giá trị phải nộp],
(Table_NopNS[Ngân sách] = "Thuế TNDN")*
(Table_NopNS[Kỳ]&gt;=DATE(BCTC_Nam,BCTC_Thang,1))*
(Table_NopNS[Kỳ]&lt;DATE(BCTC_Nam,BCTC_Thang+1,1))
)),0))</f>
        <v>0</v>
      </c>
      <c r="G45" s="242"/>
      <c r="H45" s="356" t="s">
        <v>397</v>
      </c>
      <c r="I45" s="73" t="s">
        <v>398</v>
      </c>
      <c r="J45" s="310" cm="1">
        <f t="array" ref="J45">-MAX(0,IFERROR(
SUM(_xlfn._xlws.FILTER(Table_NopNS[Giá trị phải nộp],
(Table_NopNS[Ngân sách] = "Thuế TNDN")*
(Table_NopNS[Kỳ]&gt;=DATE(J$1,1,1))*
(Table_NopNS[Kỳ]&lt;DATE(J$1+1,1,1))
)),0))</f>
        <v>0</v>
      </c>
      <c r="K45" s="310" cm="1">
        <f t="array" ref="K45">-MAX(0,IFERROR(
SUM(_xlfn._xlws.FILTER(Table_NopNS[Giá trị phải nộp],
(Table_NopNS[Ngân sách] = "Thuế TNDN")*
(Table_NopNS[Kỳ]&gt;=DATE(K$1,1,1))*
(Table_NopNS[Kỳ]&lt;DATE(K$1+1,1,1))
)),0))</f>
        <v>0</v>
      </c>
      <c r="L45" s="242"/>
      <c r="M45" s="356" t="s">
        <v>397</v>
      </c>
      <c r="N45" s="73" t="s">
        <v>398</v>
      </c>
      <c r="O45" s="355" cm="1">
        <f t="array" ref="O45">-MAX(0,IFERROR(
SUM(_xlfn._xlws.FILTER(Table_NopNS[Giá trị phải nộp],
(Table_NopNS[Ngân sách] = "Thuế TNDN")*
(Table_NopNS[Kỳ]&gt;=O$1)*
(Table_NopNS[Kỳ]&lt;DATE(YEAR(O$1),MONTH(O$1)+1,1))
)),0))</f>
        <v>0</v>
      </c>
      <c r="P45" s="355" cm="1">
        <f t="array" ref="P45">-MAX(0,IFERROR(
SUM(_xlfn._xlws.FILTER(Table_NopNS[Giá trị phải nộp],
(Table_NopNS[Ngân sách] = "Thuế TNDN")*
(Table_NopNS[Kỳ]&gt;=P$1)*
(Table_NopNS[Kỳ]&lt;DATE(YEAR(P$1),MONTH(P$1)+1,1))
)),0))</f>
        <v>0</v>
      </c>
      <c r="Q45" s="240"/>
      <c r="R45" s="240"/>
      <c r="S45" s="240"/>
      <c r="T45" s="240"/>
      <c r="U45" s="240"/>
      <c r="V45" s="240"/>
      <c r="W45" s="240"/>
      <c r="X45" s="240"/>
      <c r="Y45" s="240"/>
      <c r="Z45" s="240"/>
      <c r="AA45" s="240"/>
      <c r="AB45" s="240"/>
      <c r="AC45" s="240"/>
      <c r="AD45" s="240"/>
      <c r="AE45" s="240"/>
      <c r="AF45" s="240"/>
      <c r="AG45" s="240"/>
      <c r="AH45" s="240"/>
      <c r="AI45" s="240"/>
      <c r="AJ45" s="240"/>
      <c r="AK45" s="240"/>
      <c r="AL45" s="240"/>
      <c r="AM45" s="240"/>
    </row>
    <row r="46" spans="1:39" ht="18" customHeight="1" outlineLevel="1" x14ac:dyDescent="0.15">
      <c r="A46" s="240">
        <f t="shared" si="0"/>
        <v>43</v>
      </c>
      <c r="B46" s="353" t="s">
        <v>399</v>
      </c>
      <c r="C46" s="74" t="s">
        <v>400</v>
      </c>
      <c r="D46" s="364"/>
      <c r="E46" s="363">
        <f>SUM(E44:E45)</f>
        <v>0</v>
      </c>
      <c r="F46" s="363">
        <f>SUM(F44:F45)</f>
        <v>0</v>
      </c>
      <c r="G46" s="240"/>
      <c r="H46" s="353" t="s">
        <v>399</v>
      </c>
      <c r="I46" s="74" t="s">
        <v>400</v>
      </c>
      <c r="J46" s="363">
        <f>SUM(J44:J45)</f>
        <v>0</v>
      </c>
      <c r="K46" s="363">
        <f>SUM(K44:K45)</f>
        <v>0</v>
      </c>
      <c r="L46" s="240"/>
      <c r="M46" s="353" t="s">
        <v>399</v>
      </c>
      <c r="N46" s="74" t="s">
        <v>400</v>
      </c>
      <c r="O46" s="363">
        <f>SUM(O44:O45)</f>
        <v>0</v>
      </c>
      <c r="P46" s="363">
        <f>SUM(P44:P45)</f>
        <v>0</v>
      </c>
      <c r="Q46" s="263"/>
      <c r="R46" s="263"/>
      <c r="S46" s="263"/>
      <c r="T46" s="263"/>
      <c r="U46" s="263"/>
      <c r="V46" s="263"/>
      <c r="W46" s="263"/>
      <c r="X46" s="263"/>
      <c r="Y46" s="263"/>
      <c r="Z46" s="263"/>
      <c r="AA46" s="263"/>
      <c r="AB46" s="263"/>
      <c r="AC46" s="263"/>
      <c r="AD46" s="263"/>
      <c r="AE46" s="263"/>
      <c r="AF46" s="263"/>
      <c r="AG46" s="263"/>
      <c r="AH46" s="263"/>
      <c r="AI46" s="263"/>
      <c r="AJ46" s="263"/>
      <c r="AK46" s="263"/>
      <c r="AL46" s="263"/>
      <c r="AM46" s="242"/>
    </row>
    <row r="47" spans="1:39" ht="18" customHeight="1" x14ac:dyDescent="0.15">
      <c r="A47" s="240">
        <f t="shared" si="0"/>
        <v>44</v>
      </c>
      <c r="B47" s="356"/>
      <c r="C47" s="365"/>
      <c r="D47" s="364"/>
      <c r="E47" s="355"/>
      <c r="F47" s="355"/>
      <c r="G47" s="240"/>
      <c r="H47" s="356"/>
      <c r="I47" s="365"/>
      <c r="J47" s="355"/>
      <c r="K47" s="355"/>
      <c r="L47" s="240"/>
      <c r="M47" s="366"/>
      <c r="N47" s="358"/>
      <c r="O47" s="355"/>
      <c r="P47" s="355"/>
      <c r="Q47" s="263"/>
      <c r="R47" s="263"/>
      <c r="S47" s="263"/>
      <c r="T47" s="263"/>
      <c r="U47" s="263"/>
      <c r="V47" s="263"/>
      <c r="W47" s="263"/>
      <c r="X47" s="263"/>
      <c r="Y47" s="263"/>
      <c r="Z47" s="263"/>
      <c r="AA47" s="263"/>
      <c r="AB47" s="263"/>
      <c r="AC47" s="263"/>
      <c r="AD47" s="263"/>
      <c r="AE47" s="263"/>
      <c r="AF47" s="263"/>
      <c r="AG47" s="263"/>
      <c r="AH47" s="263"/>
      <c r="AI47" s="263"/>
      <c r="AJ47" s="263"/>
      <c r="AK47" s="263"/>
      <c r="AL47" s="263"/>
      <c r="AM47" s="242"/>
    </row>
    <row r="48" spans="1:39" ht="18" customHeight="1" x14ac:dyDescent="0.15">
      <c r="A48" s="240">
        <f t="shared" si="0"/>
        <v>45</v>
      </c>
      <c r="B48" s="356"/>
      <c r="C48" s="74" t="s">
        <v>401</v>
      </c>
      <c r="D48" s="263"/>
      <c r="E48" s="355"/>
      <c r="F48" s="355"/>
      <c r="G48" s="240"/>
      <c r="H48" s="356"/>
      <c r="I48" s="74" t="s">
        <v>401</v>
      </c>
      <c r="J48" s="355"/>
      <c r="K48" s="355"/>
      <c r="L48" s="240"/>
      <c r="M48" s="356"/>
      <c r="N48" s="74" t="s">
        <v>401</v>
      </c>
      <c r="O48" s="355"/>
      <c r="P48" s="355"/>
      <c r="Q48" s="263"/>
      <c r="R48" s="263"/>
      <c r="S48" s="263"/>
      <c r="T48" s="263"/>
      <c r="U48" s="263"/>
      <c r="V48" s="263"/>
      <c r="W48" s="263"/>
      <c r="X48" s="263"/>
      <c r="Y48" s="263"/>
      <c r="Z48" s="263"/>
      <c r="AA48" s="263"/>
      <c r="AB48" s="263"/>
      <c r="AC48" s="263"/>
      <c r="AD48" s="263"/>
      <c r="AE48" s="263"/>
      <c r="AF48" s="263"/>
      <c r="AG48" s="263"/>
      <c r="AH48" s="263"/>
      <c r="AI48" s="263"/>
      <c r="AJ48" s="263"/>
      <c r="AK48" s="263"/>
      <c r="AL48" s="263"/>
      <c r="AM48" s="242"/>
    </row>
    <row r="49" spans="1:39" ht="18" customHeight="1" outlineLevel="1" x14ac:dyDescent="0.15">
      <c r="A49" s="240">
        <f t="shared" si="0"/>
        <v>46</v>
      </c>
      <c r="B49" s="350" t="s">
        <v>370</v>
      </c>
      <c r="C49" s="41" t="s">
        <v>402</v>
      </c>
      <c r="D49" s="264"/>
      <c r="E49" s="363">
        <f>SUM(E57:E59)+E50+E51</f>
        <v>0</v>
      </c>
      <c r="F49" s="363">
        <f>SUM(F57:F59)+F50+F51</f>
        <v>0</v>
      </c>
      <c r="G49" s="240"/>
      <c r="H49" s="350" t="s">
        <v>370</v>
      </c>
      <c r="I49" s="41" t="s">
        <v>402</v>
      </c>
      <c r="J49" s="363">
        <f>SUM(J57:J59)+J50+J51</f>
        <v>0</v>
      </c>
      <c r="K49" s="363">
        <f>SUM(K57:K59)+K50+K51</f>
        <v>0</v>
      </c>
      <c r="L49" s="240"/>
      <c r="M49" s="350" t="s">
        <v>370</v>
      </c>
      <c r="N49" s="41" t="s">
        <v>402</v>
      </c>
      <c r="O49" s="363">
        <f>SUM(O57:O59)+O50+O51</f>
        <v>0</v>
      </c>
      <c r="P49" s="363">
        <f>SUM(P57:P59)+P50+P51</f>
        <v>0</v>
      </c>
      <c r="Q49" s="263"/>
      <c r="R49" s="263"/>
      <c r="S49" s="263"/>
      <c r="T49" s="263"/>
      <c r="U49" s="263"/>
      <c r="V49" s="263"/>
      <c r="W49" s="263"/>
      <c r="X49" s="263"/>
      <c r="Y49" s="263"/>
      <c r="Z49" s="263"/>
      <c r="AA49" s="263"/>
      <c r="AB49" s="263"/>
      <c r="AC49" s="263"/>
      <c r="AD49" s="263"/>
      <c r="AE49" s="263"/>
      <c r="AF49" s="263"/>
      <c r="AG49" s="263"/>
      <c r="AH49" s="263"/>
      <c r="AI49" s="263"/>
      <c r="AJ49" s="263"/>
      <c r="AK49" s="263"/>
      <c r="AL49" s="263"/>
      <c r="AM49" s="242"/>
    </row>
    <row r="50" spans="1:39" ht="18" customHeight="1" outlineLevel="2" x14ac:dyDescent="0.15">
      <c r="A50" s="240">
        <f t="shared" si="0"/>
        <v>47</v>
      </c>
      <c r="B50" s="257" t="s">
        <v>361</v>
      </c>
      <c r="C50" s="73" t="s">
        <v>403</v>
      </c>
      <c r="D50" s="361"/>
      <c r="E50" s="310" cm="1">
        <f t="array" ref="E50">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0" s="310" cm="1">
        <f t="array" ref="F50">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0" s="240"/>
      <c r="H50" s="257" t="s">
        <v>361</v>
      </c>
      <c r="I50" s="73" t="s">
        <v>403</v>
      </c>
      <c r="J50" s="310" cm="1">
        <f t="array" ref="J50">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0" s="310" cm="1">
        <f t="array" ref="K50">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0" s="240"/>
      <c r="M50" s="257" t="s">
        <v>361</v>
      </c>
      <c r="N50" s="73" t="s">
        <v>403</v>
      </c>
      <c r="O50" s="310" cm="1">
        <f t="array" ref="O50">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0" s="310" cm="1">
        <f t="array" ref="P50">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0" s="263"/>
      <c r="R50" s="263"/>
      <c r="S50" s="263"/>
      <c r="T50" s="263"/>
      <c r="U50" s="263"/>
      <c r="V50" s="263"/>
      <c r="W50" s="263"/>
      <c r="X50" s="263"/>
      <c r="Y50" s="263"/>
      <c r="Z50" s="263"/>
      <c r="AA50" s="263"/>
      <c r="AB50" s="263"/>
      <c r="AC50" s="263"/>
      <c r="AD50" s="263"/>
      <c r="AE50" s="263"/>
      <c r="AF50" s="263"/>
      <c r="AG50" s="263"/>
      <c r="AH50" s="263"/>
      <c r="AI50" s="263"/>
      <c r="AJ50" s="263"/>
      <c r="AK50" s="263"/>
      <c r="AL50" s="263"/>
      <c r="AM50" s="242"/>
    </row>
    <row r="51" spans="1:39" ht="18" customHeight="1" outlineLevel="2" x14ac:dyDescent="0.15">
      <c r="A51" s="240">
        <f t="shared" si="0"/>
        <v>48</v>
      </c>
      <c r="B51" s="257" t="s">
        <v>362</v>
      </c>
      <c r="C51" s="73" t="s">
        <v>404</v>
      </c>
      <c r="D51" s="361"/>
      <c r="E51" s="310">
        <f>SUM(E52:E56)</f>
        <v>0</v>
      </c>
      <c r="F51" s="310">
        <f>SUM(F52:F56)</f>
        <v>0</v>
      </c>
      <c r="G51" s="240"/>
      <c r="H51" s="257" t="s">
        <v>362</v>
      </c>
      <c r="I51" s="73" t="s">
        <v>404</v>
      </c>
      <c r="J51" s="310">
        <f>SUM(J52:J56)</f>
        <v>0</v>
      </c>
      <c r="K51" s="310">
        <f>SUM(K52:K56)</f>
        <v>0</v>
      </c>
      <c r="L51" s="240"/>
      <c r="M51" s="257" t="s">
        <v>362</v>
      </c>
      <c r="N51" s="73" t="s">
        <v>404</v>
      </c>
      <c r="O51" s="310">
        <f>SUM(O52:O56)</f>
        <v>0</v>
      </c>
      <c r="P51" s="310">
        <f>SUM(P52:P56)</f>
        <v>0</v>
      </c>
      <c r="Q51" s="263"/>
      <c r="R51" s="263"/>
      <c r="S51" s="263"/>
      <c r="T51" s="263"/>
      <c r="U51" s="263"/>
      <c r="V51" s="263"/>
      <c r="W51" s="263"/>
      <c r="X51" s="263"/>
      <c r="Y51" s="263"/>
      <c r="Z51" s="263"/>
      <c r="AA51" s="263"/>
      <c r="AB51" s="263"/>
      <c r="AC51" s="263"/>
      <c r="AD51" s="263"/>
      <c r="AE51" s="263"/>
      <c r="AF51" s="263"/>
      <c r="AG51" s="263"/>
      <c r="AH51" s="263"/>
      <c r="AI51" s="263"/>
      <c r="AJ51" s="263"/>
      <c r="AK51" s="263"/>
      <c r="AL51" s="263"/>
      <c r="AM51" s="242"/>
    </row>
    <row r="52" spans="1:39" s="53" customFormat="1" ht="18" customHeight="1" outlineLevel="3" x14ac:dyDescent="0.15">
      <c r="A52" s="240">
        <f t="shared" si="0"/>
        <v>49</v>
      </c>
      <c r="B52" s="362"/>
      <c r="C52" s="72" t="s">
        <v>405</v>
      </c>
      <c r="D52" s="358"/>
      <c r="E52" s="359" cm="1">
        <f t="array" ref="E52">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2" s="359" cm="1">
        <f t="array" ref="F52">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2" s="262"/>
      <c r="H52" s="362"/>
      <c r="I52" s="72" t="s">
        <v>405</v>
      </c>
      <c r="J52" s="359" cm="1">
        <f t="array" ref="J52">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2" s="359" cm="1">
        <f t="array" ref="K52">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2" s="262"/>
      <c r="M52" s="362"/>
      <c r="N52" s="72" t="s">
        <v>405</v>
      </c>
      <c r="O52" s="359" cm="1">
        <f t="array" ref="O52">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2" s="359" cm="1">
        <f t="array" ref="P52">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2" s="367"/>
      <c r="R52" s="367"/>
      <c r="S52" s="367"/>
      <c r="T52" s="367"/>
      <c r="U52" s="367"/>
      <c r="V52" s="367"/>
      <c r="W52" s="367"/>
      <c r="X52" s="367"/>
      <c r="Y52" s="367"/>
      <c r="Z52" s="367"/>
      <c r="AA52" s="367"/>
      <c r="AB52" s="367"/>
      <c r="AC52" s="367"/>
      <c r="AD52" s="367"/>
      <c r="AE52" s="367"/>
      <c r="AF52" s="367"/>
      <c r="AG52" s="367"/>
      <c r="AH52" s="367"/>
      <c r="AI52" s="367"/>
      <c r="AJ52" s="367"/>
      <c r="AK52" s="367"/>
      <c r="AL52" s="367"/>
      <c r="AM52" s="368"/>
    </row>
    <row r="53" spans="1:39" s="53" customFormat="1" ht="18" customHeight="1" outlineLevel="3" x14ac:dyDescent="0.15">
      <c r="A53" s="240">
        <f t="shared" si="0"/>
        <v>50</v>
      </c>
      <c r="B53" s="362"/>
      <c r="C53" s="72" t="s">
        <v>406</v>
      </c>
      <c r="D53" s="358"/>
      <c r="E53" s="359" cm="1">
        <f t="array" ref="E53">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3" s="359" cm="1">
        <f t="array" ref="F53">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3" s="262"/>
      <c r="H53" s="362"/>
      <c r="I53" s="72" t="s">
        <v>406</v>
      </c>
      <c r="J53" s="359" cm="1">
        <f t="array" ref="J53">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3" s="359" cm="1">
        <f t="array" ref="K53">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3" s="262"/>
      <c r="M53" s="362"/>
      <c r="N53" s="72" t="s">
        <v>406</v>
      </c>
      <c r="O53" s="359" cm="1">
        <f t="array" ref="O53">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3" s="359" cm="1">
        <f t="array" ref="P53">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3" s="367"/>
      <c r="R53" s="367"/>
      <c r="S53" s="367"/>
      <c r="T53" s="367"/>
      <c r="U53" s="367"/>
      <c r="V53" s="367"/>
      <c r="W53" s="367"/>
      <c r="X53" s="367"/>
      <c r="Y53" s="367"/>
      <c r="Z53" s="367"/>
      <c r="AA53" s="367"/>
      <c r="AB53" s="367"/>
      <c r="AC53" s="367"/>
      <c r="AD53" s="367"/>
      <c r="AE53" s="367"/>
      <c r="AF53" s="367"/>
      <c r="AG53" s="367"/>
      <c r="AH53" s="367"/>
      <c r="AI53" s="367"/>
      <c r="AJ53" s="367"/>
      <c r="AK53" s="367"/>
      <c r="AL53" s="367"/>
      <c r="AM53" s="368"/>
    </row>
    <row r="54" spans="1:39" s="53" customFormat="1" ht="18" customHeight="1" outlineLevel="3" x14ac:dyDescent="0.15">
      <c r="A54" s="240">
        <f t="shared" si="0"/>
        <v>51</v>
      </c>
      <c r="B54" s="362"/>
      <c r="C54" s="72" t="s">
        <v>407</v>
      </c>
      <c r="D54" s="358"/>
      <c r="E54" s="359" cm="1">
        <f t="array" ref="E54">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4" s="359" cm="1">
        <f t="array" ref="F54">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4" s="262"/>
      <c r="H54" s="362"/>
      <c r="I54" s="72" t="s">
        <v>407</v>
      </c>
      <c r="J54" s="359" cm="1">
        <f t="array" ref="J54">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4" s="359" cm="1">
        <f t="array" ref="K54">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4" s="262"/>
      <c r="M54" s="362"/>
      <c r="N54" s="72" t="s">
        <v>407</v>
      </c>
      <c r="O54" s="359" cm="1">
        <f t="array" ref="O54">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4" s="359" cm="1">
        <f t="array" ref="P54">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4" s="367"/>
      <c r="R54" s="367"/>
      <c r="S54" s="367"/>
      <c r="T54" s="367"/>
      <c r="U54" s="367"/>
      <c r="V54" s="367"/>
      <c r="W54" s="367"/>
      <c r="X54" s="367"/>
      <c r="Y54" s="367"/>
      <c r="Z54" s="367"/>
      <c r="AA54" s="367"/>
      <c r="AB54" s="367"/>
      <c r="AC54" s="367"/>
      <c r="AD54" s="367"/>
      <c r="AE54" s="367"/>
      <c r="AF54" s="367"/>
      <c r="AG54" s="367"/>
      <c r="AH54" s="367"/>
      <c r="AI54" s="367"/>
      <c r="AJ54" s="367"/>
      <c r="AK54" s="367"/>
      <c r="AL54" s="367"/>
      <c r="AM54" s="368"/>
    </row>
    <row r="55" spans="1:39" s="53" customFormat="1" ht="18" customHeight="1" outlineLevel="3" x14ac:dyDescent="0.15">
      <c r="A55" s="240">
        <f t="shared" si="0"/>
        <v>52</v>
      </c>
      <c r="B55" s="362"/>
      <c r="C55" s="72" t="s">
        <v>408</v>
      </c>
      <c r="D55" s="358"/>
      <c r="E55" s="359" cm="1">
        <f t="array" ref="E55">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5" s="359" cm="1">
        <f t="array" ref="F55">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5" s="262"/>
      <c r="H55" s="362"/>
      <c r="I55" s="72" t="s">
        <v>408</v>
      </c>
      <c r="J55" s="359" cm="1">
        <f t="array" ref="J55">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5" s="359" cm="1">
        <f t="array" ref="K55">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5" s="262"/>
      <c r="M55" s="362"/>
      <c r="N55" s="72" t="s">
        <v>408</v>
      </c>
      <c r="O55" s="359" cm="1">
        <f t="array" ref="O55">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5" s="359" cm="1">
        <f t="array" ref="P55">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5" s="367"/>
      <c r="R55" s="367"/>
      <c r="S55" s="367"/>
      <c r="T55" s="367"/>
      <c r="U55" s="367"/>
      <c r="V55" s="367"/>
      <c r="W55" s="367"/>
      <c r="X55" s="367"/>
      <c r="Y55" s="367"/>
      <c r="Z55" s="367"/>
      <c r="AA55" s="367"/>
      <c r="AB55" s="367"/>
      <c r="AC55" s="367"/>
      <c r="AD55" s="367"/>
      <c r="AE55" s="367"/>
      <c r="AF55" s="367"/>
      <c r="AG55" s="367"/>
      <c r="AH55" s="367"/>
      <c r="AI55" s="367"/>
      <c r="AJ55" s="367"/>
      <c r="AK55" s="367"/>
      <c r="AL55" s="367"/>
      <c r="AM55" s="368"/>
    </row>
    <row r="56" spans="1:39" s="53" customFormat="1" ht="18" customHeight="1" outlineLevel="3" x14ac:dyDescent="0.15">
      <c r="A56" s="240">
        <f t="shared" si="0"/>
        <v>53</v>
      </c>
      <c r="B56" s="362"/>
      <c r="C56" s="72" t="s">
        <v>409</v>
      </c>
      <c r="D56" s="358"/>
      <c r="E56" s="359" cm="1">
        <f t="array" ref="E56">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6" s="359" cm="1">
        <f t="array" ref="F56">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6" s="262"/>
      <c r="H56" s="362"/>
      <c r="I56" s="72" t="s">
        <v>409</v>
      </c>
      <c r="J56" s="359" cm="1">
        <f t="array" ref="J56">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6" s="359" cm="1">
        <f t="array" ref="K56">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6" s="262"/>
      <c r="M56" s="362"/>
      <c r="N56" s="72" t="s">
        <v>409</v>
      </c>
      <c r="O56" s="359" cm="1">
        <f t="array" ref="O56">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6" s="359" cm="1">
        <f t="array" ref="P56">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6" s="367"/>
      <c r="R56" s="367"/>
      <c r="S56" s="367"/>
      <c r="T56" s="367"/>
      <c r="U56" s="367"/>
      <c r="V56" s="367"/>
      <c r="W56" s="367"/>
      <c r="X56" s="367"/>
      <c r="Y56" s="367"/>
      <c r="Z56" s="367"/>
      <c r="AA56" s="367"/>
      <c r="AB56" s="367"/>
      <c r="AC56" s="367"/>
      <c r="AD56" s="367"/>
      <c r="AE56" s="367"/>
      <c r="AF56" s="367"/>
      <c r="AG56" s="367"/>
      <c r="AH56" s="367"/>
      <c r="AI56" s="367"/>
      <c r="AJ56" s="367"/>
      <c r="AK56" s="367"/>
      <c r="AL56" s="367"/>
      <c r="AM56" s="368"/>
    </row>
    <row r="57" spans="1:39" ht="18" customHeight="1" outlineLevel="2" x14ac:dyDescent="0.15">
      <c r="A57" s="240">
        <f t="shared" si="0"/>
        <v>54</v>
      </c>
      <c r="B57" s="257" t="s">
        <v>410</v>
      </c>
      <c r="C57" s="73" t="s">
        <v>307</v>
      </c>
      <c r="D57" s="361"/>
      <c r="E57" s="310" cm="1">
        <f t="array" ref="E57">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7" s="310" cm="1">
        <f t="array" ref="F57">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7" s="240"/>
      <c r="H57" s="257" t="s">
        <v>410</v>
      </c>
      <c r="I57" s="73" t="s">
        <v>307</v>
      </c>
      <c r="J57" s="310" cm="1">
        <f t="array" ref="J57">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7" s="310" cm="1">
        <f t="array" ref="K57">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7" s="240"/>
      <c r="M57" s="257" t="s">
        <v>410</v>
      </c>
      <c r="N57" s="73" t="s">
        <v>307</v>
      </c>
      <c r="O57" s="310" cm="1">
        <f t="array" ref="O57">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7" s="310" cm="1">
        <f t="array" ref="P57">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7" s="263"/>
      <c r="R57" s="263"/>
      <c r="S57" s="263"/>
      <c r="T57" s="263"/>
      <c r="U57" s="263"/>
      <c r="V57" s="263"/>
      <c r="W57" s="263"/>
      <c r="X57" s="263"/>
      <c r="Y57" s="263"/>
      <c r="Z57" s="263"/>
      <c r="AA57" s="263"/>
      <c r="AB57" s="263"/>
      <c r="AC57" s="263"/>
      <c r="AD57" s="263"/>
      <c r="AE57" s="263"/>
      <c r="AF57" s="263"/>
      <c r="AG57" s="263"/>
      <c r="AH57" s="263"/>
      <c r="AI57" s="263"/>
      <c r="AJ57" s="263"/>
      <c r="AK57" s="263"/>
      <c r="AL57" s="263"/>
      <c r="AM57" s="242"/>
    </row>
    <row r="58" spans="1:39" ht="18" customHeight="1" outlineLevel="2" x14ac:dyDescent="0.15">
      <c r="A58" s="240">
        <f t="shared" si="0"/>
        <v>55</v>
      </c>
      <c r="B58" s="257" t="s">
        <v>411</v>
      </c>
      <c r="C58" s="73" t="s">
        <v>412</v>
      </c>
      <c r="D58" s="361"/>
      <c r="E58" s="310" cm="1">
        <f t="array" ref="E58">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8" s="310" cm="1">
        <f t="array" ref="F58">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8" s="240"/>
      <c r="H58" s="257" t="s">
        <v>411</v>
      </c>
      <c r="I58" s="73" t="s">
        <v>412</v>
      </c>
      <c r="J58" s="310" cm="1">
        <f t="array" ref="J58">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8" s="310" cm="1">
        <f t="array" ref="K58">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8" s="240"/>
      <c r="M58" s="257" t="s">
        <v>411</v>
      </c>
      <c r="N58" s="73" t="s">
        <v>412</v>
      </c>
      <c r="O58" s="310" cm="1">
        <f t="array" ref="O58">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8" s="310" cm="1">
        <f t="array" ref="P58">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8" s="263"/>
      <c r="R58" s="263"/>
      <c r="S58" s="263"/>
      <c r="T58" s="263"/>
      <c r="U58" s="263"/>
      <c r="V58" s="263"/>
      <c r="W58" s="263"/>
      <c r="X58" s="263"/>
      <c r="Y58" s="263"/>
      <c r="Z58" s="263"/>
      <c r="AA58" s="263"/>
      <c r="AB58" s="263"/>
      <c r="AC58" s="263"/>
      <c r="AD58" s="263"/>
      <c r="AE58" s="263"/>
      <c r="AF58" s="263"/>
      <c r="AG58" s="263"/>
      <c r="AH58" s="263"/>
      <c r="AI58" s="263"/>
      <c r="AJ58" s="263"/>
      <c r="AK58" s="263"/>
      <c r="AL58" s="263"/>
      <c r="AM58" s="242"/>
    </row>
    <row r="59" spans="1:39" ht="18" customHeight="1" outlineLevel="2" x14ac:dyDescent="0.15">
      <c r="A59" s="240">
        <f t="shared" si="0"/>
        <v>56</v>
      </c>
      <c r="B59" s="257" t="s">
        <v>413</v>
      </c>
      <c r="C59" s="73" t="s">
        <v>414</v>
      </c>
      <c r="D59" s="361"/>
      <c r="E59" s="355" cm="1">
        <f t="array" ref="E59">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59" s="355" cm="1">
        <f t="array" ref="F59">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59" s="240"/>
      <c r="H59" s="257" t="s">
        <v>413</v>
      </c>
      <c r="I59" s="73" t="s">
        <v>414</v>
      </c>
      <c r="J59" s="355" cm="1">
        <f t="array" ref="J59">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59" s="355" cm="1">
        <f t="array" ref="K59">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59" s="240"/>
      <c r="M59" s="257" t="s">
        <v>413</v>
      </c>
      <c r="N59" s="73" t="s">
        <v>414</v>
      </c>
      <c r="O59" s="355" cm="1">
        <f t="array" ref="O59">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59" s="355" cm="1">
        <f t="array" ref="P59">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59" s="263"/>
      <c r="R59" s="263"/>
      <c r="S59" s="263"/>
      <c r="T59" s="263"/>
      <c r="U59" s="263"/>
      <c r="V59" s="263"/>
      <c r="W59" s="263"/>
      <c r="X59" s="263"/>
      <c r="Y59" s="263"/>
      <c r="Z59" s="263"/>
      <c r="AA59" s="263"/>
      <c r="AB59" s="263"/>
      <c r="AC59" s="263"/>
      <c r="AD59" s="263"/>
      <c r="AE59" s="263"/>
      <c r="AF59" s="263"/>
      <c r="AG59" s="263"/>
      <c r="AH59" s="263"/>
      <c r="AI59" s="263"/>
      <c r="AJ59" s="263"/>
      <c r="AK59" s="263"/>
      <c r="AL59" s="263"/>
      <c r="AM59" s="242"/>
    </row>
    <row r="60" spans="1:39" ht="18" customHeight="1" outlineLevel="1" x14ac:dyDescent="0.15">
      <c r="A60" s="240">
        <f t="shared" si="0"/>
        <v>57</v>
      </c>
      <c r="B60" s="350" t="s">
        <v>386</v>
      </c>
      <c r="C60" s="41" t="s">
        <v>415</v>
      </c>
      <c r="D60" s="264"/>
      <c r="E60" s="363">
        <f>SUM(E61:E64)</f>
        <v>0</v>
      </c>
      <c r="F60" s="363">
        <f>SUM(F61:F64)</f>
        <v>0</v>
      </c>
      <c r="G60" s="240"/>
      <c r="H60" s="350" t="s">
        <v>386</v>
      </c>
      <c r="I60" s="41" t="s">
        <v>415</v>
      </c>
      <c r="J60" s="363">
        <f>SUM(J61:J64)</f>
        <v>0</v>
      </c>
      <c r="K60" s="363">
        <f>SUM(K61:K64)</f>
        <v>0</v>
      </c>
      <c r="L60" s="240"/>
      <c r="M60" s="350" t="s">
        <v>386</v>
      </c>
      <c r="N60" s="41" t="s">
        <v>415</v>
      </c>
      <c r="O60" s="363">
        <f>SUM(O61:O64)</f>
        <v>0</v>
      </c>
      <c r="P60" s="363">
        <f>SUM(P61:P64)</f>
        <v>0</v>
      </c>
      <c r="Q60" s="263"/>
      <c r="R60" s="263"/>
      <c r="S60" s="263"/>
      <c r="T60" s="263"/>
      <c r="U60" s="263"/>
      <c r="V60" s="263"/>
      <c r="W60" s="263"/>
      <c r="X60" s="263"/>
      <c r="Y60" s="263"/>
      <c r="Z60" s="263"/>
      <c r="AA60" s="263"/>
      <c r="AB60" s="263"/>
      <c r="AC60" s="263"/>
      <c r="AD60" s="263"/>
      <c r="AE60" s="263"/>
      <c r="AF60" s="263"/>
      <c r="AG60" s="263"/>
      <c r="AH60" s="263"/>
      <c r="AI60" s="263"/>
      <c r="AJ60" s="263"/>
      <c r="AK60" s="263"/>
      <c r="AL60" s="263"/>
      <c r="AM60" s="242"/>
    </row>
    <row r="61" spans="1:39" ht="18" customHeight="1" outlineLevel="2" x14ac:dyDescent="0.15">
      <c r="A61" s="240">
        <f t="shared" si="0"/>
        <v>58</v>
      </c>
      <c r="B61" s="356" t="s">
        <v>416</v>
      </c>
      <c r="C61" s="73" t="s">
        <v>417</v>
      </c>
      <c r="D61" s="361"/>
      <c r="E61" s="355" cm="1">
        <f t="array" ref="E61">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1" s="355" cm="1">
        <f t="array" ref="F61">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1" s="240"/>
      <c r="H61" s="356" t="s">
        <v>416</v>
      </c>
      <c r="I61" s="73" t="s">
        <v>417</v>
      </c>
      <c r="J61" s="355" cm="1">
        <f t="array" ref="J61">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1" s="355" cm="1">
        <f t="array" ref="K61">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1" s="240"/>
      <c r="M61" s="356" t="s">
        <v>416</v>
      </c>
      <c r="N61" s="73" t="s">
        <v>417</v>
      </c>
      <c r="O61" s="355" cm="1">
        <f t="array" ref="O61">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1" s="355" cm="1">
        <f t="array" ref="P61">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42"/>
    </row>
    <row r="62" spans="1:39" ht="18" customHeight="1" outlineLevel="2" x14ac:dyDescent="0.15">
      <c r="A62" s="240">
        <f t="shared" si="0"/>
        <v>59</v>
      </c>
      <c r="B62" s="356" t="s">
        <v>389</v>
      </c>
      <c r="C62" s="73" t="s">
        <v>418</v>
      </c>
      <c r="D62" s="361"/>
      <c r="E62" s="355" cm="1">
        <f t="array" ref="E62">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2" s="355" cm="1">
        <f t="array" ref="F62">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2" s="240"/>
      <c r="H62" s="356" t="s">
        <v>389</v>
      </c>
      <c r="I62" s="73" t="s">
        <v>418</v>
      </c>
      <c r="J62" s="355" cm="1">
        <f t="array" ref="J62">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2" s="355" cm="1">
        <f t="array" ref="K62">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2" s="240"/>
      <c r="M62" s="356" t="s">
        <v>389</v>
      </c>
      <c r="N62" s="73" t="s">
        <v>418</v>
      </c>
      <c r="O62" s="355" cm="1">
        <f t="array" ref="O62">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2" s="355" cm="1">
        <f t="array" ref="P62">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2" s="263"/>
      <c r="R62" s="263"/>
      <c r="S62" s="263"/>
      <c r="T62" s="263"/>
      <c r="U62" s="263"/>
      <c r="V62" s="263"/>
      <c r="W62" s="263"/>
      <c r="X62" s="263"/>
      <c r="Y62" s="263"/>
      <c r="Z62" s="263"/>
      <c r="AA62" s="263"/>
      <c r="AB62" s="263"/>
      <c r="AC62" s="263"/>
      <c r="AD62" s="263"/>
      <c r="AE62" s="263"/>
      <c r="AF62" s="263"/>
      <c r="AG62" s="263"/>
      <c r="AH62" s="263"/>
      <c r="AI62" s="263"/>
      <c r="AJ62" s="263"/>
      <c r="AK62" s="263"/>
      <c r="AL62" s="263"/>
      <c r="AM62" s="242"/>
    </row>
    <row r="63" spans="1:39" ht="18" customHeight="1" outlineLevel="2" x14ac:dyDescent="0.15">
      <c r="A63" s="240">
        <f t="shared" si="0"/>
        <v>60</v>
      </c>
      <c r="B63" s="356" t="s">
        <v>372</v>
      </c>
      <c r="C63" s="73" t="s">
        <v>419</v>
      </c>
      <c r="D63" s="361"/>
      <c r="E63" s="355" cm="1">
        <f t="array" ref="E6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3" s="355" cm="1">
        <f t="array" ref="F6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3" s="240"/>
      <c r="H63" s="356" t="s">
        <v>372</v>
      </c>
      <c r="I63" s="73" t="s">
        <v>419</v>
      </c>
      <c r="J63" s="355" cm="1">
        <f t="array" ref="J6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3" s="355" cm="1">
        <f t="array" ref="K6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3" s="240"/>
      <c r="M63" s="356" t="s">
        <v>372</v>
      </c>
      <c r="N63" s="73" t="s">
        <v>419</v>
      </c>
      <c r="O63" s="355" cm="1">
        <f t="array" ref="O6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3" s="355" cm="1">
        <f t="array" ref="P6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3" s="263"/>
      <c r="R63" s="263"/>
      <c r="S63" s="263"/>
      <c r="T63" s="263"/>
      <c r="U63" s="263"/>
      <c r="V63" s="263"/>
      <c r="W63" s="263"/>
      <c r="X63" s="263"/>
      <c r="Y63" s="263"/>
      <c r="Z63" s="263"/>
      <c r="AA63" s="263"/>
      <c r="AB63" s="263"/>
      <c r="AC63" s="263"/>
      <c r="AD63" s="263"/>
      <c r="AE63" s="263"/>
      <c r="AF63" s="263"/>
      <c r="AG63" s="263"/>
      <c r="AH63" s="263"/>
      <c r="AI63" s="263"/>
      <c r="AJ63" s="263"/>
      <c r="AK63" s="263"/>
      <c r="AL63" s="263"/>
      <c r="AM63" s="242"/>
    </row>
    <row r="64" spans="1:39" ht="18" customHeight="1" outlineLevel="2" x14ac:dyDescent="0.15">
      <c r="A64" s="240">
        <f t="shared" si="0"/>
        <v>61</v>
      </c>
      <c r="B64" s="356" t="s">
        <v>420</v>
      </c>
      <c r="C64" s="73" t="s">
        <v>421</v>
      </c>
      <c r="D64" s="361"/>
      <c r="E64" s="355" cm="1">
        <f t="array" ref="E64">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4" s="355" cm="1">
        <f t="array" ref="F64">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4" s="240"/>
      <c r="H64" s="356" t="s">
        <v>420</v>
      </c>
      <c r="I64" s="73" t="s">
        <v>421</v>
      </c>
      <c r="J64" s="355" cm="1">
        <f t="array" ref="J64">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4" s="355" cm="1">
        <f t="array" ref="K64">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4" s="240"/>
      <c r="M64" s="356" t="s">
        <v>420</v>
      </c>
      <c r="N64" s="73" t="s">
        <v>421</v>
      </c>
      <c r="O64" s="355" cm="1">
        <f t="array" ref="O64">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4" s="355" cm="1">
        <f t="array" ref="P64">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42"/>
    </row>
    <row r="65" spans="1:39" ht="18" customHeight="1" outlineLevel="1" x14ac:dyDescent="0.15">
      <c r="A65" s="240">
        <f t="shared" si="0"/>
        <v>62</v>
      </c>
      <c r="B65" s="350" t="s">
        <v>387</v>
      </c>
      <c r="C65" s="41" t="s">
        <v>422</v>
      </c>
      <c r="D65" s="264"/>
      <c r="E65" s="363">
        <f>SUM(E66:E69)</f>
        <v>0</v>
      </c>
      <c r="F65" s="363">
        <f>SUM(F66:F69)</f>
        <v>0</v>
      </c>
      <c r="G65" s="240"/>
      <c r="H65" s="350" t="s">
        <v>387</v>
      </c>
      <c r="I65" s="41" t="s">
        <v>422</v>
      </c>
      <c r="J65" s="363">
        <f>SUM(J66:J69)</f>
        <v>0</v>
      </c>
      <c r="K65" s="363">
        <f>SUM(K66:K69)</f>
        <v>0</v>
      </c>
      <c r="L65" s="240"/>
      <c r="M65" s="350" t="s">
        <v>387</v>
      </c>
      <c r="N65" s="41" t="s">
        <v>422</v>
      </c>
      <c r="O65" s="363">
        <f>SUM(O66:O69)</f>
        <v>0</v>
      </c>
      <c r="P65" s="363">
        <f>SUM(P66:P69)</f>
        <v>0</v>
      </c>
      <c r="Q65" s="263"/>
      <c r="R65" s="263"/>
      <c r="S65" s="263"/>
      <c r="T65" s="263"/>
      <c r="U65" s="263"/>
      <c r="V65" s="263"/>
      <c r="W65" s="263"/>
      <c r="X65" s="263"/>
      <c r="Y65" s="263"/>
      <c r="Z65" s="263"/>
      <c r="AA65" s="263"/>
      <c r="AB65" s="263"/>
      <c r="AC65" s="263"/>
      <c r="AD65" s="263"/>
      <c r="AE65" s="263"/>
      <c r="AF65" s="263"/>
      <c r="AG65" s="263"/>
      <c r="AH65" s="263"/>
      <c r="AI65" s="263"/>
      <c r="AJ65" s="263"/>
      <c r="AK65" s="263"/>
      <c r="AL65" s="263"/>
      <c r="AM65" s="242"/>
    </row>
    <row r="66" spans="1:39" ht="18" customHeight="1" outlineLevel="2" x14ac:dyDescent="0.15">
      <c r="A66" s="240">
        <f t="shared" si="0"/>
        <v>63</v>
      </c>
      <c r="B66" s="257" t="s">
        <v>423</v>
      </c>
      <c r="C66" s="73" t="s">
        <v>424</v>
      </c>
      <c r="D66" s="361"/>
      <c r="E66" s="355" cm="1">
        <f t="array" ref="E66">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6" s="355" cm="1">
        <f t="array" ref="F66">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6" s="240"/>
      <c r="H66" s="257" t="s">
        <v>423</v>
      </c>
      <c r="I66" s="73" t="s">
        <v>424</v>
      </c>
      <c r="J66" s="355" cm="1">
        <f t="array" ref="J66">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6" s="355" cm="1">
        <f t="array" ref="K66">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6" s="240"/>
      <c r="M66" s="257" t="s">
        <v>423</v>
      </c>
      <c r="N66" s="73" t="s">
        <v>424</v>
      </c>
      <c r="O66" s="355" cm="1">
        <f t="array" ref="O66">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6" s="355" cm="1">
        <f t="array" ref="P66">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42"/>
    </row>
    <row r="67" spans="1:39" ht="18" customHeight="1" outlineLevel="2" x14ac:dyDescent="0.15">
      <c r="A67" s="240">
        <f t="shared" si="0"/>
        <v>64</v>
      </c>
      <c r="B67" s="257" t="s">
        <v>425</v>
      </c>
      <c r="C67" s="73" t="s">
        <v>426</v>
      </c>
      <c r="D67" s="361"/>
      <c r="E67" s="355" cm="1">
        <f t="array" ref="E67">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7" s="355" cm="1">
        <f t="array" ref="F67">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7" s="240"/>
      <c r="H67" s="257" t="s">
        <v>425</v>
      </c>
      <c r="I67" s="73" t="s">
        <v>426</v>
      </c>
      <c r="J67" s="355" cm="1">
        <f t="array" ref="J67">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7" s="355" cm="1">
        <f t="array" ref="K67">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7" s="240"/>
      <c r="M67" s="257" t="s">
        <v>425</v>
      </c>
      <c r="N67" s="73" t="s">
        <v>426</v>
      </c>
      <c r="O67" s="355" cm="1">
        <f t="array" ref="O67">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7" s="355" cm="1">
        <f t="array" ref="P67">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42"/>
    </row>
    <row r="68" spans="1:39" ht="18" customHeight="1" outlineLevel="2" x14ac:dyDescent="0.15">
      <c r="A68" s="240">
        <f t="shared" si="0"/>
        <v>65</v>
      </c>
      <c r="B68" s="257" t="s">
        <v>427</v>
      </c>
      <c r="C68" s="73" t="s">
        <v>428</v>
      </c>
      <c r="D68" s="361"/>
      <c r="E68" s="355" cm="1">
        <f t="array" ref="E68">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8" s="355" cm="1">
        <f t="array" ref="F68">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8" s="240"/>
      <c r="H68" s="257" t="s">
        <v>427</v>
      </c>
      <c r="I68" s="73" t="s">
        <v>428</v>
      </c>
      <c r="J68" s="355" cm="1">
        <f t="array" ref="J68">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8" s="355" cm="1">
        <f t="array" ref="K68">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8" s="240"/>
      <c r="M68" s="257" t="s">
        <v>427</v>
      </c>
      <c r="N68" s="73" t="s">
        <v>428</v>
      </c>
      <c r="O68" s="355" cm="1">
        <f t="array" ref="O68">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8" s="355" cm="1">
        <f t="array" ref="P68">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42"/>
    </row>
    <row r="69" spans="1:39" ht="18" customHeight="1" outlineLevel="2" x14ac:dyDescent="0.15">
      <c r="A69" s="240">
        <f t="shared" ref="A69:A132" si="1">+A68+1</f>
        <v>66</v>
      </c>
      <c r="B69" s="257" t="s">
        <v>429</v>
      </c>
      <c r="C69" s="73" t="s">
        <v>430</v>
      </c>
      <c r="D69" s="361"/>
      <c r="E69" s="355" cm="1">
        <f t="array" ref="E69">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9" s="355" cm="1">
        <f t="array" ref="F69">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9" s="240"/>
      <c r="H69" s="257" t="s">
        <v>429</v>
      </c>
      <c r="I69" s="73" t="s">
        <v>430</v>
      </c>
      <c r="J69" s="355" cm="1">
        <f t="array" ref="J69">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9" s="355" cm="1">
        <f t="array" ref="K69">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9" s="240"/>
      <c r="M69" s="257" t="s">
        <v>429</v>
      </c>
      <c r="N69" s="73" t="s">
        <v>430</v>
      </c>
      <c r="O69" s="355" cm="1">
        <f t="array" ref="O69">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9" s="355" cm="1">
        <f t="array" ref="P69">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42"/>
    </row>
    <row r="70" spans="1:39" ht="18" customHeight="1" outlineLevel="1" x14ac:dyDescent="0.15">
      <c r="A70" s="240">
        <f t="shared" si="1"/>
        <v>67</v>
      </c>
      <c r="B70" s="350" t="s">
        <v>395</v>
      </c>
      <c r="C70" s="41" t="s">
        <v>431</v>
      </c>
      <c r="D70" s="264"/>
      <c r="E70" s="363">
        <f>+E49+E60+E65</f>
        <v>0</v>
      </c>
      <c r="F70" s="363">
        <f>+F49+F60+F65</f>
        <v>0</v>
      </c>
      <c r="G70" s="240"/>
      <c r="H70" s="350" t="s">
        <v>395</v>
      </c>
      <c r="I70" s="41" t="s">
        <v>431</v>
      </c>
      <c r="J70" s="363">
        <f>+J49+J60+J65</f>
        <v>0</v>
      </c>
      <c r="K70" s="363">
        <f>+K49+K60+K65</f>
        <v>0</v>
      </c>
      <c r="L70" s="240"/>
      <c r="M70" s="350" t="s">
        <v>395</v>
      </c>
      <c r="N70" s="41" t="s">
        <v>431</v>
      </c>
      <c r="O70" s="363">
        <f>+O49+O60+O65</f>
        <v>0</v>
      </c>
      <c r="P70" s="363">
        <f>+P49+P60+P65</f>
        <v>0</v>
      </c>
      <c r="Q70" s="263"/>
      <c r="R70" s="263"/>
      <c r="S70" s="263"/>
      <c r="T70" s="263"/>
      <c r="U70" s="263"/>
      <c r="V70" s="263"/>
      <c r="W70" s="263"/>
      <c r="X70" s="263"/>
      <c r="Y70" s="263"/>
      <c r="Z70" s="263"/>
      <c r="AA70" s="263"/>
      <c r="AB70" s="263"/>
      <c r="AC70" s="263"/>
      <c r="AD70" s="263"/>
      <c r="AE70" s="263"/>
      <c r="AF70" s="263"/>
      <c r="AG70" s="263"/>
      <c r="AH70" s="263"/>
      <c r="AI70" s="263"/>
      <c r="AJ70" s="263"/>
      <c r="AK70" s="263"/>
      <c r="AL70" s="263"/>
      <c r="AM70" s="242"/>
    </row>
    <row r="71" spans="1:39" ht="18" customHeight="1" x14ac:dyDescent="0.15">
      <c r="A71" s="240">
        <f t="shared" si="1"/>
        <v>68</v>
      </c>
      <c r="B71" s="257"/>
      <c r="C71" s="365"/>
      <c r="D71" s="240"/>
      <c r="E71" s="355"/>
      <c r="F71" s="355"/>
      <c r="G71" s="240"/>
      <c r="H71" s="356"/>
      <c r="I71" s="365"/>
      <c r="J71" s="355"/>
      <c r="K71" s="355"/>
      <c r="L71" s="240"/>
      <c r="M71" s="362"/>
      <c r="N71" s="358"/>
      <c r="O71" s="355"/>
      <c r="P71" s="355"/>
      <c r="Q71" s="263"/>
      <c r="R71" s="263"/>
      <c r="S71" s="263"/>
      <c r="T71" s="263"/>
      <c r="U71" s="263"/>
      <c r="V71" s="263"/>
      <c r="W71" s="263"/>
      <c r="X71" s="263"/>
      <c r="Y71" s="263"/>
      <c r="Z71" s="263"/>
      <c r="AA71" s="263"/>
      <c r="AB71" s="263"/>
      <c r="AC71" s="263"/>
      <c r="AD71" s="263"/>
      <c r="AE71" s="263"/>
      <c r="AF71" s="263"/>
      <c r="AG71" s="263"/>
      <c r="AH71" s="263"/>
      <c r="AI71" s="263"/>
      <c r="AJ71" s="263"/>
      <c r="AK71" s="263"/>
      <c r="AL71" s="263"/>
      <c r="AM71" s="242"/>
    </row>
    <row r="72" spans="1:39" ht="18" customHeight="1" x14ac:dyDescent="0.15">
      <c r="A72" s="240">
        <f t="shared" si="1"/>
        <v>69</v>
      </c>
      <c r="B72" s="356"/>
      <c r="C72" s="74" t="s">
        <v>432</v>
      </c>
      <c r="D72" s="263"/>
      <c r="E72" s="355"/>
      <c r="F72" s="355"/>
      <c r="G72" s="240"/>
      <c r="H72" s="356"/>
      <c r="I72" s="74" t="s">
        <v>432</v>
      </c>
      <c r="J72" s="355"/>
      <c r="K72" s="355"/>
      <c r="L72" s="240"/>
      <c r="M72" s="356"/>
      <c r="N72" s="74" t="s">
        <v>432</v>
      </c>
      <c r="O72" s="355"/>
      <c r="P72" s="355"/>
      <c r="Q72" s="263"/>
      <c r="R72" s="263"/>
      <c r="S72" s="263"/>
      <c r="T72" s="263"/>
      <c r="U72" s="263"/>
      <c r="V72" s="263"/>
      <c r="W72" s="263"/>
      <c r="X72" s="263"/>
      <c r="Y72" s="263"/>
      <c r="Z72" s="263"/>
      <c r="AA72" s="263"/>
      <c r="AB72" s="263"/>
      <c r="AC72" s="263"/>
      <c r="AD72" s="263"/>
      <c r="AE72" s="263"/>
      <c r="AF72" s="263"/>
      <c r="AG72" s="263"/>
      <c r="AH72" s="263"/>
      <c r="AI72" s="263"/>
      <c r="AJ72" s="263"/>
      <c r="AK72" s="263"/>
      <c r="AL72" s="263"/>
      <c r="AM72" s="242"/>
    </row>
    <row r="73" spans="1:39" ht="18" customHeight="1" outlineLevel="1" x14ac:dyDescent="0.15">
      <c r="A73" s="240">
        <f t="shared" si="1"/>
        <v>70</v>
      </c>
      <c r="B73" s="369">
        <v>100</v>
      </c>
      <c r="C73" s="77" t="s">
        <v>433</v>
      </c>
      <c r="D73" s="370">
        <f>+D85+D82+D76+D75+D74</f>
        <v>0</v>
      </c>
      <c r="E73" s="370">
        <f>+E85+E82+E76+E75+E74</f>
        <v>0</v>
      </c>
      <c r="F73" s="370">
        <f>+F85+F82+F76+F75+F74</f>
        <v>0</v>
      </c>
      <c r="G73" s="240"/>
      <c r="H73" s="369">
        <v>100</v>
      </c>
      <c r="I73" s="77" t="s">
        <v>433</v>
      </c>
      <c r="J73" s="370">
        <f>+J85+J82+J76+J75+J74</f>
        <v>53607353.321573563</v>
      </c>
      <c r="K73" s="370">
        <f>+K85+K82+K76+K75+K74</f>
        <v>53607353.321573563</v>
      </c>
      <c r="L73" s="240"/>
      <c r="M73" s="369">
        <v>100</v>
      </c>
      <c r="N73" s="77" t="s">
        <v>433</v>
      </c>
      <c r="O73" s="370">
        <f ca="1">+O85+O82+O76+O75+O74</f>
        <v>0</v>
      </c>
      <c r="P73" s="370">
        <f ca="1">+P85+P82+P76+P75+P74</f>
        <v>0</v>
      </c>
      <c r="Q73" s="263"/>
      <c r="R73" s="263"/>
      <c r="S73" s="263"/>
      <c r="T73" s="263"/>
      <c r="U73" s="263"/>
      <c r="V73" s="263"/>
      <c r="W73" s="263"/>
      <c r="X73" s="263"/>
      <c r="Y73" s="263"/>
      <c r="Z73" s="263"/>
      <c r="AA73" s="263"/>
      <c r="AB73" s="263"/>
      <c r="AC73" s="263"/>
      <c r="AD73" s="263"/>
      <c r="AE73" s="263"/>
      <c r="AF73" s="263"/>
      <c r="AG73" s="263"/>
      <c r="AH73" s="263"/>
      <c r="AI73" s="263"/>
      <c r="AJ73" s="263"/>
      <c r="AK73" s="263"/>
      <c r="AL73" s="263"/>
      <c r="AM73" s="242"/>
    </row>
    <row r="74" spans="1:39" ht="18" customHeight="1" outlineLevel="2" x14ac:dyDescent="0.15">
      <c r="A74" s="240">
        <f t="shared" si="1"/>
        <v>71</v>
      </c>
      <c r="B74" s="257">
        <v>110</v>
      </c>
      <c r="C74" s="73" t="s">
        <v>434</v>
      </c>
      <c r="D74" s="242">
        <f>SUM(Table_TaiKhoan[Số dư ban đầu])</f>
        <v>0</v>
      </c>
      <c r="E74" s="310" cm="1">
        <f t="array" ref="E74">Table_BCTC[[#This Row],[Đầu kỳ]]
+ IFERROR(SUM(_xlfn._xlws.FILTER( Table_ThuChiKD[Giá trị sau phí],
(Table_ThuChiKD[Loại GD] = "THU") *
(Table_ThuChiKD[Ngày GD] &lt; DATE(BCTC_Nam,BCTC_Thang,1 ))
)),0)
- IFERROR(SUM(_xlfn._xlws.FILTER( Table_ThuChiKD[Giá trị sau phí],
(Table_ThuChiKD[Loại GD] = "CHI") *
(Table_ThuChiKD[Ngày GD] &lt; DATE(BCTC_Nam,BCTC_Thang,1 ))
)),0)
+ IFERROR(SUM(_xlfn._xlws.FILTER( Table_ThuChiTC[Giá trị GD],
(Table_ThuChiTC[Loại GD]= "THU") *
(Table_ThuChiTC[Ngày GD] &lt; DATE(BCTC_Nam,BCTC_Thang,1 ))
)),0)
- IFERROR(SUM(_xlfn._xlws.FILTER( Table_ThuChiTC[Giá trị GD],
(Table_ThuChiTC[Loại GD]= "CHI") *
(Table_ThuChiTC[Ngày GD] &lt; DATE(BCTC_Nam,BCTC_Thang,1 ))
)),0)</f>
        <v>0</v>
      </c>
      <c r="F74" s="242" cm="1">
        <f t="array" ref="F74">Table_BCTC[[#This Row],[Đầu kỳ]]
+ IFERROR(SUM(_xlfn._xlws.FILTER( Table_ThuChiKD[Giá trị sau phí],
(Table_ThuChiKD[Loại GD] = "THU") *
(Table_ThuChiKD[Ngày GD] &lt; DATE(BCTC_Nam,BCTC_Thang+1,1 ))
)),0)
- IFERROR(SUM(_xlfn._xlws.FILTER( Table_ThuChiKD[Giá trị sau phí],
(Table_ThuChiKD[Loại GD] = "CHI") *
(Table_ThuChiKD[Ngày GD] &lt; DATE(BCTC_Nam,BCTC_Thang+1,1 ))
)),0)
+ IFERROR(SUM(_xlfn._xlws.FILTER( Table_ThuChiTC[Giá trị GD],
(Table_ThuChiTC[Loại GD]= "THU") *
(Table_ThuChiTC[Ngày GD] &lt; DATE(BCTC_Nam,BCTC_Thang+1,1 ))
)),0)
- IFERROR(SUM(_xlfn._xlws.FILTER( Table_ThuChiTC[Giá trị GD],
(Table_ThuChiTC[Loại GD]= "CHI") *
(Table_ThuChiTC[Ngày GD] &lt; DATE(BCTC_Nam,BCTC_Thang+1,1 ))
)),0)</f>
        <v>0</v>
      </c>
      <c r="G74" s="240"/>
      <c r="H74" s="257">
        <v>110</v>
      </c>
      <c r="I74" s="73" t="s">
        <v>434</v>
      </c>
      <c r="J74" s="310" cm="1">
        <f t="array" ref="J74">Table_BCTC[[#This Row],[Đầu kỳ]]
+ IFERROR(SUM(_xlfn._xlws.FILTER( Table_ThuChiKD[Giá trị sau phí],
(Table_ThuChiKD[Loại GD] = "THU") *
(Table_ThuChiKD[Ngày GD] &lt; DATE(J$1+1,1,1 ))
)),0)
- IFERROR(SUM(_xlfn._xlws.FILTER( Table_ThuChiKD[Giá trị sau phí],
(Table_ThuChiKD[Loại GD] = "CHI") *
(Table_ThuChiKD[Ngày GD] &lt; DATE(J$1+1,1,1 ))
)),0)
+ IFERROR(SUM(_xlfn._xlws.FILTER( Table_ThuChiTC[Giá trị GD],
(Table_ThuChiTC[Loại GD]= "THU") *
(Table_ThuChiTC[Ngày GD] &lt; DATE(J$1+1,1,1 ))
)),0)
- IFERROR(SUM(_xlfn._xlws.FILTER( Table_ThuChiTC[Giá trị GD],
(Table_ThuChiTC[Loại GD]= "CHI") *
(Table_ThuChiTC[Ngày GD] &lt; DATE(J$1+1,1,1 ))
)),0)</f>
        <v>0</v>
      </c>
      <c r="K74" s="310" cm="1">
        <f t="array" ref="K74">Table_BCTC[[#This Row],[Đầu kỳ]]
+ IFERROR(SUM(_xlfn._xlws.FILTER( Table_ThuChiKD[Giá trị sau phí],
(Table_ThuChiKD[Loại GD] = "THU") *
(Table_ThuChiKD[Ngày GD] &lt; DATE(K$1+1,1,1 ))
)),0)
- IFERROR(SUM(_xlfn._xlws.FILTER( Table_ThuChiKD[Giá trị sau phí],
(Table_ThuChiKD[Loại GD] = "CHI") *
(Table_ThuChiKD[Ngày GD] &lt; DATE(K$1+1,1,1 ))
)),0)
+ IFERROR(SUM(_xlfn._xlws.FILTER( Table_ThuChiTC[Giá trị GD],
(Table_ThuChiTC[Loại GD]= "THU") *
(Table_ThuChiTC[Ngày GD] &lt; DATE(K$1+1,1,1 ))
)),0)
- IFERROR(SUM(_xlfn._xlws.FILTER( Table_ThuChiTC[Giá trị GD],
(Table_ThuChiTC[Loại GD]= "CHI") *
(Table_ThuChiTC[Ngày GD] &lt; DATE(K$1+1,1,1 ))
)),0)</f>
        <v>0</v>
      </c>
      <c r="L74" s="240"/>
      <c r="M74" s="257">
        <v>110</v>
      </c>
      <c r="N74" s="73" t="s">
        <v>434</v>
      </c>
      <c r="O74" s="242" cm="1">
        <f t="array" ref="O74">Table_BCTC[[#This Row],[Đầu kỳ]]
+ IFERROR(SUM(_xlfn._xlws.FILTER( Table_ThuChiKD[Giá trị sau phí],
(Table_ThuChiKD[Loại GD] = "THU") *
(Table_ThuChiKD[Ngày GD] &lt; DATE(YEAR(O$1),MONTH(O$1)+1,1 ))
)),0)
- IFERROR(SUM(_xlfn._xlws.FILTER( Table_ThuChiKD[Giá trị sau phí],
(Table_ThuChiKD[Loại GD] = "CHI") *
(Table_ThuChiKD[Ngày GD] &lt; DATE(YEAR(O$1),MONTH(O$1)+1,1 ))
)),0)
+ IFERROR(SUM(_xlfn._xlws.FILTER( Table_ThuChiTC[Giá trị GD],
(Table_ThuChiTC[Loại GD]= "THU") *
(Table_ThuChiTC[Ngày GD] &lt; DATE(YEAR(O$1),MONTH(O$1)+1,1 ))
)),0)
- IFERROR(SUM(_xlfn._xlws.FILTER( Table_ThuChiTC[Giá trị GD],
(Table_ThuChiTC[Loại GD]= "CHI") *
(Table_ThuChiTC[Ngày GD] &lt; DATE(YEAR(O$1),MONTH(O$1)+1,1 ))
)),0)</f>
        <v>0</v>
      </c>
      <c r="P74" s="242" cm="1">
        <f t="array" ref="P74">Table_BCTC[[#This Row],[Đầu kỳ]]
+ IFERROR(SUM(_xlfn._xlws.FILTER( Table_ThuChiKD[Giá trị sau phí],
(Table_ThuChiKD[Loại GD] = "THU") *
(Table_ThuChiKD[Ngày GD] &lt; DATE(YEAR(P$1),MONTH(P$1)+1,1 ))
)),0)
- IFERROR(SUM(_xlfn._xlws.FILTER( Table_ThuChiKD[Giá trị sau phí],
(Table_ThuChiKD[Loại GD] = "CHI") *
(Table_ThuChiKD[Ngày GD] &lt; DATE(YEAR(P$1),MONTH(P$1)+1,1 ))
)),0)
+ IFERROR(SUM(_xlfn._xlws.FILTER( Table_ThuChiTC[Giá trị GD],
(Table_ThuChiTC[Loại GD]= "THU") *
(Table_ThuChiTC[Ngày GD] &lt; DATE(YEAR(P$1),MONTH(P$1)+1,1 ))
)),0)
- IFERROR(SUM(_xlfn._xlws.FILTER( Table_ThuChiTC[Giá trị GD],
(Table_ThuChiTC[Loại GD]= "CHI") *
(Table_ThuChiTC[Ngày GD] &lt; DATE(YEAR(P$1),MONTH(P$1)+1,1 ))
)),0)</f>
        <v>0</v>
      </c>
      <c r="Q74" s="263"/>
      <c r="R74" s="263"/>
      <c r="S74" s="263"/>
      <c r="T74" s="263"/>
      <c r="U74" s="263"/>
      <c r="V74" s="263"/>
      <c r="W74" s="263"/>
      <c r="X74" s="263"/>
      <c r="Y74" s="263"/>
      <c r="Z74" s="263"/>
      <c r="AA74" s="263"/>
      <c r="AB74" s="263"/>
      <c r="AC74" s="263"/>
      <c r="AD74" s="263"/>
      <c r="AE74" s="263"/>
      <c r="AF74" s="263"/>
      <c r="AG74" s="263"/>
      <c r="AH74" s="263"/>
      <c r="AI74" s="263"/>
      <c r="AJ74" s="263"/>
      <c r="AK74" s="263"/>
      <c r="AL74" s="263"/>
      <c r="AM74" s="242"/>
    </row>
    <row r="75" spans="1:39" ht="18" customHeight="1" outlineLevel="2" x14ac:dyDescent="0.15">
      <c r="A75" s="240">
        <f t="shared" si="1"/>
        <v>72</v>
      </c>
      <c r="B75" s="257">
        <v>120</v>
      </c>
      <c r="C75" s="73" t="s">
        <v>435</v>
      </c>
      <c r="D75" s="242" cm="1">
        <f t="array" ref="D75">IFERROR(
SUM(_xlfn._xlws.FILTER(Table_DauTu[Giá trị đầu tư],
(NOT(ISBLANK(Table_DauTu[Thời hạn (tháng)])))*
(Table_DauTu[Kỳ đầu tư] &lt; BCTC_BatDau) *
(Table_DauTu[Kỳ đáo hạn] &lt;= DATE(YEAR(BCTC_BatDau) + 1, MONTH(BCTC_BatDau), DAY(BCTC_BatDau)))
)),0)</f>
        <v>0</v>
      </c>
      <c r="E75" s="310" cm="1">
        <f t="array" ref="E75">IFERROR(
SUM(_xlfn._xlws.FILTER(Table_DauTu[Giá trị đầu tư],
(NOT(ISBLANK(Table_DauTu[Kỳ đáo hạn])))*
(Table_DauTu[Kỳ đầu tư] &lt; DATE(BCTC_Nam, BCTC_Thang, 1)) *
(Table_DauTu[Kỳ đáo hạn] &lt;=  DATE(BCTC_Nam+1, BCTC_Thang, 1))
)),0)</f>
        <v>0</v>
      </c>
      <c r="F75" s="242" cm="1">
        <f t="array" ref="F75">IFERROR(
SUM(_xlfn._xlws.FILTER(Table_DauTu[Giá trị đầu tư],
(NOT(ISBLANK(Table_DauTu[Kỳ đáo hạn])))*
(Table_DauTu[Kỳ đầu tư] &lt; DATE(BCTC_Nam, BCTC_Thang+1, 1)) *
(Table_DauTu[Kỳ đáo hạn] &lt;=  DATE(BCTC_Nam+1, BCTC_Thang+1, 1))
)),0)</f>
        <v>0</v>
      </c>
      <c r="G75" s="240"/>
      <c r="H75" s="257">
        <v>120</v>
      </c>
      <c r="I75" s="73" t="s">
        <v>435</v>
      </c>
      <c r="J75" s="310" cm="1">
        <f t="array" ref="J75">IFERROR(
SUM(_xlfn._xlws.FILTER(Table_DauTu[Giá trị đầu tư],
(NOT(ISBLANK(Table_DauTu[Kỳ đáo hạn])))*
(Table_DauTu[Kỳ đầu tư] &lt; DATE(J$1+1, 1, 1)) *
(Table_DauTu[Kỳ đáo hạn] &lt;=  DATE(J$1+2, 1, 1))
)),0)</f>
        <v>0</v>
      </c>
      <c r="K75" s="310" cm="1">
        <f t="array" ref="K75">IFERROR(
SUM(_xlfn._xlws.FILTER(Table_DauTu[Giá trị đầu tư],
(NOT(ISBLANK(Table_DauTu[Kỳ đáo hạn])))*
(Table_DauTu[Kỳ đầu tư] &lt; DATE(K$1+1, 1, 1)) *
(Table_DauTu[Kỳ đáo hạn] &lt;=  DATE(K$1+2, 1, 1))
)),0)</f>
        <v>0</v>
      </c>
      <c r="L75" s="240"/>
      <c r="M75" s="257">
        <v>120</v>
      </c>
      <c r="N75" s="73" t="s">
        <v>435</v>
      </c>
      <c r="O75" s="242" cm="1">
        <f t="array" ref="O75">IFERROR(
SUM(_xlfn._xlws.FILTER(Table_DauTu[Giá trị đầu tư],
(NOT(ISBLANK(Table_DauTu[Kỳ đáo hạn])))*
(Table_DauTu[Kỳ đầu tư] &lt; DATE(YEAR(O$1), MONTH(O$1)+1, 1)) *
(Table_DauTu[Kỳ đáo hạn] &lt;=  DATE(YEAR(O$1)+1, MONTH(O$1)+1, 1))
)),0)</f>
        <v>0</v>
      </c>
      <c r="P75" s="242" cm="1">
        <f t="array" ref="P75">IFERROR(
SUM(_xlfn._xlws.FILTER(Table_DauTu[Giá trị đầu tư],
(NOT(ISBLANK(Table_DauTu[Kỳ đáo hạn])))*
(Table_DauTu[Kỳ đầu tư] &lt; DATE(YEAR(P$1), MONTH(P$1)+1, 1)) *
(Table_DauTu[Kỳ đáo hạn] &lt;=  DATE(YEAR(P$1)+1, MONTH(P$1)+1, 1))
)),0)</f>
        <v>0</v>
      </c>
      <c r="Q75" s="263"/>
      <c r="R75" s="263"/>
      <c r="S75" s="263"/>
      <c r="T75" s="263"/>
      <c r="U75" s="263"/>
      <c r="V75" s="263"/>
      <c r="W75" s="263"/>
      <c r="X75" s="263"/>
      <c r="Y75" s="263"/>
      <c r="Z75" s="263"/>
      <c r="AA75" s="263"/>
      <c r="AB75" s="263"/>
      <c r="AC75" s="263"/>
      <c r="AD75" s="263"/>
      <c r="AE75" s="263"/>
      <c r="AF75" s="263"/>
      <c r="AG75" s="263"/>
      <c r="AH75" s="263"/>
      <c r="AI75" s="263"/>
      <c r="AJ75" s="263"/>
      <c r="AK75" s="263"/>
      <c r="AL75" s="263"/>
      <c r="AM75" s="242"/>
    </row>
    <row r="76" spans="1:39" ht="18" customHeight="1" outlineLevel="2" x14ac:dyDescent="0.15">
      <c r="A76" s="240">
        <f t="shared" si="1"/>
        <v>73</v>
      </c>
      <c r="B76" s="257">
        <v>130</v>
      </c>
      <c r="C76" s="73" t="s">
        <v>436</v>
      </c>
      <c r="D76" s="242">
        <f>+SUM(D77:D80)</f>
        <v>0</v>
      </c>
      <c r="E76" s="242">
        <f>+SUM(E77:E81)</f>
        <v>0</v>
      </c>
      <c r="F76" s="242">
        <f>+SUM(F77:F81)</f>
        <v>0</v>
      </c>
      <c r="G76" s="240"/>
      <c r="H76" s="257">
        <v>130</v>
      </c>
      <c r="I76" s="73" t="s">
        <v>436</v>
      </c>
      <c r="J76" s="242">
        <f>+SUM(J77:J81)</f>
        <v>1629803</v>
      </c>
      <c r="K76" s="242">
        <f>+SUM(K77:K81)</f>
        <v>1629803</v>
      </c>
      <c r="L76" s="240"/>
      <c r="M76" s="257">
        <v>130</v>
      </c>
      <c r="N76" s="73" t="s">
        <v>436</v>
      </c>
      <c r="O76" s="242">
        <f ca="1">+SUM(O77:O81)</f>
        <v>0</v>
      </c>
      <c r="P76" s="242">
        <f ca="1">+SUM(P77:P81)</f>
        <v>0</v>
      </c>
      <c r="Q76" s="263"/>
      <c r="R76" s="263"/>
      <c r="S76" s="263"/>
      <c r="T76" s="263"/>
      <c r="U76" s="263"/>
      <c r="V76" s="263"/>
      <c r="W76" s="263"/>
      <c r="X76" s="263"/>
      <c r="Y76" s="263"/>
      <c r="Z76" s="263"/>
      <c r="AA76" s="263"/>
      <c r="AB76" s="263"/>
      <c r="AC76" s="263"/>
      <c r="AD76" s="263"/>
      <c r="AE76" s="263"/>
      <c r="AF76" s="263"/>
      <c r="AG76" s="263"/>
      <c r="AH76" s="263"/>
      <c r="AI76" s="263"/>
      <c r="AJ76" s="263"/>
      <c r="AK76" s="263"/>
      <c r="AL76" s="263"/>
      <c r="AM76" s="242"/>
    </row>
    <row r="77" spans="1:39" ht="18" customHeight="1" outlineLevel="3" x14ac:dyDescent="0.15">
      <c r="A77" s="240">
        <f t="shared" si="1"/>
        <v>74</v>
      </c>
      <c r="B77" s="362">
        <v>131</v>
      </c>
      <c r="C77" s="72" t="s">
        <v>437</v>
      </c>
      <c r="D77" s="359">
        <f>Sheet_PhaiThu!D2-D88</f>
        <v>0</v>
      </c>
      <c r="E77" s="359">
        <f>IFERROR(
IF(BCTC_Thang = 1,
HLOOKUP(
DATE(BCTC_Nam-1,12,1),Sheet_PhaiThu!$C$1:$XFD$5,Sheet_PhaiThu!$B$2,0
),
HLOOKUP(
DATE(BCTC_Nam,BCTC_Thang-1,1),Sheet_PhaiThu!$C$1:$XFD$5,Sheet_PhaiThu!$B$2,0
)),0)
-E88</f>
        <v>0</v>
      </c>
      <c r="F77" s="368">
        <f>IFERROR(
HLOOKUP(
DATE(BCTC_Nam,BCTC_Thang,1),Sheet_PhaiThu!$C$1:$XFD$5,Sheet_PhaiThu!$B$2,0
),0)
-F88</f>
        <v>0</v>
      </c>
      <c r="G77" s="240"/>
      <c r="H77" s="362">
        <v>131</v>
      </c>
      <c r="I77" s="72" t="s">
        <v>437</v>
      </c>
      <c r="J77" s="359">
        <f>IFERROR(
HLOOKUP(
DATE(J$1,12,1),
Sheet_PhaiThu!$C$1:$XFD$5,Sheet_PhaiThu!$B$2,0
),
IFERROR(
HLOOKUP(
MAX(Sheet_PhaiThu!$D$1:$XFD$1),
Sheet_PhaiThu!$C$1:$XFD$5,Sheet_PhaiThu!$B$2,0
),
0))
-J88</f>
        <v>700000</v>
      </c>
      <c r="K77" s="359">
        <f>IFERROR(
HLOOKUP(
DATE(K$1,12,1),
Sheet_PhaiThu!$C$1:$XFD$5,Sheet_PhaiThu!$B$2,0
),
IFERROR(
HLOOKUP(
MAX(Sheet_PhaiThu!$D$1:$XFD$1),
Sheet_PhaiThu!$C$1:$XFD$5,Sheet_PhaiThu!$B$2,0
),
0))
-K88</f>
        <v>700000</v>
      </c>
      <c r="L77" s="240"/>
      <c r="M77" s="362">
        <v>131</v>
      </c>
      <c r="N77" s="72" t="s">
        <v>437</v>
      </c>
      <c r="O77" s="368">
        <f>IFERROR(
HLOOKUP(
O$1,Sheet_PhaiThu!$C$1:$XFD$5,Sheet_PhaiThu!$B$2,0
),0)
-O88</f>
        <v>0</v>
      </c>
      <c r="P77" s="368">
        <f>IFERROR(
HLOOKUP(
P$1,Sheet_PhaiThu!$C$1:$XFD$5,Sheet_PhaiThu!$B$2,0
),0)
-P88</f>
        <v>0</v>
      </c>
      <c r="Q77" s="263"/>
      <c r="R77" s="263"/>
      <c r="S77" s="263"/>
      <c r="T77" s="263"/>
      <c r="U77" s="263"/>
      <c r="V77" s="263"/>
      <c r="W77" s="263"/>
      <c r="X77" s="263"/>
      <c r="Y77" s="263"/>
      <c r="Z77" s="263"/>
      <c r="AA77" s="263"/>
      <c r="AB77" s="263"/>
      <c r="AC77" s="263"/>
      <c r="AD77" s="263"/>
      <c r="AE77" s="263"/>
      <c r="AF77" s="263"/>
      <c r="AG77" s="263"/>
      <c r="AH77" s="263"/>
      <c r="AI77" s="263"/>
      <c r="AJ77" s="263"/>
      <c r="AK77" s="263"/>
      <c r="AL77" s="263"/>
      <c r="AM77" s="242"/>
    </row>
    <row r="78" spans="1:39" ht="18" customHeight="1" outlineLevel="3" x14ac:dyDescent="0.15">
      <c r="A78" s="240">
        <f t="shared" si="1"/>
        <v>75</v>
      </c>
      <c r="B78" s="362">
        <v>132</v>
      </c>
      <c r="C78" s="72" t="s">
        <v>438</v>
      </c>
      <c r="D78" s="359">
        <f>Sheet_PhaiTra!D4-D89</f>
        <v>0</v>
      </c>
      <c r="E78" s="359">
        <f xml:space="preserve">
IFERROR(
IF(BCTC_Thang = 1,
HLOOKUP(
DATE(BCTC_Nam-1,12,1),Sheet_PhaiTra!$B$1:$XFD$9,Sheet_PhaiTra!$A$4,0
),
HLOOKUP(
DATE(BCTC_Nam,BCTC_Thang-1,1),Sheet_PhaiTra!$B$1:$XFD$9,Sheet_PhaiTra!$A$4,0
)),0)
-E89</f>
        <v>0</v>
      </c>
      <c r="F78" s="368">
        <f xml:space="preserve">
IFERROR(
HLOOKUP(
DATE(BCTC_Nam,BCTC_Thang,1),Sheet_PhaiTra!$B$1:$XFD$9,Sheet_PhaiTra!$A$4,0
),0)
-F89</f>
        <v>0</v>
      </c>
      <c r="G78" s="240"/>
      <c r="H78" s="362">
        <v>132</v>
      </c>
      <c r="I78" s="72" t="s">
        <v>438</v>
      </c>
      <c r="J78" s="359">
        <f>IFERROR(
HLOOKUP(
DATE(J$1,12,1),
Sheet_PhaiTra!$B$1:$XFD$9,Sheet_PhaiTra!$A$4,0
),
IFERROR(
HLOOKUP(
MAX(Sheet_PhaiTra!$D$1:$XFD$1),
Sheet_PhaiTra!$B$1:$XFD$9,Sheet_PhaiTra!$A$4,0
),
0))
-J89</f>
        <v>629803</v>
      </c>
      <c r="K78" s="359">
        <f>IFERROR(
HLOOKUP(
DATE(K$1,12,1),
Sheet_PhaiTra!$B$1:$XFD$9,Sheet_PhaiTra!$A$4,0
),
IFERROR(
HLOOKUP(
MAX(Sheet_PhaiTra!$D$1:$XFD$1),
Sheet_PhaiTra!$B$1:$XFD$9,Sheet_PhaiTra!$A$4,0
),
0))
-K89</f>
        <v>629803</v>
      </c>
      <c r="L78" s="240"/>
      <c r="M78" s="362">
        <v>132</v>
      </c>
      <c r="N78" s="72" t="s">
        <v>438</v>
      </c>
      <c r="O78" s="368">
        <f xml:space="preserve">
IFERROR(
HLOOKUP(
O$1,Sheet_PhaiTra!$B$1:$XFD$9,Sheet_PhaiTra!$A$4,0
),0)
-O89</f>
        <v>0</v>
      </c>
      <c r="P78" s="368">
        <f xml:space="preserve">
IFERROR(
HLOOKUP(
P$1,Sheet_PhaiTra!$B$1:$XFD$9,Sheet_PhaiTra!$A$4,0
),0)
-P89</f>
        <v>0</v>
      </c>
      <c r="Q78" s="263"/>
      <c r="R78" s="263"/>
      <c r="S78" s="263"/>
      <c r="T78" s="263"/>
      <c r="U78" s="263"/>
      <c r="V78" s="263"/>
      <c r="W78" s="263"/>
      <c r="X78" s="263"/>
      <c r="Y78" s="263"/>
      <c r="Z78" s="263"/>
      <c r="AA78" s="263"/>
      <c r="AB78" s="263"/>
      <c r="AC78" s="263"/>
      <c r="AD78" s="263"/>
      <c r="AE78" s="263"/>
      <c r="AF78" s="263"/>
      <c r="AG78" s="263"/>
      <c r="AH78" s="263"/>
      <c r="AI78" s="263"/>
      <c r="AJ78" s="263"/>
      <c r="AK78" s="263"/>
      <c r="AL78" s="263"/>
      <c r="AM78" s="242"/>
    </row>
    <row r="79" spans="1:39" ht="18" customHeight="1" outlineLevel="3" x14ac:dyDescent="0.15">
      <c r="A79" s="240">
        <f t="shared" si="1"/>
        <v>76</v>
      </c>
      <c r="B79" s="362">
        <v>133</v>
      </c>
      <c r="C79" s="72" t="s">
        <v>439</v>
      </c>
      <c r="D79" s="359">
        <f>Sheet_PhaiTra!D8-D90</f>
        <v>0</v>
      </c>
      <c r="E79" s="359">
        <f>IFERROR(
IF(BCTC_Thang = 1,
HLOOKUP(
DATE(BCTC_Nam-1,12,1),Sheet_PhaiTra!$B$1:$XFD$9,Sheet_PhaiTra!$A$8,0
),
HLOOKUP(
DATE(BCTC_Nam,BCTC_Thang-1,1),Sheet_PhaiTra!$B$1:$XFD$9,Sheet_PhaiTra!$A$8,0
)),0)
-E90</f>
        <v>0</v>
      </c>
      <c r="F79" s="368">
        <f>IFERROR(
HLOOKUP(
DATE(BCTC_Nam,BCTC_Thang,1),Sheet_PhaiTra!$B$1:$XFD$9,Sheet_PhaiTra!$A$8,0
),0)
-F90</f>
        <v>0</v>
      </c>
      <c r="G79" s="240"/>
      <c r="H79" s="362">
        <v>133</v>
      </c>
      <c r="I79" s="72" t="s">
        <v>439</v>
      </c>
      <c r="J79" s="359">
        <f>IFERROR(
HLOOKUP(
DATE(J$1,12,1),
Sheet_PhaiTra!$B$1:$XFD$9,Sheet_PhaiTra!$A$8,0
),
IFERROR(
HLOOKUP(
MAX(Sheet_PhaiTra!$D$1:$XFD$1),
Sheet_PhaiTra!$B$1:$XFD$9,Sheet_PhaiTra!$A$8,0
),
0))
-J90</f>
        <v>0</v>
      </c>
      <c r="K79" s="359">
        <f>IFERROR(
HLOOKUP(
DATE(K$1,12,1),
Sheet_PhaiTra!$B$1:$XFD$9,Sheet_PhaiTra!$A$8,0
),
IFERROR(
HLOOKUP(
MAX(Sheet_PhaiTra!$D$1:$XFD$1),
Sheet_PhaiTra!$B$1:$XFD$9,Sheet_PhaiTra!$A$8,0
),
0))
-K90</f>
        <v>0</v>
      </c>
      <c r="L79" s="240"/>
      <c r="M79" s="362">
        <v>133</v>
      </c>
      <c r="N79" s="72" t="s">
        <v>439</v>
      </c>
      <c r="O79" s="368">
        <f xml:space="preserve">
IFERROR(
HLOOKUP(
O$1,Sheet_PhaiTra!$B$1:$XFD$9,Sheet_PhaiTra!$A$8,0
),0)
-O90</f>
        <v>0</v>
      </c>
      <c r="P79" s="368">
        <f xml:space="preserve">
IFERROR(
HLOOKUP(
P$1,Sheet_PhaiTra!$B$1:$XFD$9,Sheet_PhaiTra!$A$8,0
),0)
-P90</f>
        <v>0</v>
      </c>
      <c r="Q79" s="263"/>
      <c r="R79" s="263"/>
      <c r="S79" s="263"/>
      <c r="T79" s="263"/>
      <c r="U79" s="263"/>
      <c r="V79" s="263"/>
      <c r="W79" s="263"/>
      <c r="X79" s="263"/>
      <c r="Y79" s="263"/>
      <c r="Z79" s="263"/>
      <c r="AA79" s="263"/>
      <c r="AB79" s="263"/>
      <c r="AC79" s="263"/>
      <c r="AD79" s="263"/>
      <c r="AE79" s="263"/>
      <c r="AF79" s="263"/>
      <c r="AG79" s="263"/>
      <c r="AH79" s="263"/>
      <c r="AI79" s="263"/>
      <c r="AJ79" s="263"/>
      <c r="AK79" s="263"/>
      <c r="AL79" s="263"/>
      <c r="AM79" s="242"/>
    </row>
    <row r="80" spans="1:39" ht="18" customHeight="1" outlineLevel="3" x14ac:dyDescent="0.15">
      <c r="A80" s="240">
        <f t="shared" si="1"/>
        <v>77</v>
      </c>
      <c r="B80" s="362">
        <v>135</v>
      </c>
      <c r="C80" s="72" t="s">
        <v>440</v>
      </c>
      <c r="D80" s="359">
        <v>0</v>
      </c>
      <c r="E80" s="359" cm="1">
        <f t="array" ref="E80">Table_BCTC[[#This Row],[Đầu kỳ]]+
+IFERROR(
SUM(_xlfn._xlws.FILTER(Table_DauTu_LichThu[Nhận lãi],
(Table_DauTu_LichThu[Kỳ] &lt; DATE(BCTC_Nam, BCTC_Thang,1))
)),0)
+IFERROR(
SUM(_xlfn._xlws.FILTER(Table_LaiKhac[Giá trị],
(NOT(ISBLANK(Table_LaiKhac[Tháng])))*
(Table_LaiKhac[Kỳ]&lt;DATE(BCTC_Nam,BCTC_Thang,1))*
(Table_LaiKhac[Phân loại]="Lãi lỗ đầu tư, cho vay")
)),0)
+IFERROR(
SUMPRODUCT(
_xlfn._xlws.FILTER(Table_LaiKhac[Giá trị],
(Table_LaiKhac[Phân loại] ="Lãi lỗ đầu tư, cho vay")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="Lãi lỗ đầu tư, cho vay") *
(Table_LaiKhac[Phân bổ từ] &lt; DATE(BCTC_Nam,BCTC_Thang,1))*
(Table_LaiKhac[Phân bổ đến] &gt; DATE(BCTC_Nam,BCTC_Thang-1,1))
),
1/_xlfn._xlws.FILTER(ROUND((Table_LaiKhac[Phân bổ đến]-Table_LaiKhac[Phân bổ từ])/(365.25/12),0),
(ISBLANK(Table_LaiKhac[Tháng]))*
(Table_LaiKhac[Phân loại] ="Lãi lỗ đầu tư, cho vay") *
(Table_LaiKhac[Phân bổ từ] &lt; DATE(BCTC_Nam,BCTC_Thang,1))*
(Table_LaiKhac[Phân bổ đến] &gt; DATE(BCTC_Nam,BCTC_Thang-1,1))
)),0)
-IFERROR(
SUM(_xlfn._xlws.FILTER(Table_ThuChiTC[Giá trị GD],
(Table_ThuChiTC[Loại GD] = "THU") *
(Table_ThuChiTC[Nội dung GD] = Sheet_ThuChiTC!$F$7) *
(NOT(ISBLANK(Table_ThuChiTC[Ngày đáo hạn]))) *
(Table_ThuChiTC[Ngày đáo hạn]&lt;&gt;0)*
(Table_ThuChiTC[Ngày GD] &lt; DATE(BCTC_Nam, BCTC_Thang,1))
)),0)
+IFERROR(
SUM(_xlfn._xlws.FILTER(Table_ThuChiTC[Giá trị GD],
(Table_ThuChiTC[Loại GD] = "CHI") *
(Table_ThuChiTC[Nội dung GD] = Sheet_ThuChiTC!$F$7) *
(NOT(ISBLANK(Table_ThuChiTC[Ngày đáo hạn]))) *
(Table_ThuChiTC[Ngày đáo hạn]&lt;&gt;0)*
(Table_ThuChiTC[Ngày GD] &lt; DATE(BCTC_Nam, BCTC_Thang,1))
)),0)</f>
        <v>0</v>
      </c>
      <c r="F80" s="368" cm="1">
        <f t="array" ref="F80">Table_BCTC[[#This Row],[Đầu kỳ]]+
+IFERROR(
SUM(_xlfn._xlws.FILTER(Table_DauTu_LichThu[Nhận lãi],
(Table_DauTu_LichThu[Kỳ] &lt; DATE(BCTC_Nam, BCTC_Thang+1,1))
)),0)
+IFERROR(
SUM(_xlfn._xlws.FILTER(Table_LaiKhac[Giá trị],
(NOT(ISBLANK(Table_LaiKhac[Tháng])))*
(Table_LaiKhac[Kỳ]&lt;DATE(BCTC_Nam,BCTC_Thang+1,1))*
(Table_LaiKhac[Phân loại]="Lãi lỗ đầu tư, cho vay")
)),0)
+IFERROR(
SUMPRODUCT(
_xlfn._xlws.FILTER(Table_LaiKhac[Giá trị],
(Table_LaiKhac[Phân loại] ="Lãi lỗ đầu tư, cho vay") *
(ISBLANK(Table_LaiKhac[Tháng]))*
(Table_LaiKhac[Phân bổ từ] &lt; DATE(BCTC_Nam,BCTC_Thang+1,1))*
(Table_LaiKhac[Phân bổ đến] &gt; DATE(BCTC_Nam,BCTC_Thang,1))
),
_xlfn._xlws.FILTER(ROUND((DATE(BCTC_Nam,BCTC_Thang+1,1)-1-Table_LaiKhac[Phân bổ từ])/(365.25/12),0),
(ISBLANK(Table_LaiKhac[Tháng]))*
(Table_LaiKhac[Phân loại] ="Lãi lỗ đầu tư, cho vay") *
(Table_LaiKhac[Phân bổ từ] &lt; DATE(BCTC_Nam,BCTC_Thang+1,1))*
(Table_LaiKhac[Phân bổ đến] &gt; DATE(BCTC_Nam,BCTC_Thang,1))
),
1/_xlfn._xlws.FILTER(ROUND((Table_LaiKhac[Phân bổ đến]-Table_LaiKhac[Phân bổ từ])/(365.25/12),0),
(ISBLANK(Table_LaiKhac[Tháng]))*
(Table_LaiKhac[Phân loại] ="Lãi lỗ đầu tư, cho vay") *
(Table_LaiKhac[Phân bổ từ] &lt; DATE(BCTC_Nam,BCTC_Thang+1,1))*
(Table_LaiKhac[Phân bổ đến] &gt; DATE(BCTC_Nam,BCTC_Thang,1))
)),0)
-IFERROR(
SUM(_xlfn._xlws.FILTER(Table_ThuChiTC[Giá trị GD],
(Table_ThuChiTC[Loại GD] = "THU") *
(Table_ThuChiTC[Nội dung GD] = Sheet_ThuChiTC!$F$7) *
(NOT(ISBLANK(Table_ThuChiTC[Ngày đáo hạn]))) *
(Table_ThuChiTC[Ngày đáo hạn]&lt;&gt;0)*
(Table_ThuChiTC[Ngày GD] &lt; DATE(BCTC_Nam, BCTC_Thang+1,1))
)),0)
+IFERROR(
SUM(_xlfn._xlws.FILTER(Table_ThuChiTC[Giá trị GD],
(Table_ThuChiTC[Loại GD] = "CHI") *
(Table_ThuChiTC[Nội dung GD] = Sheet_ThuChiTC!$F$7) *
(NOT(ISBLANK(Table_ThuChiTC[Ngày đáo hạn]))) *
(Table_ThuChiTC[Ngày đáo hạn]&lt;&gt;0)*
(Table_ThuChiTC[Ngày GD] &lt; DATE(BCTC_Nam, BCTC_Thang+1,1))
)),0)</f>
        <v>0</v>
      </c>
      <c r="G80" s="240"/>
      <c r="H80" s="362">
        <v>135</v>
      </c>
      <c r="I80" s="72" t="s">
        <v>440</v>
      </c>
      <c r="J80" s="359" cm="1">
        <f t="array" ref="J80" xml:space="preserve">
Table_BCTC[[#This Row],[Đầu kỳ]]
+IFERROR(
SUM(
_xlfn._xlws.FILTER(Table_DauTu_LichThu[Nhận lãi],
(Table_DauTu_LichThu[Năm] &lt;= J$1)
)),
0)
+IFERROR(
SUM(
_xlfn._xlws.FILTER(Table_LaiKhac[Giá trị],
(NOT(ISBLANK(Table_LaiKhac[Tháng])))*
(Table_LaiKhac[Kỳ]&lt;DATE(J$1+1, 1,1))*
(Table_LaiKhac[Phân loại]="Lãi lỗ đầu tư, cho vay")
)),
0)
+IFERROR(
SUMPRODUCT(
_xlfn._xlws.FILTER(Table_LaiKhac[Giá trị],
(Table_LaiKhac[Phân loại] ="Lãi lỗ đầu tư, cho vay") *
(ISBLANK(Table_LaiKhac[Tháng]))*
(Table_LaiKhac[Phân bổ từ] &lt; DATE(J$1+1, 1,1))*
(Table_LaiKhac[Phân bổ đến] &gt; DATE(J$1, 1,1))
),
_xlfn._xlws.FILTER(
ROUND(
(
IF(
DATE(J$1+1,1,1)-1 &gt;
Table_LaiKhac[Phân bổ đến],
Table_LaiKhac[Phân bổ đến],
DATE(J$1+1,1,1)-1
)
-IF(
DATE(J$1,1,1) &gt;
Table_LaiKhac[Phân bổ từ],
DATE(J$1,1,1),
Table_LaiKhac[Phân bổ từ]
)
) /(365.25/12),
0),
(ISBLANK(Table_LaiKhac[Tháng]))*
(Table_LaiKhac[Phân loại] ="Lãi lỗ đầu tư, cho vay") *
(Table_LaiKhac[Phân bổ từ] &lt; DATE(J$1+1, 1,1))*
(Table_LaiKhac[Phân bổ đến] &gt; DATE(J$1, 1,1))
),
1/_xlfn._xlws.FILTER(
ROUND(
(Table_LaiKhac[Phân bổ đến]-Table_LaiKhac[Phân bổ từ])
/(365.25/12),0),
(ISBLANK(Table_LaiKhac[Tháng]))*
(Table_LaiKhac[Phân loại] ="Lãi lỗ đầu tư, cho vay") *
(Table_LaiKhac[Phân bổ từ] &lt; DATE(J$1+1, 1,1))*
(Table_LaiKhac[Phân bổ đến] &gt; DATE(J$1,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DATE(J$1+1,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DATE(J$1+1, 1,1))
)),
0)</f>
        <v>0</v>
      </c>
      <c r="K80" s="359" cm="1">
        <f t="array" ref="K80" xml:space="preserve">
Table_BCTC[[#This Row],[Đầu kỳ]]
+IFERROR(
SUM(
_xlfn._xlws.FILTER(Table_DauTu_LichThu[Nhận lãi],
(Table_DauTu_LichThu[Năm] &lt;= K$1)
)),
0)
+IFERROR(
SUM(
_xlfn._xlws.FILTER(Table_LaiKhac[Giá trị],
(NOT(ISBLANK(Table_LaiKhac[Tháng])))*
(Table_LaiKhac[Kỳ]&lt;DATE(K$1+1, 1,1))*
(Table_LaiKhac[Phân loại]="Lãi lỗ đầu tư, cho vay")
)),
0)
+IFERROR(
SUMPRODUCT(
_xlfn._xlws.FILTER(Table_LaiKhac[Giá trị],
(Table_LaiKhac[Phân loại] ="Lãi lỗ đầu tư, cho vay") *
(ISBLANK(Table_LaiKhac[Tháng]))*
(Table_LaiKhac[Phân bổ từ] &lt; DATE(K$1+1, 1,1))*
(Table_LaiKhac[Phân bổ đến] &gt; DATE(K$1, 1,1))
),
_xlfn._xlws.FILTER(
ROUND(
(
IF(
DATE(K$1+1,1,1)-1 &gt;
Table_LaiKhac[Phân bổ đến],
Table_LaiKhac[Phân bổ đến],
DATE(K$1+1,1,1)-1
)
-IF(
DATE(K$1,1,1) &gt;
Table_LaiKhac[Phân bổ từ],
DATE(K$1,1,1),
Table_LaiKhac[Phân bổ từ]
)
) /(365.25/12),
0),
(ISBLANK(Table_LaiKhac[Tháng]))*
(Table_LaiKhac[Phân loại] ="Lãi lỗ đầu tư, cho vay") *
(Table_LaiKhac[Phân bổ từ] &lt; DATE(K$1+1, 1,1))*
(Table_LaiKhac[Phân bổ đến] &gt; DATE(K$1, 1,1))
),
1/_xlfn._xlws.FILTER(
ROUND(
(Table_LaiKhac[Phân bổ đến]-Table_LaiKhac[Phân bổ từ])
/(365.25/12),0),
(ISBLANK(Table_LaiKhac[Tháng]))*
(Table_LaiKhac[Phân loại] ="Lãi lỗ đầu tư, cho vay") *
(Table_LaiKhac[Phân bổ từ] &lt; DATE(K$1+1, 1,1))*
(Table_LaiKhac[Phân bổ đến] &gt; DATE(K$1,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DATE(K$1+1,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DATE(K$1+1, 1,1))
)),
0)</f>
        <v>0</v>
      </c>
      <c r="L80" s="240"/>
      <c r="M80" s="362">
        <v>135</v>
      </c>
      <c r="N80" s="72" t="s">
        <v>440</v>
      </c>
      <c r="O80" s="371" cm="1">
        <f t="array" aca="1" ref="O80" ca="1">Table_BCTC[[#This Row],[Đầu kỳ]]
+IFERROR(
SUM(
_xlfn._xlws.FILTER(Table_DauTu_LichThu[Nhận lãi],
(Table_DauTu_LichThu[Kỳ] &lt; DATE(YEAR(O$1), MONTH(O$1)+1,1))
)),
0)
+IFERROR(
SUM(
_xlfn._xlws.FILTER(Table_LaiKhac[Giá trị],
(NOT(ISBLANK(Table_LaiKhac[Tháng])))*
(Table_LaiKhac[Kỳ]&lt;DATE(YEAR(O$1), MONTH(O$1)+1,1))*
(Table_LaiKhac[Phân loại]="Lãi lỗ đầu tư, cho vay")
)),
0)
+IFERROR(
SUMPRODUCT(
_xlfn._xlws.FILTER(Table_LaiKhac[Giá trị],
(Table_LaiKhac[Phân loại] ="Lãi lỗ đầu tư, cho vay") *
(ISBLANK(Table_LaiKhac[Tháng]))*
(Table_LaiKhac[Phân bổ từ] &lt; DATE(YEAR(O$1), MONTH(O$1)+1,1))*
(Table_LaiKhac[Phân bổ đến] &gt; O$1)
),
_xlfn._xlws.FILTER(
ROUND(
(DATE(YEAR(O$1), MONTH(O$1)+1,1)-1-Table_LaiKhac[Phân bổ từ])
/(365.25/12),
0),
(ISBLANK(Table_LaiKhac[Tháng]))*
(Table_LaiKhac[Phân loại] ="Lãi lỗ đầu tư, cho vay") *
(Table_LaiKhac[Phân bổ từ] &lt; DATE(YEAR(O$1), MONTH(O$1)+1,1))*
(Table_LaiKhac[Phân bổ đến] &gt; O$1)
),
1/_xlfn._xlws.FILTER(
ROUND(
(Table_LaiKhac[Phân bổ đến]-Table_LaiKhac[Phân bổ từ])
/(365.25/12),0),
(ISBLANK(Table_LaiKhac[Tháng]))*
(Table_LaiKhac[Phân loại] ="Lãi lỗ đầu tư, cho vay") *
(Table_LaiKhac[Phân bổ từ] &lt; DATE(YEAR(O$1), MONTH(O$1)+1,1))*
(Table_LaiKhac[Phân bổ đến] &gt; O$1)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DATE(BYEAR(O$1), MONTH(O$1)+1,1))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DATE(YEAR(O$1), MONTH(O$1)+1,1))
)),
0)</f>
        <v>0</v>
      </c>
      <c r="P80" s="371" cm="1">
        <f t="array" aca="1" ref="P80" ca="1">Table_BCTC[[#This Row],[Đầu kỳ]]
+IFERROR(
SUM(
_xlfn._xlws.FILTER(Table_DauTu_LichThu[Nhận lãi],
(Table_DauTu_LichThu[Kỳ] &lt; DATE(YEAR(P$1), MONTH(P$1)+1,1))
)),
0)
+IFERROR(
SUM(
_xlfn._xlws.FILTER(Table_LaiKhac[Giá trị],
(NOT(ISBLANK(Table_LaiKhac[Tháng])))*
(Table_LaiKhac[Kỳ]&lt;DATE(YEAR(P$1), MONTH(P$1)+1,1))*
(Table_LaiKhac[Phân loại]="Lãi lỗ đầu tư, cho vay")
)),
0)
+IFERROR(
SUMPRODUCT(
_xlfn._xlws.FILTER(Table_LaiKhac[Giá trị],
(Table_LaiKhac[Phân loại] ="Lãi lỗ đầu tư, cho vay") *
(ISBLANK(Table_LaiKhac[Tháng]))*
(Table_LaiKhac[Phân bổ từ] &lt; DATE(YEAR(P$1), MONTH(P$1)+1,1))*
(Table_LaiKhac[Phân bổ đến] &gt; P$1)
),
_xlfn._xlws.FILTER(
ROUND(
(DATE(YEAR(P$1), MONTH(P$1)+1,1)-1-Table_LaiKhac[Phân bổ từ])
/(365.25/12),
0),
(ISBLANK(Table_LaiKhac[Tháng]))*
(Table_LaiKhac[Phân loại] ="Lãi lỗ đầu tư, cho vay") *
(Table_LaiKhac[Phân bổ từ] &lt; DATE(YEAR(P$1), MONTH(P$1)+1,1))*
(Table_LaiKhac[Phân bổ đến] &gt; P$1)
),
1/_xlfn._xlws.FILTER(
ROUND(
(Table_LaiKhac[Phân bổ đến]-Table_LaiKhac[Phân bổ từ])
/(365.25/12),0),
(ISBLANK(Table_LaiKhac[Tháng]))*
(Table_LaiKhac[Phân loại] ="Lãi lỗ đầu tư, cho vay") *
(Table_LaiKhac[Phân bổ từ] &lt; DATE(YEAR(P$1), MONTH(P$1)+1,1))*
(Table_LaiKhac[Phân bổ đến] &gt; P$1)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DATE(BYEAR(P$1), MONTH(P$1)+1,1))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DATE(YEAR(P$1), MONTH(P$1)+1,1))
)),
0)</f>
        <v>0</v>
      </c>
      <c r="Q80" s="263"/>
      <c r="R80" s="263"/>
      <c r="S80" s="263"/>
      <c r="T80" s="263"/>
      <c r="U80" s="263"/>
      <c r="V80" s="263"/>
      <c r="W80" s="263"/>
      <c r="X80" s="263"/>
      <c r="Y80" s="263"/>
      <c r="Z80" s="263"/>
      <c r="AA80" s="263"/>
      <c r="AB80" s="263"/>
      <c r="AC80" s="263"/>
      <c r="AD80" s="263"/>
      <c r="AE80" s="263"/>
      <c r="AF80" s="263"/>
      <c r="AG80" s="263"/>
      <c r="AH80" s="263"/>
      <c r="AI80" s="263"/>
      <c r="AJ80" s="263"/>
      <c r="AK80" s="263"/>
      <c r="AL80" s="263"/>
      <c r="AM80" s="242"/>
    </row>
    <row r="81" spans="1:39" ht="18" customHeight="1" outlineLevel="3" x14ac:dyDescent="0.15">
      <c r="A81" s="240">
        <f t="shared" si="1"/>
        <v>78</v>
      </c>
      <c r="B81" s="362" t="s">
        <v>441</v>
      </c>
      <c r="C81" s="72" t="s">
        <v>442</v>
      </c>
      <c r="D81" s="359">
        <v>0</v>
      </c>
      <c r="E81" s="359" cm="1">
        <f t="array" ref="E81" xml:space="preserve">
-IF(BCTC_Thang = 1,
IFERROR(
SUM(_xlfn._xlws.FILTER(Table_DuPhong[Dự phòng lũy kế],
(Table_DuPhong[Kỳ]= DATE(BCTC_Nam-1, 12, 1))
)),0),
IFERROR(
SUM(_xlfn._xlws.FILTER(Table_DuPhong[Dự phòng lũy kế],
(Table_DuPhong[Kỳ]= DATE(BCTC_Nam, BCTC_Thang -1, 1))
)),0))</f>
        <v>0</v>
      </c>
      <c r="F81" s="360" cm="1">
        <f t="array" ref="F81" xml:space="preserve">
-IFERROR(
SUM(_xlfn._xlws.FILTER(Table_DuPhong[Dự phòng lũy kế],
(Table_DuPhong[Kỳ]= DATE(BCTC_Nam, BCTC_Thang, 1))
)),0)</f>
        <v>0</v>
      </c>
      <c r="G81" s="240"/>
      <c r="H81" s="362" t="s">
        <v>441</v>
      </c>
      <c r="I81" s="72" t="s">
        <v>442</v>
      </c>
      <c r="J81" s="359" cm="1">
        <f t="array" ref="J81" xml:space="preserve">
IFERROR(
SUM(
_xlfn._xlws.FILTER(Table_DuPhong[Dự phòng lũy kế],
(Table_DuPhong[Kỳ]= DATE(J$1,12,1))
)),
IFERROR(
SUM(
_xlfn._xlws.FILTER(Table_DuPhong[Dự phòng lũy kế],
(Table_DuPhong[Kỳ]= MAX(Table_DuPhong[Kỳ]))
)),
0)
)</f>
        <v>300000</v>
      </c>
      <c r="K81" s="359" cm="1">
        <f t="array" ref="K81" xml:space="preserve">
IFERROR(
SUM(
_xlfn._xlws.FILTER(Table_DuPhong[Dự phòng lũy kế],
(Table_DuPhong[Kỳ]= DATE(K$1,12,1))
)),
IFERROR(
SUM(
_xlfn._xlws.FILTER(Table_DuPhong[Dự phòng lũy kế],
(Table_DuPhong[Kỳ]= MAX(Table_DuPhong[Kỳ]))
)),
0)
)</f>
        <v>300000</v>
      </c>
      <c r="L81" s="240"/>
      <c r="M81" s="362" t="s">
        <v>441</v>
      </c>
      <c r="N81" s="72" t="s">
        <v>442</v>
      </c>
      <c r="O81" s="360" cm="1">
        <f t="array" ref="O81" xml:space="preserve">
-IFERROR(
SUM(_xlfn._xlws.FILTER(Table_DuPhong[Dự phòng lũy kế],
(Table_DuPhong[Kỳ]= O$1)
)),0)</f>
        <v>0</v>
      </c>
      <c r="P81" s="360" cm="1">
        <f t="array" ref="P81" xml:space="preserve">
-IFERROR(
SUM(_xlfn._xlws.FILTER(Table_DuPhong[Dự phòng lũy kế],
(Table_DuPhong[Kỳ]= P$1)
)),0)</f>
        <v>0</v>
      </c>
      <c r="Q81" s="263"/>
      <c r="R81" s="263"/>
      <c r="S81" s="263"/>
      <c r="T81" s="263"/>
      <c r="U81" s="263"/>
      <c r="V81" s="263"/>
      <c r="W81" s="263"/>
      <c r="X81" s="263"/>
      <c r="Y81" s="263"/>
      <c r="Z81" s="263"/>
      <c r="AA81" s="263"/>
      <c r="AB81" s="263"/>
      <c r="AC81" s="263"/>
      <c r="AD81" s="263"/>
      <c r="AE81" s="263"/>
      <c r="AF81" s="263"/>
      <c r="AG81" s="263"/>
      <c r="AH81" s="263"/>
      <c r="AI81" s="263"/>
      <c r="AJ81" s="263"/>
      <c r="AK81" s="263"/>
      <c r="AL81" s="263"/>
      <c r="AM81" s="242"/>
    </row>
    <row r="82" spans="1:39" ht="18" customHeight="1" outlineLevel="2" x14ac:dyDescent="0.15">
      <c r="A82" s="240">
        <f t="shared" si="1"/>
        <v>79</v>
      </c>
      <c r="B82" s="257">
        <v>140</v>
      </c>
      <c r="C82" s="73" t="s">
        <v>443</v>
      </c>
      <c r="D82" s="242">
        <f>+SUM(D83:D84)</f>
        <v>0</v>
      </c>
      <c r="E82" s="242">
        <f>+SUM(E83:E84)</f>
        <v>0</v>
      </c>
      <c r="F82" s="242">
        <f>+SUM(F83:F84)</f>
        <v>0</v>
      </c>
      <c r="G82" s="240"/>
      <c r="H82" s="257">
        <v>140</v>
      </c>
      <c r="I82" s="73" t="s">
        <v>443</v>
      </c>
      <c r="J82" s="242">
        <f>+SUM(J83:J84)</f>
        <v>51977550.321573563</v>
      </c>
      <c r="K82" s="242">
        <f>+SUM(K83:K84)</f>
        <v>51977550.321573563</v>
      </c>
      <c r="L82" s="240"/>
      <c r="M82" s="257">
        <v>140</v>
      </c>
      <c r="N82" s="73" t="s">
        <v>443</v>
      </c>
      <c r="O82" s="242">
        <f>+SUM(O83:O84)</f>
        <v>0</v>
      </c>
      <c r="P82" s="242">
        <f>+SUM(P83:P84)</f>
        <v>0</v>
      </c>
      <c r="Q82" s="263"/>
      <c r="R82" s="263"/>
      <c r="S82" s="263"/>
      <c r="T82" s="263"/>
      <c r="U82" s="263"/>
      <c r="V82" s="263"/>
      <c r="W82" s="263"/>
      <c r="X82" s="263"/>
      <c r="Y82" s="263"/>
      <c r="Z82" s="263"/>
      <c r="AA82" s="263"/>
      <c r="AB82" s="263"/>
      <c r="AC82" s="263"/>
      <c r="AD82" s="263"/>
      <c r="AE82" s="263"/>
      <c r="AF82" s="263"/>
      <c r="AG82" s="263"/>
      <c r="AH82" s="263"/>
      <c r="AI82" s="263"/>
      <c r="AJ82" s="263"/>
      <c r="AK82" s="263"/>
      <c r="AL82" s="263"/>
      <c r="AM82" s="242"/>
    </row>
    <row r="83" spans="1:39" ht="18" customHeight="1" outlineLevel="3" x14ac:dyDescent="0.15">
      <c r="A83" s="240">
        <f t="shared" si="1"/>
        <v>80</v>
      </c>
      <c r="B83" s="362" t="s">
        <v>444</v>
      </c>
      <c r="C83" s="72" t="s">
        <v>445</v>
      </c>
      <c r="D83" s="368" cm="1">
        <f t="array" ref="D83" xml:space="preserve">
IFERROR(
SUM(_xlfn._xlws.FILTER(Table_Main[Giá trị hàng nhập],
(Table_Main[Đơn Mua] = "TONKHODAU")
)), 0)</f>
        <v>0</v>
      </c>
      <c r="E83" s="360" cm="1">
        <f t="array" ref="E83" xml:space="preserve">
IF(BCTC_Thang = 1,
IFERROR(
SUM(_xlfn._xlws.FILTER(Table_TonKho[Giá trị cuối kỳ],
Table_TonKho[Kỳ] = DATE(BCTC_Nam-1,12,1)
)), 0),
IFERROR(
SUM(_xlfn._xlws.FILTER(Table_TonKho[Giá trị cuối kỳ],
Table_TonKho[Kỳ] = DATE(BCTC_Nam,BCTC_Thang-1,1)
)), 0))</f>
        <v>0</v>
      </c>
      <c r="F83" s="360" cm="1">
        <f t="array" ref="F83" xml:space="preserve">
IFERROR(
SUM(_xlfn._xlws.FILTER(Table_TonKho[Giá trị cuối kỳ],
Table_TonKho[Kỳ] = DATE(BCTC_Nam,BCTC_Thang,1)
)), 0)</f>
        <v>0</v>
      </c>
      <c r="G83" s="240"/>
      <c r="H83" s="362" t="s">
        <v>444</v>
      </c>
      <c r="I83" s="72" t="s">
        <v>445</v>
      </c>
      <c r="J83" s="360" cm="1">
        <f t="array" ref="J83">IFERROR(
SUM(
_xlfn._xlws.FILTER(Table_TonKho[Giá trị cuối kỳ],
Table_TonKho[Kỳ] = DATE(J$1,12,1)
)),
IFERROR(
SUM(
_xlfn._xlws.FILTER(Table_TonKho[Giá trị cuối kỳ],
Table_TonKho[Kỳ] = MAX(Table_TonKho[Kỳ])
)),
0)
)</f>
        <v>48256476.901479587</v>
      </c>
      <c r="K83" s="360" cm="1">
        <f t="array" ref="K83">IFERROR(
SUM(
_xlfn._xlws.FILTER(Table_TonKho[Giá trị cuối kỳ],
Table_TonKho[Kỳ] = DATE(K$1,12,1)
)),
IFERROR(
SUM(
_xlfn._xlws.FILTER(Table_TonKho[Giá trị cuối kỳ],
Table_TonKho[Kỳ] = MAX(Table_TonKho[Kỳ])
)),
0)
)</f>
        <v>48256476.901479587</v>
      </c>
      <c r="L83" s="240"/>
      <c r="M83" s="362" t="s">
        <v>444</v>
      </c>
      <c r="N83" s="72" t="s">
        <v>445</v>
      </c>
      <c r="O83" s="360" cm="1">
        <f t="array" ref="O83" xml:space="preserve">
IFERROR(
SUM(_xlfn._xlws.FILTER(Table_TonKho[Giá trị cuối kỳ],
Table_TonKho[Kỳ] = O$1)), 0)</f>
        <v>0</v>
      </c>
      <c r="P83" s="360" cm="1">
        <f t="array" ref="P83" xml:space="preserve">
IFERROR(
SUM(_xlfn._xlws.FILTER(Table_TonKho[Giá trị cuối kỳ],
Table_TonKho[Kỳ] = P$1)), 0)</f>
        <v>0</v>
      </c>
      <c r="Q83" s="263"/>
      <c r="R83" s="263"/>
      <c r="S83" s="263"/>
      <c r="T83" s="263"/>
      <c r="U83" s="263"/>
      <c r="V83" s="263"/>
      <c r="W83" s="263"/>
      <c r="X83" s="263"/>
      <c r="Y83" s="263"/>
      <c r="Z83" s="263"/>
      <c r="AA83" s="263"/>
      <c r="AB83" s="263"/>
      <c r="AC83" s="263"/>
      <c r="AD83" s="263"/>
      <c r="AE83" s="263"/>
      <c r="AF83" s="263"/>
      <c r="AG83" s="263"/>
      <c r="AH83" s="263"/>
      <c r="AI83" s="263"/>
      <c r="AJ83" s="263"/>
      <c r="AK83" s="263"/>
      <c r="AL83" s="263"/>
      <c r="AM83" s="242"/>
    </row>
    <row r="84" spans="1:39" ht="18" customHeight="1" outlineLevel="3" x14ac:dyDescent="0.15">
      <c r="A84" s="240">
        <f t="shared" si="1"/>
        <v>81</v>
      </c>
      <c r="B84" s="362" t="s">
        <v>446</v>
      </c>
      <c r="C84" s="72" t="s">
        <v>447</v>
      </c>
      <c r="D84" s="368">
        <v>0</v>
      </c>
      <c r="E84" s="360" cm="1">
        <f t="array" ref="E84" xml:space="preserve">
-IF(BCTC_Thang = 1,
IFERROR(
SUM(_xlfn._xlws.FILTER(Table_TonKho[Dự phòng lũy kế],
(Table_TonKho[Kỳ]= DATE(BCTC_Nam-1, 12, 1))
)),0),
IFERROR(
SUM(_xlfn._xlws.FILTER(Table_TonKho[Dự phòng lũy kế],
(Table_TonKho[Kỳ]= DATE(BCTC_Nam, BCTC_Thang -1, 1))
)),0))</f>
        <v>0</v>
      </c>
      <c r="F84" s="360" cm="1">
        <f t="array" ref="F84" xml:space="preserve">
-IFERROR(
SUM(_xlfn._xlws.FILTER(Table_TonKho[Dự phòng lũy kế],
(Table_TonKho[Kỳ]= DATE(BCTC_Nam, BCTC_Thang, 1))
)),0)</f>
        <v>0</v>
      </c>
      <c r="G84" s="240"/>
      <c r="H84" s="362" t="s">
        <v>446</v>
      </c>
      <c r="I84" s="72" t="s">
        <v>447</v>
      </c>
      <c r="J84" s="360" cm="1">
        <f t="array" ref="J84">-IFERROR(
SUM(
_xlfn._xlws.FILTER(Table_TonKho[Dự phòng lũy kế],
(Table_TonKho[Kỳ]= DATE(J$1,12,1))
)),
-IFERROR(
SUM(
_xlfn._xlws.FILTER(Table_TonKho[Dự phòng lũy kế],
(Table_TonKho[Kỳ]= MAX(Table_TonKho[Kỳ]))
)),
0)
)</f>
        <v>3721073.420093975</v>
      </c>
      <c r="K84" s="360" cm="1">
        <f t="array" ref="K84">-IFERROR(
SUM(
_xlfn._xlws.FILTER(Table_TonKho[Dự phòng lũy kế],
(Table_TonKho[Kỳ]= DATE(K$1,12,1))
)),
-IFERROR(
SUM(
_xlfn._xlws.FILTER(Table_TonKho[Dự phòng lũy kế],
(Table_TonKho[Kỳ]= MAX(Table_TonKho[Kỳ]))
)),
0)
)</f>
        <v>3721073.420093975</v>
      </c>
      <c r="L84" s="240"/>
      <c r="M84" s="362" t="s">
        <v>446</v>
      </c>
      <c r="N84" s="72" t="s">
        <v>447</v>
      </c>
      <c r="O84" s="360" cm="1">
        <f t="array" ref="O84" xml:space="preserve">
-IFERROR(
SUM(_xlfn._xlws.FILTER(Table_TonKho[Dự phòng lũy kế],
(Table_TonKho[Kỳ]= O$1)
)),0)</f>
        <v>0</v>
      </c>
      <c r="P84" s="360" cm="1">
        <f t="array" ref="P84" xml:space="preserve">
-IFERROR(
SUM(_xlfn._xlws.FILTER(Table_TonKho[Dự phòng lũy kế],
(Table_TonKho[Kỳ]= P$1)
)),0)</f>
        <v>0</v>
      </c>
      <c r="Q84" s="263"/>
      <c r="R84" s="263"/>
      <c r="S84" s="263"/>
      <c r="T84" s="263"/>
      <c r="U84" s="263"/>
      <c r="V84" s="263"/>
      <c r="W84" s="263"/>
      <c r="X84" s="263"/>
      <c r="Y84" s="263"/>
      <c r="Z84" s="263"/>
      <c r="AA84" s="263"/>
      <c r="AB84" s="263"/>
      <c r="AC84" s="263"/>
      <c r="AD84" s="263"/>
      <c r="AE84" s="263"/>
      <c r="AF84" s="263"/>
      <c r="AG84" s="263"/>
      <c r="AH84" s="263"/>
      <c r="AI84" s="263"/>
      <c r="AJ84" s="263"/>
      <c r="AK84" s="263"/>
      <c r="AL84" s="263"/>
      <c r="AM84" s="242"/>
    </row>
    <row r="85" spans="1:39" ht="18" customHeight="1" outlineLevel="2" x14ac:dyDescent="0.15">
      <c r="A85" s="240">
        <f t="shared" si="1"/>
        <v>82</v>
      </c>
      <c r="B85" s="257">
        <v>150</v>
      </c>
      <c r="C85" s="73" t="s">
        <v>448</v>
      </c>
      <c r="D85" s="242">
        <v>0</v>
      </c>
      <c r="E85" s="242"/>
      <c r="F85" s="242"/>
      <c r="G85" s="240"/>
      <c r="H85" s="257">
        <v>150</v>
      </c>
      <c r="I85" s="73" t="s">
        <v>448</v>
      </c>
      <c r="J85" s="242"/>
      <c r="K85" s="242"/>
      <c r="L85" s="240"/>
      <c r="M85" s="257">
        <v>150</v>
      </c>
      <c r="N85" s="73" t="s">
        <v>448</v>
      </c>
      <c r="O85" s="242"/>
      <c r="P85" s="242"/>
      <c r="Q85" s="263"/>
      <c r="R85" s="263"/>
      <c r="S85" s="263"/>
      <c r="T85" s="263"/>
      <c r="U85" s="263"/>
      <c r="V85" s="263"/>
      <c r="W85" s="263"/>
      <c r="X85" s="263"/>
      <c r="Y85" s="263"/>
      <c r="Z85" s="263"/>
      <c r="AA85" s="263"/>
      <c r="AB85" s="263"/>
      <c r="AC85" s="263"/>
      <c r="AD85" s="263"/>
      <c r="AE85" s="263"/>
      <c r="AF85" s="263"/>
      <c r="AG85" s="263"/>
      <c r="AH85" s="263"/>
      <c r="AI85" s="263"/>
      <c r="AJ85" s="263"/>
      <c r="AK85" s="263"/>
      <c r="AL85" s="263"/>
      <c r="AM85" s="242"/>
    </row>
    <row r="86" spans="1:39" ht="18" customHeight="1" outlineLevel="1" x14ac:dyDescent="0.15">
      <c r="A86" s="240">
        <f t="shared" si="1"/>
        <v>83</v>
      </c>
      <c r="B86" s="369">
        <v>200</v>
      </c>
      <c r="C86" s="77" t="s">
        <v>449</v>
      </c>
      <c r="D86" s="370">
        <f>+D96+D95+D94+D91+D87</f>
        <v>8658472222.2222214</v>
      </c>
      <c r="E86" s="370">
        <f>+E96+E95+E94+E91+E87</f>
        <v>0</v>
      </c>
      <c r="F86" s="370">
        <f>+F96+F95+F94+F91+F87</f>
        <v>0</v>
      </c>
      <c r="G86" s="240"/>
      <c r="H86" s="369">
        <v>200</v>
      </c>
      <c r="I86" s="77" t="s">
        <v>449</v>
      </c>
      <c r="J86" s="370">
        <f>+J96+J95+J94+J91+J87</f>
        <v>0</v>
      </c>
      <c r="K86" s="370">
        <f>+K96+K95+K94+K91+K87</f>
        <v>0</v>
      </c>
      <c r="L86" s="240"/>
      <c r="M86" s="369">
        <v>200</v>
      </c>
      <c r="N86" s="77" t="s">
        <v>449</v>
      </c>
      <c r="O86" s="370">
        <f>+O96+O95+O94+O91+O87</f>
        <v>0</v>
      </c>
      <c r="P86" s="370">
        <f>+P96+P95+P94+P91+P87</f>
        <v>0</v>
      </c>
      <c r="Q86" s="263"/>
      <c r="R86" s="263"/>
      <c r="S86" s="263"/>
      <c r="T86" s="263"/>
      <c r="U86" s="263"/>
      <c r="V86" s="263"/>
      <c r="W86" s="263"/>
      <c r="X86" s="263"/>
      <c r="Y86" s="263"/>
      <c r="Z86" s="263"/>
      <c r="AA86" s="263"/>
      <c r="AB86" s="263"/>
      <c r="AC86" s="263"/>
      <c r="AD86" s="263"/>
      <c r="AE86" s="263"/>
      <c r="AF86" s="263"/>
      <c r="AG86" s="263"/>
      <c r="AH86" s="263"/>
      <c r="AI86" s="263"/>
      <c r="AJ86" s="263"/>
      <c r="AK86" s="263"/>
      <c r="AL86" s="263"/>
      <c r="AM86" s="242"/>
    </row>
    <row r="87" spans="1:39" ht="18" customHeight="1" outlineLevel="2" x14ac:dyDescent="0.15">
      <c r="A87" s="240">
        <f t="shared" si="1"/>
        <v>84</v>
      </c>
      <c r="B87" s="257">
        <v>210</v>
      </c>
      <c r="C87" s="73" t="s">
        <v>450</v>
      </c>
      <c r="D87" s="242">
        <f>+SUM(D88:D90)</f>
        <v>0</v>
      </c>
      <c r="E87" s="242">
        <f>+SUM(E88:E90)</f>
        <v>0</v>
      </c>
      <c r="F87" s="242">
        <f>+SUM(F88:F90)</f>
        <v>0</v>
      </c>
      <c r="G87" s="240"/>
      <c r="H87" s="257">
        <v>210</v>
      </c>
      <c r="I87" s="73" t="s">
        <v>450</v>
      </c>
      <c r="J87" s="242">
        <f>+SUM(J88:J90)</f>
        <v>0</v>
      </c>
      <c r="K87" s="242">
        <f>+SUM(K88:K90)</f>
        <v>0</v>
      </c>
      <c r="L87" s="240"/>
      <c r="M87" s="257">
        <v>210</v>
      </c>
      <c r="N87" s="73" t="s">
        <v>450</v>
      </c>
      <c r="O87" s="242">
        <f>+SUM(O88:O90)</f>
        <v>0</v>
      </c>
      <c r="P87" s="242">
        <f>+SUM(P88:P90)</f>
        <v>0</v>
      </c>
      <c r="Q87" s="263"/>
      <c r="R87" s="263"/>
      <c r="S87" s="263"/>
      <c r="T87" s="263"/>
      <c r="U87" s="263"/>
      <c r="V87" s="263"/>
      <c r="W87" s="263"/>
      <c r="X87" s="263"/>
      <c r="Y87" s="263"/>
      <c r="Z87" s="263"/>
      <c r="AA87" s="263"/>
      <c r="AB87" s="263"/>
      <c r="AC87" s="263"/>
      <c r="AD87" s="263"/>
      <c r="AE87" s="263"/>
      <c r="AF87" s="263"/>
      <c r="AG87" s="263"/>
      <c r="AH87" s="263"/>
      <c r="AI87" s="263"/>
      <c r="AJ87" s="263"/>
      <c r="AK87" s="263"/>
      <c r="AL87" s="263"/>
      <c r="AM87" s="242"/>
    </row>
    <row r="88" spans="1:39" ht="18" customHeight="1" outlineLevel="3" x14ac:dyDescent="0.15">
      <c r="A88" s="240">
        <f t="shared" si="1"/>
        <v>85</v>
      </c>
      <c r="B88" s="362">
        <v>211</v>
      </c>
      <c r="C88" s="72" t="s">
        <v>451</v>
      </c>
      <c r="D88" s="359">
        <f>Sheet_PhaiThu!D3</f>
        <v>0</v>
      </c>
      <c r="E88" s="359">
        <f xml:space="preserve">
IFERROR(
IF(BCTC_Thang = 1,
HLOOKUP(
DATE(BCTC_Nam-1,12,1),Sheet_PhaiThu!$C$1:$XFD$5,Sheet_PhaiThu!$B$3,0
),
HLOOKUP(
DATE(BCTC_Nam,BCTC_Thang-1,1),Sheet_PhaiThu!$C$1:$XFD$5,Sheet_PhaiThu!$B$3,0
)),0)</f>
        <v>0</v>
      </c>
      <c r="F88" s="368">
        <f xml:space="preserve">
IFERROR(
HLOOKUP(
DATE(BCTC_Nam,BCTC_Thang,1),Sheet_PhaiThu!$C$1:$XFD$5,Sheet_PhaiThu!$B$3,0
),0)</f>
        <v>0</v>
      </c>
      <c r="G88" s="240"/>
      <c r="H88" s="362">
        <v>211</v>
      </c>
      <c r="I88" s="72" t="s">
        <v>451</v>
      </c>
      <c r="J88" s="359">
        <f>IFERROR(
HLOOKUP(
DATE(J$1,12,1),
Sheet_PhaiThu!$C$1:$XFD$5,Sheet_PhaiThu!$B$3,0
),
IFERROR(
HLOOKUP(
MAX(Sheet_PhaiThu!$D$1:$XFD$1),
Sheet_PhaiThu!$C$1:$XFD$5,Sheet_PhaiThu!$B$3,0
),
0))</f>
        <v>0</v>
      </c>
      <c r="K88" s="359">
        <f>IFERROR(
HLOOKUP(
DATE(K$1,12,1),
Sheet_PhaiThu!$C$1:$XFD$5,Sheet_PhaiThu!$B$3,0
),
IFERROR(
HLOOKUP(
MAX(Sheet_PhaiThu!$D$1:$XFD$1),
Sheet_PhaiThu!$C$1:$XFD$5,Sheet_PhaiThu!$B$3,0
),
0))</f>
        <v>0</v>
      </c>
      <c r="L88" s="240"/>
      <c r="M88" s="362">
        <v>211</v>
      </c>
      <c r="N88" s="72" t="s">
        <v>451</v>
      </c>
      <c r="O88" s="368">
        <f>IFERROR(
HLOOKUP(
O$1,Sheet_PhaiThu!$C$1:$XFD$5,Sheet_PhaiThu!$B$3,0
),0)</f>
        <v>0</v>
      </c>
      <c r="P88" s="368">
        <f>IFERROR(
HLOOKUP(
P$1,Sheet_PhaiThu!$C$1:$XFD$5,Sheet_PhaiThu!$B$3,0
),0)</f>
        <v>0</v>
      </c>
      <c r="Q88" s="263"/>
      <c r="R88" s="263"/>
      <c r="S88" s="263"/>
      <c r="T88" s="263"/>
      <c r="U88" s="263"/>
      <c r="V88" s="263"/>
      <c r="W88" s="263"/>
      <c r="X88" s="263"/>
      <c r="Y88" s="263"/>
      <c r="Z88" s="263"/>
      <c r="AA88" s="263"/>
      <c r="AB88" s="263"/>
      <c r="AC88" s="263"/>
      <c r="AD88" s="263"/>
      <c r="AE88" s="263"/>
      <c r="AF88" s="263"/>
      <c r="AG88" s="263"/>
      <c r="AH88" s="263"/>
      <c r="AI88" s="263"/>
      <c r="AJ88" s="263"/>
      <c r="AK88" s="263"/>
      <c r="AL88" s="263"/>
      <c r="AM88" s="242"/>
    </row>
    <row r="89" spans="1:39" ht="18" customHeight="1" outlineLevel="3" x14ac:dyDescent="0.15">
      <c r="A89" s="240">
        <f t="shared" si="1"/>
        <v>86</v>
      </c>
      <c r="B89" s="362">
        <v>212</v>
      </c>
      <c r="C89" s="72" t="s">
        <v>452</v>
      </c>
      <c r="D89" s="359">
        <f>Sheet_PhaiTra!D5</f>
        <v>0</v>
      </c>
      <c r="E89" s="359">
        <f xml:space="preserve">
IFERROR(
IF(BCTC_Thang = 1,
HLOOKUP(
DATE(BCTC_Nam-1,12,1),Sheet_PhaiTra!$B$1:$XFD$9,Sheet_PhaiTra!$A$5,0
),
HLOOKUP(
DATE(BCTC_Nam,BCTC_Thang-1,1),Sheet_PhaiTra!$B$1:$XFD$9,Sheet_PhaiTra!$A$5,0
)),0)</f>
        <v>0</v>
      </c>
      <c r="F89" s="368">
        <f>IFERROR(
HLOOKUP(
DATE(BCTC_Nam,BCTC_Thang,1),Sheet_PhaiTra!$B$1:$XFD$9,Sheet_PhaiTra!$A$5,0
),0)</f>
        <v>0</v>
      </c>
      <c r="G89" s="240"/>
      <c r="H89" s="362">
        <v>212</v>
      </c>
      <c r="I89" s="72" t="s">
        <v>452</v>
      </c>
      <c r="J89" s="359">
        <f>IFERROR(
HLOOKUP(
DATE(J$1,12,1),
Sheet_PhaiTra!$B$1:$XFD$9,Sheet_PhaiTra!$A$5,0
),
IFERROR(
HLOOKUP(
MAX(Sheet_PhaiTra!$D$1:$XFD$1),
Sheet_PhaiTra!$B$1:$XFD$9,Sheet_PhaiTra!$A$5,0
),
0))</f>
        <v>0</v>
      </c>
      <c r="K89" s="359">
        <f>IFERROR(
HLOOKUP(
DATE(K$1,12,1),
Sheet_PhaiTra!$B$1:$XFD$9,Sheet_PhaiTra!$A$5,0
),
IFERROR(
HLOOKUP(
MAX(Sheet_PhaiTra!$D$1:$XFD$1),
Sheet_PhaiTra!$B$1:$XFD$9,Sheet_PhaiTra!$A$5,0
),
0))</f>
        <v>0</v>
      </c>
      <c r="L89" s="240"/>
      <c r="M89" s="362">
        <v>212</v>
      </c>
      <c r="N89" s="72" t="s">
        <v>452</v>
      </c>
      <c r="O89" s="368">
        <f xml:space="preserve">
IFERROR(
HLOOKUP(
O$1,Sheet_PhaiTra!$B$1:$XFD$9,Sheet_PhaiTra!$A$5,0
),0)</f>
        <v>0</v>
      </c>
      <c r="P89" s="368">
        <f xml:space="preserve">
IFERROR(
HLOOKUP(
P$1,Sheet_PhaiTra!$B$1:$XFD$9,Sheet_PhaiTra!$A$5,0
),0)</f>
        <v>0</v>
      </c>
      <c r="Q89" s="263"/>
      <c r="R89" s="263"/>
      <c r="S89" s="263"/>
      <c r="T89" s="263"/>
      <c r="U89" s="263"/>
      <c r="V89" s="263"/>
      <c r="W89" s="263"/>
      <c r="X89" s="263"/>
      <c r="Y89" s="263"/>
      <c r="Z89" s="263"/>
      <c r="AA89" s="263"/>
      <c r="AB89" s="263"/>
      <c r="AC89" s="263"/>
      <c r="AD89" s="263"/>
      <c r="AE89" s="263"/>
      <c r="AF89" s="263"/>
      <c r="AG89" s="263"/>
      <c r="AH89" s="263"/>
      <c r="AI89" s="263"/>
      <c r="AJ89" s="263"/>
      <c r="AK89" s="263"/>
      <c r="AL89" s="263"/>
      <c r="AM89" s="242"/>
    </row>
    <row r="90" spans="1:39" ht="18" customHeight="1" outlineLevel="3" x14ac:dyDescent="0.15">
      <c r="A90" s="240">
        <f t="shared" si="1"/>
        <v>87</v>
      </c>
      <c r="B90" s="362">
        <v>214</v>
      </c>
      <c r="C90" s="72" t="s">
        <v>453</v>
      </c>
      <c r="D90" s="359">
        <f>Sheet_PhaiTra!D9</f>
        <v>0</v>
      </c>
      <c r="E90" s="359">
        <f xml:space="preserve">
IFERROR(
IF(BCTC_Thang = 1,
HLOOKUP(
DATE(BCTC_Nam-1,12,1),Sheet_PhaiTra!$B$1:$XFD$9,Sheet_PhaiTra!$A$9,0
),
HLOOKUP(
DATE(BCTC_Nam,BCTC_Thang-1,1),Sheet_PhaiTra!$B$1:$XFD$9,Sheet_PhaiTra!$A$9,0
)),0)</f>
        <v>0</v>
      </c>
      <c r="F90" s="368">
        <f>IFERROR(HLOOKUP(
DATE(BCTC_Nam,BCTC_Thang,1),Sheet_PhaiTra!$B$1:$XFD$9,Sheet_PhaiTra!$A$9,0
),0)</f>
        <v>0</v>
      </c>
      <c r="G90" s="240"/>
      <c r="H90" s="362">
        <v>214</v>
      </c>
      <c r="I90" s="72" t="s">
        <v>453</v>
      </c>
      <c r="J90" s="359">
        <f>IFERROR(
HLOOKUP(
DATE(J$1,12,1),
Sheet_PhaiTra!$B$1:$XFD$9,Sheet_PhaiTra!$A$9,0
),
IFERROR(
HLOOKUP(
MAX(Sheet_PhaiTra!$D$1:$XFD$1),
Sheet_PhaiTra!$B$1:$XFD$9,Sheet_PhaiTra!$A$9,0
),
0))</f>
        <v>0</v>
      </c>
      <c r="K90" s="359">
        <f>IFERROR(
HLOOKUP(
DATE(K$1,12,1),
Sheet_PhaiTra!$B$1:$XFD$9,Sheet_PhaiTra!$A$9,0
),
IFERROR(
HLOOKUP(
MAX(Sheet_PhaiTra!$D$1:$XFD$1),
Sheet_PhaiTra!$B$1:$XFD$9,Sheet_PhaiTra!$A$9,0
),
0))</f>
        <v>0</v>
      </c>
      <c r="L90" s="240"/>
      <c r="M90" s="362">
        <v>214</v>
      </c>
      <c r="N90" s="72" t="s">
        <v>453</v>
      </c>
      <c r="O90" s="368">
        <f xml:space="preserve">
IFERROR(
HLOOKUP(
O$1,Sheet_PhaiTra!$B$1:$XFD$9,Sheet_PhaiTra!$A$9,0
),0)</f>
        <v>0</v>
      </c>
      <c r="P90" s="368">
        <f xml:space="preserve">
IFERROR(
HLOOKUP(
P$1,Sheet_PhaiTra!$B$1:$XFD$9,Sheet_PhaiTra!$A$9,0
),0)</f>
        <v>0</v>
      </c>
      <c r="Q90" s="263"/>
      <c r="R90" s="263"/>
      <c r="S90" s="263"/>
      <c r="T90" s="263"/>
      <c r="U90" s="263"/>
      <c r="V90" s="263"/>
      <c r="W90" s="263"/>
      <c r="X90" s="263"/>
      <c r="Y90" s="263"/>
      <c r="Z90" s="263"/>
      <c r="AA90" s="263"/>
      <c r="AB90" s="263"/>
      <c r="AC90" s="263"/>
      <c r="AD90" s="263"/>
      <c r="AE90" s="263"/>
      <c r="AF90" s="263"/>
      <c r="AG90" s="263"/>
      <c r="AH90" s="263"/>
      <c r="AI90" s="263"/>
      <c r="AJ90" s="263"/>
      <c r="AK90" s="263"/>
      <c r="AL90" s="263"/>
      <c r="AM90" s="242"/>
    </row>
    <row r="91" spans="1:39" ht="18" customHeight="1" outlineLevel="2" x14ac:dyDescent="0.15">
      <c r="A91" s="240">
        <f t="shared" si="1"/>
        <v>88</v>
      </c>
      <c r="B91" s="257">
        <v>220</v>
      </c>
      <c r="C91" s="73" t="s">
        <v>454</v>
      </c>
      <c r="D91" s="242">
        <f>+SUM(D92:D93)</f>
        <v>8658472222.2222214</v>
      </c>
      <c r="E91" s="242">
        <f>+SUM(E92:E93)</f>
        <v>0</v>
      </c>
      <c r="F91" s="242">
        <f>+SUM(F92:F93)</f>
        <v>0</v>
      </c>
      <c r="G91" s="240"/>
      <c r="H91" s="257">
        <v>220</v>
      </c>
      <c r="I91" s="73" t="s">
        <v>454</v>
      </c>
      <c r="J91" s="242">
        <f>+SUM(J92:J93)</f>
        <v>0</v>
      </c>
      <c r="K91" s="242">
        <f>+SUM(K92:K93)</f>
        <v>0</v>
      </c>
      <c r="L91" s="240"/>
      <c r="M91" s="257">
        <v>220</v>
      </c>
      <c r="N91" s="73" t="s">
        <v>454</v>
      </c>
      <c r="O91" s="242">
        <f>+SUM(O92:O93)</f>
        <v>0</v>
      </c>
      <c r="P91" s="242">
        <f>+SUM(P92:P93)</f>
        <v>0</v>
      </c>
      <c r="Q91" s="263"/>
      <c r="R91" s="263"/>
      <c r="S91" s="263"/>
      <c r="T91" s="263"/>
      <c r="U91" s="263"/>
      <c r="V91" s="263"/>
      <c r="W91" s="263"/>
      <c r="X91" s="263"/>
      <c r="Y91" s="263"/>
      <c r="Z91" s="263"/>
      <c r="AA91" s="263"/>
      <c r="AB91" s="263"/>
      <c r="AC91" s="263"/>
      <c r="AD91" s="263"/>
      <c r="AE91" s="263"/>
      <c r="AF91" s="263"/>
      <c r="AG91" s="263"/>
      <c r="AH91" s="263"/>
      <c r="AI91" s="263"/>
      <c r="AJ91" s="263"/>
      <c r="AK91" s="263"/>
      <c r="AL91" s="263"/>
      <c r="AM91" s="242"/>
    </row>
    <row r="92" spans="1:39" ht="18" customHeight="1" outlineLevel="3" x14ac:dyDescent="0.15">
      <c r="A92" s="240">
        <f t="shared" si="1"/>
        <v>89</v>
      </c>
      <c r="B92" s="362">
        <v>222</v>
      </c>
      <c r="C92" s="72" t="s">
        <v>890</v>
      </c>
      <c r="D92" s="359" cm="1">
        <f t="array" ref="D92" xml:space="preserve">
IFERROR(
SUM(_xlfn._xlws.FILTER(Table_TSCD[Giá trị sổ sách],
(NOT(ISBLANK(Table_TSCD[Ngày vận hành] )))*
(ISBLANK(Table_TSCD[Ngày thanh lý]))*
(Table_TSCD[Ngày vận hành] &lt; BCTC_BatDau)
)), 0)
+IFERROR(
SUM(_xlfn._xlws.FILTER(Table_TSCD[Giá trị sổ sách],
(NOT(ISBLANK(Table_TSCD[Ngày vận hành] )))*
(NOT(ISBLANK(Table_TSCD[Ngày thanh lý] )))*
(Table_TSCD[Ngày thanh lý] &gt;= BCTC_BatDau)*
(Table_TSCD[Ngày vận hành] &lt; BCTC_BatDau)
)), 0)</f>
        <v>9875000000</v>
      </c>
      <c r="E92" s="359" cm="1">
        <f t="array" ref="E92" xml:space="preserve">
IFERROR(
SUM(_xlfn._xlws.FILTER(Table_TSCD[Giá trị sổ sách],
(NOT(ISBLANK(Table_TSCD[Ngày vận hành] )))*
(ISBLANK(Table_TSCD[Ngày thanh lý]))*
(Table_TSCD[Ngày vận hành] &lt; DATE(BCTC_Nam,BCTC_Thang,1 ))
)), 0)
+IFERROR(
SUM(_xlfn._xlws.FILTER(Table_TSCD[Giá trị sổ sách],
(NOT(ISBLANK(Table_TSCD[Ngày vận hành] )))*
(NOT(ISBLANK(Table_TSCD[Ngày thanh lý] )))*
(Table_TSCD[Ngày thanh lý] &gt;= DATE(BCTC_Nam,BCTC_Thang,1 ))*
(Table_TSCD[Ngày vận hành] &lt; DATE(BCTC_Nam,BCTC_Thang,1 ))
)), 0)</f>
        <v>0</v>
      </c>
      <c r="F92" s="368" cm="1">
        <f t="array" ref="F92" xml:space="preserve">
IFERROR(
SUM(_xlfn._xlws.FILTER(Table_TSCD[Giá trị sổ sách],
(NOT(ISBLANK(Table_TSCD[Ngày vận hành] )))*
(ISBLANK(Table_TSCD[Ngày thanh lý]))*
(Table_TSCD[Ngày vận hành] &lt; DATE(BCTC_Nam,BCTC_Thang+1,1 ))
)), 0)
+IFERROR(
SUM(_xlfn._xlws.FILTER(Table_TSCD[Giá trị sổ sách],
(NOT(ISBLANK(Table_TSCD[Ngày vận hành] )))*
(NOT(ISBLANK(Table_TSCD[Ngày thanh lý])))*
(Table_TSCD[Ngày thanh lý] &gt;= DATE(BCTC_Nam,BCTC_Thang+1,1 ))*
(Table_TSCD[Ngày vận hành] &lt; DATE(BCTC_Nam,BCTC_Thang+1,1 ))
)), 0)</f>
        <v>0</v>
      </c>
      <c r="G92" s="240"/>
      <c r="H92" s="362">
        <v>222</v>
      </c>
      <c r="I92" s="72" t="s">
        <v>890</v>
      </c>
      <c r="J92" s="359" cm="1">
        <f t="array" ref="J92" xml:space="preserve">
IFERROR(
SUM(_xlfn._xlws.FILTER(Table_TSCD[Giá trị sổ sách],
(NOT(ISBLANK(Table_TSCD[Ngày vận hành] )))*
(ISBLANK(Table_TSCD[Ngày thanh lý]))*
(Table_TSCD[Ngày vận hành] &lt; DATE(J$1+1,1,1))
)), 0)
+IFERROR(
SUM(_xlfn._xlws.FILTER(Table_TSCD[Giá trị sổ sách],
(NOT(ISBLANK(Table_TSCD[Ngày vận hành] )))*
(NOT(ISBLANK(Table_TSCD[Ngày thanh lý])))*
(Table_TSCD[Ngày thanh lý] &gt;= DATE(J$1+1,1,1))*
(Table_TSCD[Ngày vận hành] &lt; DATE(J$1+1,1,1))
)), 0)</f>
        <v>0</v>
      </c>
      <c r="K92" s="359" cm="1">
        <f t="array" ref="K92" xml:space="preserve">
IFERROR(
SUM(_xlfn._xlws.FILTER(Table_TSCD[Giá trị sổ sách],
(NOT(ISBLANK(Table_TSCD[Ngày vận hành] )))*
(ISBLANK(Table_TSCD[Ngày thanh lý]))*
(Table_TSCD[Ngày vận hành] &lt; DATE(K$1+1,1,1))
)), 0)
+IFERROR(
SUM(_xlfn._xlws.FILTER(Table_TSCD[Giá trị sổ sách],
(NOT(ISBLANK(Table_TSCD[Ngày vận hành] )))*
(NOT(ISBLANK(Table_TSCD[Ngày thanh lý])))*
(Table_TSCD[Ngày thanh lý] &gt;= DATE(K$1+1,1,1))*
(Table_TSCD[Ngày vận hành] &lt; DATE(K$1+1,1,1))
)), 0)</f>
        <v>0</v>
      </c>
      <c r="L92" s="240"/>
      <c r="M92" s="362">
        <v>222</v>
      </c>
      <c r="N92" s="72" t="s">
        <v>890</v>
      </c>
      <c r="O92" s="368" cm="1">
        <f t="array" ref="O92" xml:space="preserve">
IFERROR(
SUM(_xlfn._xlws.FILTER(Table_TSCD[Giá trị sổ sách],
(NOT(ISBLANK(Table_TSCD[Ngày vận hành] )))*
(ISBLANK(Table_TSCD[Ngày thanh lý]))*
(Table_TSCD[Ngày vận hành] &lt; DATE(YEAR(O$1),MONTH(O$1)+1,1 ))
)), 0)
+IFERROR(
SUM(_xlfn._xlws.FILTER(Table_TSCD[Giá trị sổ sách],
(NOT(ISBLANK(Table_TSCD[Ngày vận hành] )))*
(NOT(ISBLANK(Table_TSCD[Ngày thanh lý])))*
(Table_TSCD[Ngày thanh lý] &gt;= DATE(YEAR(O$1),MONTH(O$1)+1,1 ))*
(Table_TSCD[Ngày vận hành] &lt; DATE(YEAR(O$1),MONTH(O$1)+1,1 ))
)), 0)</f>
        <v>0</v>
      </c>
      <c r="P92" s="368" cm="1">
        <f t="array" ref="P92" xml:space="preserve">
IFERROR(
SUM(_xlfn._xlws.FILTER(Table_TSCD[Giá trị sổ sách],
(NOT(ISBLANK(Table_TSCD[Ngày vận hành] )))*
(ISBLANK(Table_TSCD[Ngày thanh lý]))*
(Table_TSCD[Ngày vận hành] &lt; DATE(YEAR(P$1),MONTH(P$1)+1,1 ))
)), 0)
+IFERROR(
SUM(_xlfn._xlws.FILTER(Table_TSCD[Giá trị sổ sách],
(NOT(ISBLANK(Table_TSCD[Ngày vận hành] )))*
(NOT(ISBLANK(Table_TSCD[Ngày thanh lý])))*
(Table_TSCD[Ngày thanh lý] &gt;= DATE(YEAR(P$1),MONTH(P$1)+1,1 ))*
(Table_TSCD[Ngày vận hành] &lt; DATE(YEAR(P$1),MONTH(P$1)+1,1 ))
)), 0)</f>
        <v>0</v>
      </c>
      <c r="Q92" s="263"/>
      <c r="R92" s="263"/>
      <c r="S92" s="263"/>
      <c r="T92" s="263"/>
      <c r="U92" s="263"/>
      <c r="V92" s="263"/>
      <c r="W92" s="263"/>
      <c r="X92" s="263"/>
      <c r="Y92" s="263"/>
      <c r="Z92" s="263"/>
      <c r="AA92" s="263"/>
      <c r="AB92" s="263"/>
      <c r="AC92" s="263"/>
      <c r="AD92" s="263"/>
      <c r="AE92" s="263"/>
      <c r="AF92" s="263"/>
      <c r="AG92" s="263"/>
      <c r="AH92" s="263"/>
      <c r="AI92" s="263"/>
      <c r="AJ92" s="263"/>
      <c r="AK92" s="263"/>
      <c r="AL92" s="263"/>
      <c r="AM92" s="242"/>
    </row>
    <row r="93" spans="1:39" ht="18" customHeight="1" outlineLevel="3" x14ac:dyDescent="0.15">
      <c r="A93" s="240">
        <f t="shared" si="1"/>
        <v>90</v>
      </c>
      <c r="B93" s="362">
        <v>223</v>
      </c>
      <c r="C93" s="72" t="s">
        <v>455</v>
      </c>
      <c r="D93" s="359" cm="1">
        <f t="array" ref="D93" xml:space="preserve"> - IFERROR(SUMPRODUCT(
_xlfn._xlws.FILTER(Table_TSCD[Giá trị khấu hao (tháng)],
(NOT(ISBLANK(Table_TSCD[Ngày vận hành])))*
(ISBLANK(Table_TSCD[Ngày thanh lý]))*
(Table_TSCD[Ngày vận hành] &lt; BCTC_BatDau) *
(Table_TSCD[Ngày kết thúc] &gt;= BCTC_BatDau)
),
_xlfn._xlws.FILTER( ROUND((BCTC_BatDau-1 - Table_TSCD[Ngày vận hành]) / (365.25/12),0),
(NOT(ISBLANK(Table_TSCD[Ngày vận hành])))*
(ISBLANK(Table_TSCD[Ngày thanh lý]))*
(Table_TSCD[Ngày vận hành] &lt; BCTC_BatDau) *
(Table_TSCD[Ngày kết thúc] &gt;= BCTC_BatDau)
)),0)
- IFERROR(
SUM(_xlfn._xlws.FILTER(Table_TSCD[Giá trị sổ sách],
(NOT(ISBLANK(Table_TSCD[Ngày vận hành])))*
(ISBLANK(Table_TSCD[Ngày thanh lý]))*
(Table_TSCD[Ngày kết thúc]&lt; BCTC_BatDau)
)),0)
 - IFERROR(SUMPRODUCT(
_xlfn._xlws.FILTER(Table_TSCD[Giá trị khấu hao (tháng)],
(NOT(ISBLANK(Table_TSCD[Ngày vận hành])))*
(NOT(ISBLANK(Table_TSCD[Ngày thanh lý])))*
(Table_TSCD[Ngày thanh lý] &gt;= BCTC_BatDau)*
(Table_TSCD[Ngày vận hành] &lt; BCTC_BatDau) *
(Table_TSCD[Ngày kết thúc] &gt;= BCTC_BatDau)
),
_xlfn._xlws.FILTER( ROUND((BCTC_BatDau-1 - Table_TSCD[Ngày vận hành]) / (365.25/12),0),
(NOT(ISBLANK(Table_TSCD[Ngày vận hành])))*
(NOT(ISBLANK(Table_TSCD[Ngày thanh lý])))*
(Table_TSCD[Ngày thanh lý] &gt;= BCTC_BatDau)*
(Table_TSCD[Ngày vận hành] &lt; BCTC_BatDau) *
(Table_TSCD[Ngày kết thúc] &gt;= BCTC_BatDau)
)),0)
- IFERROR(
SUM(_xlfn._xlws.FILTER(Table_TSCD[Giá trị sổ sách],
(NOT(ISBLANK(Table_TSCD[Ngày vận hành])))*
(NOT(ISBLANK(Table_TSCD[Ngày thanh lý])))*
(Table_TSCD[Ngày thanh lý] &gt;= BCTC_BatDau)*
(Table_TSCD[Ngày kết thúc]&lt; BCTC_BatDau)
)),0)</f>
        <v>-1216527777.7777777</v>
      </c>
      <c r="E93" s="359" cm="1">
        <f t="array" ref="E93" xml:space="preserve"> - IFERROR(SUMPRODUCT(
_xlfn._xlws.FILTER(Table_TSCD[Giá trị khấu hao (tháng)],
(NOT(ISBLANK(Table_TSCD[Ngày vận hành])))*
(ISBLANK(Table_TSCD[Ngày thanh lý]))*
(Table_TSCD[Ngày vận hành] &lt; DATE(BCTC_Nam,BCTC_Thang,1)) *
(Table_TSCD[Ngày kết thúc] &gt;= DATE(BCTC_Nam,BCTC_Thang,1))
),
_xlfn._xlws.FILTER( ROUND((DATE(BCTC_Nam,BCTC_Thang,1)-1 - Table_TSCD[Ngày vận hành]) / (365.25/12),0),
(NOT(ISBLANK(Table_TSCD[Ngày vận hành])))*
(ISBLANK(Table_TSCD[Ngày thanh lý]))*
(Table_TSCD[Ngày vận hành] &lt; DATE(BCTC_Nam,BCTC_Thang,1)) *
(Table_TSCD[Ngày kết thúc] &gt;= DATE(BCTC_Nam,BCTC_Thang,1))
)),0)
- IFERROR(
SUM(_xlfn._xlws.FILTER(Table_TSCD[Giá trị sổ sách],
(NOT(ISBLANK(Table_TSCD[Ngày vận hành])))*
(ISBLANK(Table_TSCD[Ngày thanh lý]))*
(Table_TSCD[Ngày kết thúc]&lt; DATE(BCTC_Nam,BCTC_Thang,1))
)),0)
 - IFERROR(SUMPRODUCT(
_xlfn._xlws.FILTER(Table_TSCD[Giá trị khấu hao (tháng)],
(NOT(ISBLANK(Table_TSCD[Ngày vận hành])))*
(NOT(ISBLANK(Table_TSCD[Ngày thanh lý])))*
(Table_TSCD[Ngày thanh lý] &gt;= DATE(BCTC_Nam,BCTC_Thang,1 ))*
(Table_TSCD[Ngày vận hành] &lt; DATE(BCTC_Nam,BCTC_Thang,1)) *
(Table_TSCD[Ngày kết thúc] &gt;= DATE(BCTC_Nam,BCTC_Thang,1))
),
_xlfn._xlws.FILTER( ROUND((DATE(BCTC_Nam,BCTC_Thang,1)-1 - Table_TSCD[Ngày vận hành]) / (365.25/12),0),
(NOT(ISBLANK(Table_TSCD[Ngày vận hành])))*
(NOT(ISBLANK(Table_TSCD[Ngày thanh lý])))*
(Table_TSCD[Ngày thanh lý] &gt;= DATE(BCTC_Nam,BCTC_Thang,1 ))*
(Table_TSCD[Ngày vận hành] &lt; DATE(BCTC_Nam,BCTC_Thang,1)) *
(Table_TSCD[Ngày kết thúc] &gt;= DATE(BCTC_Nam,BCTC_Thang,1))
)),0)
- IFERROR(
SUM(_xlfn._xlws.FILTER(Table_TSCD[Giá trị sổ sách],
(NOT(ISBLANK(Table_TSCD[Ngày vận hành])))*
(NOT(ISBLANK(Table_TSCD[Ngày thanh lý])))*
(Table_TSCD[Ngày thanh lý] &gt;= DATE(BCTC_Nam,BCTC_Thang,1 ))*
(Table_TSCD[Ngày kết thúc]&lt; DATE(BCTC_Nam,BCTC_Thang,1))
)),0)</f>
        <v>0</v>
      </c>
      <c r="F93" s="368" cm="1">
        <f t="array" ref="F93" xml:space="preserve"> - IFERROR(SUMPRODUCT(
_xlfn._xlws.FILTER(Table_TSCD[Giá trị khấu hao (tháng)],
(NOT(ISBLANK(Table_TSCD[Ngày vận hành])))*
(ISBLANK(Table_TSCD[Ngày thanh lý]))*
(Table_TSCD[Ngày vận hành] &lt; DATE(BCTC_Nam,BCTC_Thang+1,1)-1) *
(Table_TSCD[Ngày kết thúc] &gt;= DATE(BCTC_Nam,BCTC_Thang+1,1)-1)
),
_xlfn._xlws.FILTER( ROUND((DATE(BCTC_Nam,BCTC_Thang+1,1)-1 - Table_TSCD[Ngày vận hành]) / (365.25/12),0),
(NOT(ISBLANK(Table_TSCD[Ngày vận hành])))*
(ISBLANK(Table_TSCD[Ngày thanh lý]))*
(Table_TSCD[Ngày vận hành] &lt; DATE(BCTC_Nam,BCTC_Thang+1,1)-1) *
(Table_TSCD[Ngày kết thúc] &gt;= DATE(BCTC_Nam,BCTC_Thang+1,1)-1)
)),0)
- IFERROR(
SUM(_xlfn._xlws.FILTER(Table_TSCD[Giá trị sổ sách],
(NOT(ISBLANK(Table_TSCD[Ngày vận hành])))*
(ISBLANK(Table_TSCD[Ngày thanh lý]))*
(Table_TSCD[Ngày kết thúc]&lt; DATE(BCTC_Nam,BCTC_Thang+1,1)-1)
)),0)
 - IFERROR(SUMPRODUCT(
_xlfn._xlws.FILTER(Table_TSCD[Giá trị khấu hao (tháng)],
(NOT(ISBLANK(Table_TSCD[Ngày vận hành])))*
(NOT(ISBLANK(Table_TSCD[Ngày thanh lý])))*
(Table_TSCD[Ngày thanh lý] &gt;= DATE(BCTC_Nam,BCTC_Thang+1,1 )-1)*
(Table_TSCD[Ngày vận hành] &lt; DATE(BCTC_Nam,BCTC_Thang+1,1)-1) *
(Table_TSCD[Ngày kết thúc] &gt;= DATE(BCTC_Nam,BCTC_Thang+1,1)-1)
),
_xlfn._xlws.FILTER( ROUND((DATE(BCTC_Nam,BCTC_Thang+1,1)-1 - Table_TSCD[Ngày vận hành]) / (365.25/12),0),
(NOT(ISBLANK(Table_TSCD[Ngày vận hành])))*
(NOT(ISBLANK(Table_TSCD[Ngày thanh lý])))*
(Table_TSCD[Ngày thanh lý] &gt;= DATE(BCTC_Nam,BCTC_Thang+1,1 )-1)*
(Table_TSCD[Ngày vận hành] &lt; DATE(BCTC_Nam,BCTC_Thang+1,1)-1) *
(Table_TSCD[Ngày kết thúc] &gt;= DATE(BCTC_Nam,BCTC_Thang+1,1)-1)
)),0)
- IFERROR(
SUM(_xlfn._xlws.FILTER(Table_TSCD[Giá trị sổ sách],
(NOT(ISBLANK(Table_TSCD[Ngày vận hành])))*
(NOT(ISBLANK(Table_TSCD[Ngày thanh lý])))*
(Table_TSCD[Ngày thanh lý] &gt;= DATE(BCTC_Nam,BCTC_Thang+1,1 )-1)*
(Table_TSCD[Ngày kết thúc]&lt; DATE(BCTC_Nam,BCTC_Thang+1,1)-1)
)),0)</f>
        <v>0</v>
      </c>
      <c r="G93" s="240"/>
      <c r="H93" s="362">
        <v>223</v>
      </c>
      <c r="I93" s="72" t="s">
        <v>455</v>
      </c>
      <c r="J93" s="359" cm="1">
        <f t="array" ref="J93" xml:space="preserve"> - IFERROR(SUMPRODUCT(
_xlfn._xlws.FILTER(Table_TSCD[Giá trị khấu hao (tháng)],
(NOT(ISBLANK(Table_TSCD[Ngày vận hành])))*
(ISBLANK(Table_TSCD[Ngày thanh lý]))*
(Table_TSCD[Ngày vận hành] &lt; DATE(J$1+1,1,1)-1) *
(Table_TSCD[Ngày kết thúc] &gt;= DATE(J$1+1,1,1)-1)
),
_xlfn._xlws.FILTER( ROUND((DATE(J$1+1,1,1)-1 - Table_TSCD[Ngày vận hành]) / (365.25/12),0),
(NOT(ISBLANK(Table_TSCD[Ngày vận hành])))*
(ISBLANK(Table_TSCD[Ngày thanh lý]))*
(Table_TSCD[Ngày vận hành] &lt; DATE(J$1+1,1,1)-1) *
(Table_TSCD[Ngày kết thúc] &gt;= DATE(J$1+1,1,1)-1)
)),0)
- IFERROR(
SUM(_xlfn._xlws.FILTER(Table_TSCD[Giá trị sổ sách],
(NOT(ISBLANK(Table_TSCD[Ngày vận hành])))*
(ISBLANK(Table_TSCD[Ngày thanh lý]))*
(Table_TSCD[Ngày kết thúc]&lt; DATE(J$1+1,1,1)-1)
)),0)
 - IFERROR(SUMPRODUCT(
_xlfn._xlws.FILTER(Table_TSCD[Giá trị khấu hao (tháng)],
(NOT(ISBLANK(Table_TSCD[Ngày vận hành])))*
(NOT(ISBLANK(Table_TSCD[Ngày thanh lý])))*
(Table_TSCD[Ngày thanh lý] &gt;= DATE(J$1+1,1,1)-1)*
(Table_TSCD[Ngày vận hành] &lt; DATE(J$1+1,1,1)-1) *
(Table_TSCD[Ngày kết thúc] &gt;= DATE(J$1+1,1,1)-1)
),
_xlfn._xlws.FILTER( ROUND((DATE(J$1+1,1,1)-1 - Table_TSCD[Ngày vận hành]) / (365.25/12),0),
(NOT(ISBLANK(Table_TSCD[Ngày vận hành])))*
(NOT(ISBLANK(Table_TSCD[Ngày thanh lý])))*
(Table_TSCD[Ngày thanh lý] &gt;= DATE(J$1+1,1,1)-1)*
(Table_TSCD[Ngày vận hành] &lt; DATE(J$1+1,1,1)-1) *
(Table_TSCD[Ngày kết thúc] &gt;= DATE(J$1+1,1,1)-1)
)),0)
- IFERROR(
SUM(_xlfn._xlws.FILTER(Table_TSCD[Giá trị sổ sách],
(NOT(ISBLANK(Table_TSCD[Ngày vận hành])))*
(NOT(ISBLANK(Table_TSCD[Ngày thanh lý])))*
(Table_TSCD[Ngày thanh lý] &gt;= DATE(J$1+1,1,1)-1)*
(Table_TSCD[Ngày kết thúc]&lt; DATE(J$1+1,1,1)-1)
)),0)</f>
        <v>0</v>
      </c>
      <c r="K93" s="359" cm="1">
        <f t="array" ref="K93" xml:space="preserve"> - IFERROR(SUMPRODUCT(
_xlfn._xlws.FILTER(Table_TSCD[Giá trị khấu hao (tháng)],
(NOT(ISBLANK(Table_TSCD[Ngày vận hành])))*
(ISBLANK(Table_TSCD[Ngày thanh lý]))*
(Table_TSCD[Ngày vận hành] &lt; DATE(K$1+1,1,1)-1) *
(Table_TSCD[Ngày kết thúc] &gt;= DATE(K$1+1,1,1)-1)
),
_xlfn._xlws.FILTER( ROUND((DATE(K$1+1,1,1)-1 - Table_TSCD[Ngày vận hành]) / (365.25/12),0),
(NOT(ISBLANK(Table_TSCD[Ngày vận hành])))*
(ISBLANK(Table_TSCD[Ngày thanh lý]))*
(Table_TSCD[Ngày vận hành] &lt; DATE(K$1+1,1,1)-1) *
(Table_TSCD[Ngày kết thúc] &gt;= DATE(K$1+1,1,1)-1)
)),0)
- IFERROR(
SUM(_xlfn._xlws.FILTER(Table_TSCD[Giá trị sổ sách],
(NOT(ISBLANK(Table_TSCD[Ngày vận hành])))*
(ISBLANK(Table_TSCD[Ngày thanh lý]))*
(Table_TSCD[Ngày kết thúc]&lt; DATE(K$1+1,1,1)-1)
)),0)
 - IFERROR(SUMPRODUCT(
_xlfn._xlws.FILTER(Table_TSCD[Giá trị khấu hao (tháng)],
(NOT(ISBLANK(Table_TSCD[Ngày vận hành])))*
(NOT(ISBLANK(Table_TSCD[Ngày thanh lý])))*
(Table_TSCD[Ngày thanh lý] &gt;= DATE(K$1+1,1,1)-1)*
(Table_TSCD[Ngày vận hành] &lt; DATE(K$1+1,1,1)-1) *
(Table_TSCD[Ngày kết thúc] &gt;= DATE(K$1+1,1,1)-1)
),
_xlfn._xlws.FILTER( ROUND((DATE(K$1+1,1,1)-1 - Table_TSCD[Ngày vận hành]) / (365.25/12),0),
(NOT(ISBLANK(Table_TSCD[Ngày vận hành])))*
(NOT(ISBLANK(Table_TSCD[Ngày thanh lý])))*
(Table_TSCD[Ngày thanh lý] &gt;= DATE(K$1+1,1,1)-1)*
(Table_TSCD[Ngày vận hành] &lt; DATE(K$1+1,1,1)-1) *
(Table_TSCD[Ngày kết thúc] &gt;= DATE(K$1+1,1,1)-1)
)),0)
- IFERROR(
SUM(_xlfn._xlws.FILTER(Table_TSCD[Giá trị sổ sách],
(NOT(ISBLANK(Table_TSCD[Ngày vận hành])))*
(NOT(ISBLANK(Table_TSCD[Ngày thanh lý])))*
(Table_TSCD[Ngày thanh lý] &gt;= DATE(K$1+1,1,1)-1)*
(Table_TSCD[Ngày kết thúc]&lt; DATE(K$1+1,1,1)-1)
)),0)</f>
        <v>0</v>
      </c>
      <c r="L93" s="240"/>
      <c r="M93" s="362">
        <v>223</v>
      </c>
      <c r="N93" s="72" t="s">
        <v>455</v>
      </c>
      <c r="O93" s="368" cm="1">
        <f t="array" ref="O93" xml:space="preserve"> - IFERROR(SUMPRODUCT(
_xlfn._xlws.FILTER(Table_TSCD[Giá trị khấu hao (tháng)],
(NOT(ISBLANK(Table_TSCD[Ngày vận hành])))*
(ISBLANK(Table_TSCD[Ngày thanh lý]))*
(Table_TSCD[Ngày vận hành] &lt; DATE(YEAR(O$1),MONTH(O$1)+1,1)-1) *
(Table_TSCD[Ngày kết thúc] &gt;= DATE(YEAR(O$1),MONTH(O$1)+1,1)-1)
),
_xlfn._xlws.FILTER( ROUND((DATE(YEAR(O$1),MONTH(O$1)+1,1)-1 - Table_TSCD[Ngày vận hành]) / (365.25/12),0),
(NOT(ISBLANK(Table_TSCD[Ngày vận hành])))*
(ISBLANK(Table_TSCD[Ngày thanh lý]))*
(Table_TSCD[Ngày vận hành] &lt; DATE(YEAR(O$1),MONTH(O$1)+1,1)-1) *
(Table_TSCD[Ngày kết thúc] &gt;= DATE(YEAR(O$1),MONTH(O$1)+1,1)-1)
)),0)
- IFERROR(
SUM(_xlfn._xlws.FILTER(Table_TSCD[Giá trị sổ sách],
(NOT(ISBLANK(Table_TSCD[Ngày vận hành])))*
(ISBLANK(Table_TSCD[Ngày thanh lý]))*
(Table_TSCD[Ngày kết thúc]&lt; DATE(YEAR(O$1),MONTH(O$1)+1,1)-1)
)),0)
 - IFERROR(SUMPRODUCT(
_xlfn._xlws.FILTER(Table_TSCD[Giá trị khấu hao (tháng)],
(NOT(ISBLANK(Table_TSCD[Ngày vận hành])))*
(NOT(ISBLANK(Table_TSCD[Ngày thanh lý])))*
(Table_TSCD[Ngày thanh lý] &gt;= DATE(YEAR(O$1),MONTH(O$1)+1,1 )-1)*
(Table_TSCD[Ngày vận hành] &lt; DATE(YEAR(O$1),MONTH(O$1)+1,1)-1) *
(Table_TSCD[Ngày kết thúc] &gt;= DATE(YEAR(O$1),MONTH(O$1)+1,1)-1)
),
_xlfn._xlws.FILTER( ROUND((DATE(YEAR(O$1),MONTH(O$1)+1,1)-1 - Table_TSCD[Ngày vận hành]) / (365.25/12),0),
(NOT(ISBLANK(Table_TSCD[Ngày vận hành])))*
(NOT(ISBLANK(Table_TSCD[Ngày thanh lý])))*
(Table_TSCD[Ngày thanh lý] &gt;= DATE(YEAR(O$1),MONTH(O$1)+1,1 )-1)*
(Table_TSCD[Ngày vận hành] &lt; DATE(YEAR(O$1),MONTH(O$1)+1,1)-1) *
(Table_TSCD[Ngày kết thúc] &gt;= DATE(YEAR(O$1),MONTH(O$1)+1,1)-1)
)),0)
- IFERROR(
SUM(_xlfn._xlws.FILTER(Table_TSCD[Giá trị sổ sách],
(NOT(ISBLANK(Table_TSCD[Ngày vận hành])))*
(NOT(ISBLANK(Table_TSCD[Ngày thanh lý])))*
(Table_TSCD[Ngày thanh lý] &gt;= DATE(YEAR(O$1),MONTH(O$1)+1,1 )-1)*
(Table_TSCD[Ngày kết thúc]&lt; DATE(YEAR(O$1),MONTH(O$1)+1,1)-1)
)),0)</f>
        <v>0</v>
      </c>
      <c r="P93" s="368" cm="1">
        <f t="array" ref="P93" xml:space="preserve"> - IFERROR(SUMPRODUCT(
_xlfn._xlws.FILTER(Table_TSCD[Giá trị khấu hao (tháng)],
(NOT(ISBLANK(Table_TSCD[Ngày vận hành])))*
(ISBLANK(Table_TSCD[Ngày thanh lý]))*
(Table_TSCD[Ngày vận hành] &lt; DATE(YEAR(P$1),MONTH(P$1)+1,1)-1) *
(Table_TSCD[Ngày kết thúc] &gt;= DATE(YEAR(P$1),MONTH(P$1)+1,1)-1)
),
_xlfn._xlws.FILTER( ROUND((DATE(YEAR(P$1),MONTH(P$1)+1,1)-1 - Table_TSCD[Ngày vận hành]) / (365.25/12),0),
(NOT(ISBLANK(Table_TSCD[Ngày vận hành])))*
(ISBLANK(Table_TSCD[Ngày thanh lý]))*
(Table_TSCD[Ngày vận hành] &lt; DATE(YEAR(P$1),MONTH(P$1)+1,1)-1) *
(Table_TSCD[Ngày kết thúc] &gt;= DATE(YEAR(P$1),MONTH(P$1)+1,1)-1)
)),0)
- IFERROR(
SUM(_xlfn._xlws.FILTER(Table_TSCD[Giá trị sổ sách],
(NOT(ISBLANK(Table_TSCD[Ngày vận hành])))*
(ISBLANK(Table_TSCD[Ngày thanh lý]))*
(Table_TSCD[Ngày kết thúc]&lt; DATE(YEAR(P$1),MONTH(P$1)+1,1)-1)
)),0)
 - IFERROR(SUMPRODUCT(
_xlfn._xlws.FILTER(Table_TSCD[Giá trị khấu hao (tháng)],
(NOT(ISBLANK(Table_TSCD[Ngày vận hành])))*
(NOT(ISBLANK(Table_TSCD[Ngày thanh lý])))*
(Table_TSCD[Ngày thanh lý] &gt;= DATE(YEAR(P$1),MONTH(P$1)+1,1 )-1)*
(Table_TSCD[Ngày vận hành] &lt; DATE(YEAR(P$1),MONTH(P$1)+1,1)-1) *
(Table_TSCD[Ngày kết thúc] &gt;= DATE(YEAR(P$1),MONTH(P$1)+1,1)-1)
),
_xlfn._xlws.FILTER( ROUND((DATE(YEAR(P$1),MONTH(P$1)+1,1)-1 - Table_TSCD[Ngày vận hành]) / (365.25/12),0),
(NOT(ISBLANK(Table_TSCD[Ngày vận hành])))*
(NOT(ISBLANK(Table_TSCD[Ngày thanh lý])))*
(Table_TSCD[Ngày thanh lý] &gt;= DATE(YEAR(P$1),MONTH(P$1)+1,1 )-1)*
(Table_TSCD[Ngày vận hành] &lt; DATE(YEAR(P$1),MONTH(P$1)+1,1)-1) *
(Table_TSCD[Ngày kết thúc] &gt;= DATE(YEAR(P$1),MONTH(P$1)+1,1)-1)
)),0)
- IFERROR(
SUM(_xlfn._xlws.FILTER(Table_TSCD[Giá trị sổ sách],
(NOT(ISBLANK(Table_TSCD[Ngày vận hành])))*
(NOT(ISBLANK(Table_TSCD[Ngày thanh lý])))*
(Table_TSCD[Ngày thanh lý] &gt;= DATE(YEAR(P$1),MONTH(P$1)+1,1 )-1)*
(Table_TSCD[Ngày kết thúc]&lt; DATE(YEAR(P$1),MONTH(P$1)+1,1)-1)
)),0)</f>
        <v>0</v>
      </c>
      <c r="Q93" s="263"/>
      <c r="R93" s="263"/>
      <c r="S93" s="263"/>
      <c r="T93" s="263"/>
      <c r="U93" s="263"/>
      <c r="V93" s="263"/>
      <c r="W93" s="263"/>
      <c r="X93" s="263"/>
      <c r="Y93" s="263"/>
      <c r="Z93" s="263"/>
      <c r="AA93" s="263"/>
      <c r="AB93" s="263"/>
      <c r="AC93" s="263"/>
      <c r="AD93" s="263"/>
      <c r="AE93" s="263"/>
      <c r="AF93" s="263"/>
      <c r="AG93" s="263"/>
      <c r="AH93" s="263"/>
      <c r="AI93" s="263"/>
      <c r="AJ93" s="263"/>
      <c r="AK93" s="263"/>
      <c r="AL93" s="263"/>
      <c r="AM93" s="242"/>
    </row>
    <row r="94" spans="1:39" ht="18" customHeight="1" outlineLevel="2" x14ac:dyDescent="0.15">
      <c r="A94" s="240">
        <f t="shared" si="1"/>
        <v>91</v>
      </c>
      <c r="B94" s="257">
        <v>240</v>
      </c>
      <c r="C94" s="73" t="s">
        <v>456</v>
      </c>
      <c r="D94" s="242" cm="1">
        <f t="array" ref="D94">IFERROR(
SUM(_xlfn._xlws.FILTER(Table_TSCD[Giá trị sổ sách],
(Table_TSCD[Ngày mua] &lt; BCTC_BatDau)*
(ISBLANK(Table_TSCD[Ngày vận hành]))
)),0)
+IFERROR(
SUM(_xlfn._xlws.FILTER(Table_TSCD[Giá trị sổ sách],
(Table_TSCD[Ngày mua] &lt; BCTC_BatDau)*
(Table_TSCD[Ngày vận hành] &gt; BCTC_BatDau)
)),0)</f>
        <v>0</v>
      </c>
      <c r="E94" s="310" cm="1">
        <f t="array" ref="E94" xml:space="preserve">
IFERROR(
SUM(_xlfn._xlws.FILTER(Table_TSCD[Giá trị sổ sách],
(NOT(ISBLANK(Table_TSCD[Ngày vận hành] )))*
(ISBLANK(Table_TSCD[Ngày thanh lý]))*
(Table_TSCD[Ngày mua] &lt; DATE(BCTC_Nam, BCTC_Thang,1))*
(Table_TSCD[Ngày vận hành] &gt;= DATE(BCTC_Nam,BCTC_Thang,1 ))
)), 0)
+ IFERROR(
SUM(_xlfn._xlws.FILTER(Table_TSCD[Giá trị sổ sách],
(Table_TSCD[Ngày mua] &lt; DATE(BCTC_Nam, BCTC_Thang,1))*
(ISBLANK(Table_TSCD[Ngày thanh lý]))*
(ISBLANK(Table_TSCD[Ngày vận hành] ))
)), 0)
+IFERROR(
SUM(_xlfn._xlws.FILTER(Table_TSCD[Giá trị sổ sách],
(NOT(ISBLANK(Table_TSCD[Ngày vận hành] )))*
(NOT(ISBLANK(Table_TSCD[Ngày thanh lý])))*
(Table_TSCD[Ngày mua] &lt; DATE(BCTC_Nam, BCTC_Thang,1))*
(Table_TSCD[Ngày vận hành] &gt;= DATE(BCTC_Nam,BCTC_Thang,1 ))*
(Table_TSCD[Ngày thanh lý] &gt;= DATE(BCTC_Nam,BCTC_Thang,1 ))
)), 0)
+ IFERROR(
SUM(_xlfn._xlws.FILTER(Table_TSCD[Giá trị sổ sách],
(Table_TSCD[Ngày mua] &lt; DATE(BCTC_Nam, BCTC_Thang,1))*
(Table_TSCD[Ngày thanh lý] &gt;= DATE(BCTC_Nam,BCTC_Thang,1 ))*
(NOT(ISBLANK(Table_TSCD[Ngày thanh lý])))*
(ISBLANK(Table_TSCD[Ngày vận hành] ))
)), 0)</f>
        <v>0</v>
      </c>
      <c r="F94" s="242" cm="1">
        <f t="array" ref="F94">IFERROR(
SUM(_xlfn._xlws.FILTER(Table_TSCD[Giá trị sổ sách],
(NOT(ISBLANK(Table_TSCD[Ngày vận hành] ))) *
(ISBLANK(Table_TSCD[Ngày thanh lý]))*
(Table_TSCD[Ngày mua] &lt; DATE(BCTC_Nam, BCTC_Thang+1,1)-1)*
(Table_TSCD[Ngày vận hành] &gt; DATE(BCTC_Nam,BCTC_Thang+1,1 )-1)
)), 0)
+IFERROR(
SUM(_xlfn._xlws.FILTER(Table_TSCD[Giá trị sổ sách],
(Table_TSCD[Ngày mua] &lt; DATE(BCTC_Nam, BCTC_Thang+1,1)-1)*
(ISBLANK(Table_TSCD[Ngày thanh lý]))*
(ISBLANK(Table_TSCD[Ngày vận hành] ))
)), 0)
+IFERROR(
SUM(_xlfn._xlws.FILTER(Table_TSCD[Giá trị sổ sách],
(NOT(ISBLANK(Table_TSCD[Ngày vận hành] ))) *
(NOT(ISBLANK(Table_TSCD[Ngày thanh lý])))*
(Table_TSCD[Ngày mua] &lt; DATE(BCTC_Nam, BCTC_Thang+1,1)-1)*
(Table_TSCD[Ngày vận hành] &gt; DATE(BCTC_Nam,BCTC_Thang+1,1 )-1)*
(Table_TSCD[Ngày thanh lý] &gt; DATE(BCTC_Nam,BCTC_Thang+1,1 )-1)
)), 0)
+IFERROR(
SUM(_xlfn._xlws.FILTER(Table_TSCD[Giá trị sổ sách],
(Table_TSCD[Ngày mua] &lt; DATE(BCTC_Nam, BCTC_Thang+1,1)-1)*
(NOT(ISBLANK(Table_TSCD[Ngày thanh lý])))*
(ISBLANK(Table_TSCD[Ngày vận hành] ))*
(Table_TSCD[Ngày thanh lý] &gt; DATE(BCTC_Nam,BCTC_Thang+1,1 )-1)
)), 0)</f>
        <v>0</v>
      </c>
      <c r="G94" s="240"/>
      <c r="H94" s="257">
        <v>240</v>
      </c>
      <c r="I94" s="73" t="s">
        <v>456</v>
      </c>
      <c r="J94" s="310" cm="1">
        <f t="array" ref="J94">IFERROR(
SUM(_xlfn._xlws.FILTER(Table_TSCD[Giá trị sổ sách],
(NOT(ISBLANK(Table_TSCD[Ngày vận hành] ))) *
(ISBLANK(Table_TSCD[Ngày thanh lý]))*
(Table_TSCD[Ngày mua] &lt; DATE(J$1+1,1,1)-1)*
(Table_TSCD[Ngày vận hành] &gt; DATE(J$1+1,1,1)-1)
)), 0)
+IFERROR(
SUM(_xlfn._xlws.FILTER(Table_TSCD[Giá trị sổ sách],
(Table_TSCD[Ngày mua] &lt; DATE(J$1+1,1,1)-1)*
(ISBLANK(Table_TSCD[Ngày thanh lý]))*
(ISBLANK(Table_TSCD[Ngày vận hành] ))
)), 0)
+IFERROR(
SUM(_xlfn._xlws.FILTER(Table_TSCD[Giá trị sổ sách],
(NOT(ISBLANK(Table_TSCD[Ngày vận hành] ))) *
(NOT(ISBLANK(Table_TSCD[Ngày thanh lý])))*
(Table_TSCD[Ngày mua] &lt; DATE(J$1+1,1,1)-1)*
(Table_TSCD[Ngày vận hành] &gt; DATE(J$1+1,1,1)-1)*
(Table_TSCD[Ngày thanh lý] &gt; DATE(J$1+1,1,1)-1)
)), 0)
+IFERROR(
SUM(_xlfn._xlws.FILTER(Table_TSCD[Giá trị sổ sách],
(Table_TSCD[Ngày mua] &lt; DATE(J$1+1,1,1)-1)*
(Table_TSCD[Ngày thanh lý] &gt; DATE(J$1+1,1,1)-1)*
(NOT(ISBLANK(Table_TSCD[Ngày thanh lý])))*
(ISBLANK(Table_TSCD[Ngày vận hành] ))
)), 0)</f>
        <v>0</v>
      </c>
      <c r="K94" s="310" cm="1">
        <f t="array" ref="K94">IFERROR(
SUM(_xlfn._xlws.FILTER(Table_TSCD[Giá trị sổ sách],
(NOT(ISBLANK(Table_TSCD[Ngày vận hành] ))) *
(ISBLANK(Table_TSCD[Ngày thanh lý]))*
(Table_TSCD[Ngày mua] &lt; DATE(K$1+1,1,1)-1)*
(Table_TSCD[Ngày vận hành] &gt; DATE(K$1+1,1,1)-1)
)), 0)
+IFERROR(
SUM(_xlfn._xlws.FILTER(Table_TSCD[Giá trị sổ sách],
(Table_TSCD[Ngày mua] &lt; DATE(K$1+1,1,1)-1)*
(ISBLANK(Table_TSCD[Ngày thanh lý]))*
(ISBLANK(Table_TSCD[Ngày vận hành] ))
)), 0)
+IFERROR(
SUM(_xlfn._xlws.FILTER(Table_TSCD[Giá trị sổ sách],
(NOT(ISBLANK(Table_TSCD[Ngày vận hành] ))) *
(NOT(ISBLANK(Table_TSCD[Ngày thanh lý])))*
(Table_TSCD[Ngày mua] &lt; DATE(K$1+1,1,1)-1)*
(Table_TSCD[Ngày vận hành] &gt; DATE(K$1+1,1,1)-1)*
(Table_TSCD[Ngày thanh lý] &gt; DATE(K$1+1,1,1)-1)
)), 0)
+IFERROR(
SUM(_xlfn._xlws.FILTER(Table_TSCD[Giá trị sổ sách],
(Table_TSCD[Ngày mua] &lt; DATE(K$1+1,1,1)-1)*
(Table_TSCD[Ngày thanh lý] &gt; DATE(K$1+1,1,1)-1)*
(NOT(ISBLANK(Table_TSCD[Ngày thanh lý])))*
(ISBLANK(Table_TSCD[Ngày vận hành] ))
)), 0)</f>
        <v>0</v>
      </c>
      <c r="L94" s="240"/>
      <c r="M94" s="257">
        <v>240</v>
      </c>
      <c r="N94" s="73" t="s">
        <v>456</v>
      </c>
      <c r="O94" s="242" cm="1">
        <f t="array" ref="O94">IFERROR(
SUM(_xlfn._xlws.FILTER(Table_TSCD[Giá trị sổ sách],
(NOT(ISBLANK(Table_TSCD[Ngày vận hành] ))) *
(ISBLANK(Table_TSCD[Ngày thanh lý]))*
(Table_TSCD[Ngày mua] &lt; DATE(YEAR(O$1),MONTH(O$1)+1,1)-1)*
(Table_TSCD[Ngày vận hành] &gt; DATE(YEAR(O$1),MONTH(O$1)+1,1 )-1)
)), 0)
+IFERROR(
SUM(_xlfn._xlws.FILTER(Table_TSCD[Giá trị sổ sách],
(Table_TSCD[Ngày mua] &lt; DATE(YEAR(O$1),MONTH(O$1)+1,1)-1)*
(ISBLANK(Table_TSCD[Ngày thanh lý]))*
(ISBLANK(Table_TSCD[Ngày vận hành] ))
)), 0)
+IFERROR(
SUM(_xlfn._xlws.FILTER(Table_TSCD[Giá trị sổ sách],
(NOT(ISBLANK(Table_TSCD[Ngày vận hành] ))) *
(NOT(ISBLANK(Table_TSCD[Ngày thanh lý])))*
(Table_TSCD[Ngày mua] &lt; DATE(YEAR(O$1),MONTH(O$1)+1,1)-1)*
(Table_TSCD[Ngày vận hành] &gt; DATE(YEAR(O$1),MONTH(O$1)+1,1 )-1)*
(Table_TSCD[Ngày thanh lý] &gt; DATE(YEAR(O$1),MONTH(O$1)+1,1 )-1)
)), 0)
+IFERROR(
SUM(_xlfn._xlws.FILTER(Table_TSCD[Giá trị sổ sách],
(Table_TSCD[Ngày mua] &lt; DATE(YEAR(O$1),MONTH(O$1)+1,1)-1)*
(Table_TSCD[Ngày thanh lý] &gt; DATE(YEAR(O$1),MONTH(O$1)+1,1 )-1)*
(NOT(ISBLANK(Table_TSCD[Ngày thanh lý])))*
(ISBLANK(Table_TSCD[Ngày vận hành] ))
)), 0)</f>
        <v>0</v>
      </c>
      <c r="P94" s="242" cm="1">
        <f t="array" ref="P94">IFERROR(
SUM(_xlfn._xlws.FILTER(Table_TSCD[Giá trị sổ sách],
(NOT(ISBLANK(Table_TSCD[Ngày vận hành] ))) *
(ISBLANK(Table_TSCD[Ngày thanh lý]))*
(Table_TSCD[Ngày mua] &lt; DATE(YEAR(P$1),MONTH(P$1)+1,1)-1)*
(Table_TSCD[Ngày vận hành] &gt; DATE(YEAR(P$1),MONTH(P$1)+1,1 )-1)
)), 0)
+IFERROR(
SUM(_xlfn._xlws.FILTER(Table_TSCD[Giá trị sổ sách],
(Table_TSCD[Ngày mua] &lt; DATE(YEAR(P$1),MONTH(P$1)+1,1)-1)*
(ISBLANK(Table_TSCD[Ngày thanh lý]))*
(ISBLANK(Table_TSCD[Ngày vận hành] ))
)), 0)
+IFERROR(
SUM(_xlfn._xlws.FILTER(Table_TSCD[Giá trị sổ sách],
(NOT(ISBLANK(Table_TSCD[Ngày vận hành] ))) *
(NOT(ISBLANK(Table_TSCD[Ngày thanh lý])))*
(Table_TSCD[Ngày mua] &lt; DATE(YEAR(P$1),MONTH(P$1)+1,1)-1)*
(Table_TSCD[Ngày vận hành] &gt; DATE(YEAR(P$1),MONTH(P$1)+1,1 )-1)*
(Table_TSCD[Ngày thanh lý] &gt; DATE(YEAR(P$1),MONTH(P$1)+1,1 )-1)
)), 0)
+IFERROR(
SUM(_xlfn._xlws.FILTER(Table_TSCD[Giá trị sổ sách],
(Table_TSCD[Ngày mua] &lt; DATE(YEAR(P$1),MONTH(P$1)+1,1)-1)*
(Table_TSCD[Ngày thanh lý] &gt; DATE(YEAR(P$1),MONTH(P$1)+1,1 )-1)*
(NOT(ISBLANK(Table_TSCD[Ngày thanh lý])))*
(ISBLANK(Table_TSCD[Ngày vận hành] ))
)), 0)</f>
        <v>0</v>
      </c>
      <c r="Q94" s="263"/>
      <c r="R94" s="263"/>
      <c r="S94" s="263"/>
      <c r="T94" s="263"/>
      <c r="U94" s="263"/>
      <c r="V94" s="263"/>
      <c r="W94" s="263"/>
      <c r="X94" s="263"/>
      <c r="Y94" s="263"/>
      <c r="Z94" s="263"/>
      <c r="AA94" s="263"/>
      <c r="AB94" s="263"/>
      <c r="AC94" s="263"/>
      <c r="AD94" s="263"/>
      <c r="AE94" s="263"/>
      <c r="AF94" s="263"/>
      <c r="AG94" s="263"/>
      <c r="AH94" s="263"/>
      <c r="AI94" s="263"/>
      <c r="AJ94" s="263"/>
      <c r="AK94" s="263"/>
      <c r="AL94" s="263"/>
      <c r="AM94" s="242"/>
    </row>
    <row r="95" spans="1:39" ht="18" customHeight="1" outlineLevel="2" x14ac:dyDescent="0.15">
      <c r="A95" s="240">
        <f t="shared" si="1"/>
        <v>92</v>
      </c>
      <c r="B95" s="257">
        <v>250</v>
      </c>
      <c r="C95" s="78" t="s">
        <v>457</v>
      </c>
      <c r="D95" s="242" cm="1">
        <f t="array" ref="D95">IFERROR(
SUM(_xlfn._xlws.FILTER(Table_DauTu[Giá trị đầu tư],
(Table_DauTu[Kỳ đầu tư] &lt; BCTC_BatDau) *
(Table_DauTu[Kỳ đáo hạn] &gt; DATE(YEAR(BCTC_BatDau) + 1, MONTH(BCTC_BatDau), DAY(BCTC_BatDau)))
)),0)
+
IFERROR(
SUM(_xlfn._xlws.FILTER(Table_DauTu[Giá trị đầu tư],
(Table_DauTu[Kỳ đầu tư] &lt; BCTC_BatDau) *
(ISBLANK(Table_DauTu[Thời hạn (tháng)]))
)),0)</f>
        <v>0</v>
      </c>
      <c r="E95" s="310" cm="1">
        <f t="array" ref="E95">IFERROR(
SUM(_xlfn._xlws.FILTER(Table_DauTu[Giá trị đầu tư],
(Table_DauTu[Kỳ đầu tư] &lt; DATE(BCTC_Nam, BCTC_Thang, 1)) *
(Table_DauTu[Kỳ đáo hạn] &gt;  DATE(BCTC_Nam+1, BCTC_Thang, 1))
)),0)
+
IFERROR(
SUM(_xlfn._xlws.FILTER(Table_DauTu[Giá trị đầu tư],
(Table_DauTu[Kỳ đầu tư] &lt; DATE(BCTC_Nam, BCTC_Thang, 1)) *
(ISBLANK(Table_DauTu[Kỳ đáo hạn]))
)),0)</f>
        <v>0</v>
      </c>
      <c r="F95" s="355" cm="1">
        <f t="array" ref="F95">IFERROR(
SUM(_xlfn._xlws.FILTER(Table_DauTu[Giá trị đầu tư],
(Table_DauTu[Kỳ đầu tư] &lt; DATE(BCTC_Nam, BCTC_Thang+1, 1)) *
(Table_DauTu[Kỳ đáo hạn] &gt;  DATE(BCTC_Nam+1, BCTC_Thang+1, 1))
)),0)
+
IFERROR(
SUM(_xlfn._xlws.FILTER(Table_DauTu[Giá trị đầu tư],
(Table_DauTu[Kỳ đầu tư] &lt; DATE(BCTC_Nam, BCTC_Thang+1, 1)) *
(ISBLANK(Table_DauTu[Kỳ đáo hạn]))
)),0)</f>
        <v>0</v>
      </c>
      <c r="G95" s="240"/>
      <c r="H95" s="356">
        <v>250</v>
      </c>
      <c r="I95" s="78" t="s">
        <v>457</v>
      </c>
      <c r="J95" s="310" cm="1">
        <f t="array" ref="J95">IFERROR(
SUM(_xlfn._xlws.FILTER(Table_DauTu[Giá trị đầu tư],
(Table_DauTu[Kỳ đầu tư] &lt; DATE(J$1+1,1, 1)) *
(Table_DauTu[Kỳ đáo hạn] &gt;  DATE(J$1+2,1, 1))
)),0)
+
IFERROR(
SUM(_xlfn._xlws.FILTER(Table_DauTu[Giá trị đầu tư],
(Table_DauTu[Kỳ đầu tư] &lt; DATE(J$1+1,1, 1)) *
(ISBLANK(Table_DauTu[Kỳ đáo hạn]))
)),0)</f>
        <v>0</v>
      </c>
      <c r="K95" s="310" cm="1">
        <f t="array" ref="K95">IFERROR(
SUM(_xlfn._xlws.FILTER(Table_DauTu[Giá trị đầu tư],
(Table_DauTu[Kỳ đầu tư] &lt; DATE(K$1+1,1, 1)) *
(Table_DauTu[Kỳ đáo hạn] &gt;  DATE(K$1+2,1, 1))
)),0)
+
IFERROR(
SUM(_xlfn._xlws.FILTER(Table_DauTu[Giá trị đầu tư],
(Table_DauTu[Kỳ đầu tư] &lt; DATE(K$1+1,1, 1)) *
(ISBLANK(Table_DauTu[Kỳ đáo hạn]))
)),0)</f>
        <v>0</v>
      </c>
      <c r="L95" s="240"/>
      <c r="M95" s="257">
        <v>250</v>
      </c>
      <c r="N95" s="73" t="s">
        <v>457</v>
      </c>
      <c r="O95" s="355" cm="1">
        <f t="array" ref="O95">IFERROR(
SUM(_xlfn._xlws.FILTER(Table_DauTu[Giá trị đầu tư],
(Table_DauTu[Kỳ đầu tư] &lt; DATE(YEAR(O$1),MONTH(O$1)+1, 1)) *
(Table_DauTu[Kỳ đáo hạn] &gt;  DATE(YEAR(O$1)+1,MONTH(O$1)+1, 1))
)),0)
+
IFERROR(
SUM(_xlfn._xlws.FILTER(Table_DauTu[Giá trị đầu tư],
(Table_DauTu[Kỳ đầu tư] &lt; DATE(YEAR(O$1),MONTH(O$1)+1, 1)) *
(ISBLANK(Table_DauTu[Kỳ đáo hạn]))
)),0)</f>
        <v>0</v>
      </c>
      <c r="P95" s="355" cm="1">
        <f t="array" ref="P95">IFERROR(
SUM(_xlfn._xlws.FILTER(Table_DauTu[Giá trị đầu tư],
(Table_DauTu[Kỳ đầu tư] &lt; DATE(YEAR(P$1),MONTH(P$1)+1, 1)) *
(Table_DauTu[Kỳ đáo hạn] &gt;  DATE(YEAR(P$1)+1,MONTH(P$1)+1, 1))
)),0)
+
IFERROR(
SUM(_xlfn._xlws.FILTER(Table_DauTu[Giá trị đầu tư],
(Table_DauTu[Kỳ đầu tư] &lt; DATE(YEAR(P$1),MONTH(P$1)+1, 1)) *
(ISBLANK(Table_DauTu[Kỳ đáo hạn]))
)),0)</f>
        <v>0</v>
      </c>
      <c r="Q95" s="263"/>
      <c r="R95" s="378"/>
      <c r="S95" s="263"/>
      <c r="T95" s="263"/>
      <c r="U95" s="263"/>
      <c r="V95" s="263"/>
      <c r="W95" s="263"/>
      <c r="X95" s="263"/>
      <c r="Y95" s="263"/>
      <c r="Z95" s="263"/>
      <c r="AA95" s="263"/>
      <c r="AB95" s="263"/>
      <c r="AC95" s="263"/>
      <c r="AD95" s="263"/>
      <c r="AE95" s="263"/>
      <c r="AF95" s="263"/>
      <c r="AG95" s="263"/>
      <c r="AH95" s="263"/>
      <c r="AI95" s="263"/>
      <c r="AJ95" s="263"/>
      <c r="AK95" s="263"/>
      <c r="AL95" s="263"/>
      <c r="AM95" s="242"/>
    </row>
    <row r="96" spans="1:39" ht="18" customHeight="1" outlineLevel="2" x14ac:dyDescent="0.15">
      <c r="A96" s="240">
        <f t="shared" si="1"/>
        <v>93</v>
      </c>
      <c r="B96" s="257">
        <v>260</v>
      </c>
      <c r="C96" s="78" t="s">
        <v>458</v>
      </c>
      <c r="D96" s="242">
        <v>0</v>
      </c>
      <c r="E96" s="355">
        <f>+Table_BCTC[[#This Row],[Đầu kỳ]]</f>
        <v>0</v>
      </c>
      <c r="F96" s="355">
        <f>+Table_BCTC[[#This Row],[Đầu kỳ]]</f>
        <v>0</v>
      </c>
      <c r="G96" s="240"/>
      <c r="H96" s="356">
        <v>260</v>
      </c>
      <c r="I96" s="78" t="s">
        <v>458</v>
      </c>
      <c r="J96" s="355"/>
      <c r="K96" s="355"/>
      <c r="L96" s="240"/>
      <c r="M96" s="257">
        <v>260</v>
      </c>
      <c r="N96" s="73" t="s">
        <v>458</v>
      </c>
      <c r="O96" s="355"/>
      <c r="P96" s="355"/>
      <c r="Q96" s="263"/>
      <c r="R96" s="263"/>
      <c r="S96" s="263"/>
      <c r="T96" s="263"/>
      <c r="U96" s="263"/>
      <c r="V96" s="263"/>
      <c r="W96" s="263"/>
      <c r="X96" s="263"/>
      <c r="Y96" s="263"/>
      <c r="Z96" s="263"/>
      <c r="AA96" s="263"/>
      <c r="AB96" s="263"/>
      <c r="AC96" s="263"/>
      <c r="AD96" s="263"/>
      <c r="AE96" s="263"/>
      <c r="AF96" s="263"/>
      <c r="AG96" s="263"/>
      <c r="AH96" s="263"/>
      <c r="AI96" s="263"/>
      <c r="AJ96" s="263"/>
      <c r="AK96" s="263"/>
      <c r="AL96" s="263"/>
      <c r="AM96" s="242"/>
    </row>
    <row r="97" spans="1:39" ht="18" customHeight="1" outlineLevel="1" x14ac:dyDescent="0.15">
      <c r="A97" s="240">
        <f t="shared" si="1"/>
        <v>94</v>
      </c>
      <c r="B97" s="369">
        <v>300</v>
      </c>
      <c r="C97" s="77" t="s">
        <v>459</v>
      </c>
      <c r="D97" s="370">
        <f>+D105+D98</f>
        <v>4050000000</v>
      </c>
      <c r="E97" s="370">
        <f>+E105+E98</f>
        <v>4050000000</v>
      </c>
      <c r="F97" s="370">
        <f>+F105+F98</f>
        <v>4050000000</v>
      </c>
      <c r="G97" s="240"/>
      <c r="H97" s="369">
        <v>300</v>
      </c>
      <c r="I97" s="77" t="s">
        <v>459</v>
      </c>
      <c r="J97" s="370">
        <f>+J105+J98</f>
        <v>717896812.66666663</v>
      </c>
      <c r="K97" s="370">
        <f>+K105+K98</f>
        <v>717896812.66666663</v>
      </c>
      <c r="L97" s="240"/>
      <c r="M97" s="369">
        <v>300</v>
      </c>
      <c r="N97" s="77" t="s">
        <v>459</v>
      </c>
      <c r="O97" s="370">
        <f>+O105+O98</f>
        <v>716666666.66666663</v>
      </c>
      <c r="P97" s="370">
        <f>+P105+P98</f>
        <v>716666666.66666663</v>
      </c>
      <c r="Q97" s="263"/>
      <c r="R97" s="263"/>
      <c r="S97" s="263"/>
      <c r="T97" s="263"/>
      <c r="U97" s="263"/>
      <c r="V97" s="263"/>
      <c r="W97" s="263"/>
      <c r="X97" s="263"/>
      <c r="Y97" s="263"/>
      <c r="Z97" s="263"/>
      <c r="AA97" s="263"/>
      <c r="AB97" s="263"/>
      <c r="AC97" s="263"/>
      <c r="AD97" s="263"/>
      <c r="AE97" s="263"/>
      <c r="AF97" s="263"/>
      <c r="AG97" s="263"/>
      <c r="AH97" s="263"/>
      <c r="AI97" s="263"/>
      <c r="AJ97" s="263"/>
      <c r="AK97" s="263"/>
      <c r="AL97" s="263"/>
      <c r="AM97" s="242"/>
    </row>
    <row r="98" spans="1:39" ht="18" customHeight="1" outlineLevel="2" x14ac:dyDescent="0.15">
      <c r="A98" s="240">
        <f t="shared" si="1"/>
        <v>95</v>
      </c>
      <c r="B98" s="257">
        <v>310</v>
      </c>
      <c r="C98" s="73" t="s">
        <v>460</v>
      </c>
      <c r="D98" s="242">
        <f>+SUM(D99:D104)</f>
        <v>716666666.66666663</v>
      </c>
      <c r="E98" s="242">
        <f>+SUM(E99:E104)</f>
        <v>716666666.66666663</v>
      </c>
      <c r="F98" s="242">
        <f>+SUM(F99:F104)</f>
        <v>716666666.66666663</v>
      </c>
      <c r="G98" s="240"/>
      <c r="H98" s="257">
        <v>310</v>
      </c>
      <c r="I98" s="73" t="s">
        <v>460</v>
      </c>
      <c r="J98" s="242">
        <f>+SUM(J99:J104)</f>
        <v>717896812.66666663</v>
      </c>
      <c r="K98" s="242">
        <f>+SUM(K99:K104)</f>
        <v>717896812.66666663</v>
      </c>
      <c r="L98" s="240"/>
      <c r="M98" s="257">
        <v>310</v>
      </c>
      <c r="N98" s="73" t="s">
        <v>460</v>
      </c>
      <c r="O98" s="242">
        <f>+SUM(O99:O104)</f>
        <v>716666666.66666663</v>
      </c>
      <c r="P98" s="242">
        <f>+SUM(P99:P104)</f>
        <v>716666666.66666663</v>
      </c>
      <c r="Q98" s="263"/>
      <c r="R98" s="263"/>
      <c r="S98" s="263"/>
      <c r="T98" s="263"/>
      <c r="U98" s="263"/>
      <c r="V98" s="263"/>
      <c r="W98" s="263"/>
      <c r="X98" s="263"/>
      <c r="Y98" s="263"/>
      <c r="Z98" s="263"/>
      <c r="AA98" s="263"/>
      <c r="AB98" s="263"/>
      <c r="AC98" s="263"/>
      <c r="AD98" s="263"/>
      <c r="AE98" s="263"/>
      <c r="AF98" s="263"/>
      <c r="AG98" s="263"/>
      <c r="AH98" s="263"/>
      <c r="AI98" s="263"/>
      <c r="AJ98" s="263"/>
      <c r="AK98" s="263"/>
      <c r="AL98" s="263"/>
      <c r="AM98" s="242"/>
    </row>
    <row r="99" spans="1:39" ht="18" customHeight="1" outlineLevel="3" x14ac:dyDescent="0.15">
      <c r="A99" s="240">
        <f t="shared" si="1"/>
        <v>96</v>
      </c>
      <c r="B99" s="362">
        <v>311</v>
      </c>
      <c r="C99" s="72" t="s">
        <v>461</v>
      </c>
      <c r="D99" s="359">
        <f>Sheet_PhaiTra!D2-D106</f>
        <v>0</v>
      </c>
      <c r="E99" s="359">
        <f>Table_BCTC[[#This Row],[Đầu kỳ]]+
IFERROR(
IF(BCTC_Thang = 1,
HLOOKUP(
DATE(BCTC_Nam-1,12,1),Sheet_PhaiTra!$B$1:$XFD$9,Sheet_PhaiTra!$A$2,0
),
HLOOKUP(
DATE(BCTC_Nam,BCTC_Thang-1,1),Sheet_PhaiTra!$B$1:$XFD$9,Sheet_PhaiTra!$A$2,0
)),0)
-E106</f>
        <v>0</v>
      </c>
      <c r="F99" s="368">
        <f>Table_BCTC[[#This Row],[Đầu kỳ]]+
IFERROR(
HLOOKUP(
DATE(BCTC_Nam,BCTC_Thang,1),Sheet_PhaiTra!$B$1:$XFD$9,Sheet_PhaiTra!$A$2,0
),0)
-F106</f>
        <v>0</v>
      </c>
      <c r="G99" s="240"/>
      <c r="H99" s="362">
        <v>311</v>
      </c>
      <c r="I99" s="72" t="s">
        <v>461</v>
      </c>
      <c r="J99" s="359">
        <f>IFERROR(
HLOOKUP(
DATE(J$1,12,1),
Sheet_PhaiTra!$B$1:$XFD$9,Sheet_PhaiTra!$A$2,0
),
IFERROR(
HLOOKUP(
MAX(Sheet_PhaiTra!$D$1:$XFD$1),
Sheet_PhaiTra!$B$1:$XFD$9,Sheet_PhaiTra!$A$2,0
),
0))
-J106</f>
        <v>430146</v>
      </c>
      <c r="K99" s="359">
        <f>IFERROR(
HLOOKUP(
DATE(K$1,12,1),
Sheet_PhaiTra!$B$1:$XFD$9,Sheet_PhaiTra!$A$2,0
),
IFERROR(
HLOOKUP(
MAX(Sheet_PhaiTra!$D$1:$XFD$1),
Sheet_PhaiTra!$B$1:$XFD$9,Sheet_PhaiTra!$A$2,0
),
0))
-K106</f>
        <v>430146</v>
      </c>
      <c r="L99" s="240"/>
      <c r="M99" s="362">
        <v>311</v>
      </c>
      <c r="N99" s="72" t="s">
        <v>461</v>
      </c>
      <c r="O99" s="368">
        <f xml:space="preserve">
IFERROR(
HLOOKUP(
O$1,Sheet_PhaiTra!$B$1:$XFD$9,Sheet_PhaiTra!$A$2,0
),0)
-O106</f>
        <v>0</v>
      </c>
      <c r="P99" s="368">
        <f xml:space="preserve">
IFERROR(
HLOOKUP(
P$1,Sheet_PhaiTra!$B$1:$XFD$9,Sheet_PhaiTra!$A$2,0
),0)
-P106</f>
        <v>0</v>
      </c>
      <c r="Q99" s="263"/>
      <c r="R99" s="263"/>
      <c r="S99" s="263"/>
      <c r="T99" s="263"/>
      <c r="U99" s="263"/>
      <c r="V99" s="263"/>
      <c r="W99" s="263"/>
      <c r="X99" s="263"/>
      <c r="Y99" s="263"/>
      <c r="Z99" s="263"/>
      <c r="AA99" s="263"/>
      <c r="AB99" s="263"/>
      <c r="AC99" s="263"/>
      <c r="AD99" s="263"/>
      <c r="AE99" s="263"/>
      <c r="AF99" s="263"/>
      <c r="AG99" s="263"/>
      <c r="AH99" s="263"/>
      <c r="AI99" s="263"/>
      <c r="AJ99" s="263"/>
      <c r="AK99" s="263"/>
      <c r="AL99" s="263"/>
      <c r="AM99" s="242"/>
    </row>
    <row r="100" spans="1:39" ht="18" customHeight="1" outlineLevel="3" x14ac:dyDescent="0.15">
      <c r="A100" s="240">
        <f t="shared" si="1"/>
        <v>97</v>
      </c>
      <c r="B100" s="362">
        <v>312</v>
      </c>
      <c r="C100" s="72" t="s">
        <v>462</v>
      </c>
      <c r="D100" s="359">
        <f>Sheet_PhaiThu!D4-D107</f>
        <v>0</v>
      </c>
      <c r="E100" s="359">
        <f>Table_BCTC[[#This Row],[Đầu kỳ]]+
IFERROR(
IF(BCTC_Thang = 1,
HLOOKUP(
DATE(BCTC_Nam-1,12,1),Sheet_PhaiThu!$C$1:$XFD$5,Sheet_PhaiThu!$B$4,0
),
HLOOKUP(
DATE(BCTC_Nam,BCTC_Thang-1,1),Sheet_PhaiThu!$C$1:$XFD$5,Sheet_PhaiThu!$B$4,0
)),0)
-E107</f>
        <v>0</v>
      </c>
      <c r="F100" s="368">
        <f>Table_BCTC[[#This Row],[Đầu kỳ]]+
IFERROR(
HLOOKUP(
DATE(BCTC_Nam,BCTC_Thang,1),Sheet_PhaiThu!$C$1:$XFD$5,Sheet_PhaiThu!$B$4,0
),0)
-F107</f>
        <v>0</v>
      </c>
      <c r="G100" s="240"/>
      <c r="H100" s="362">
        <v>312</v>
      </c>
      <c r="I100" s="72" t="s">
        <v>462</v>
      </c>
      <c r="J100" s="359">
        <f>IFERROR(
HLOOKUP(
DATE(J$1,12,1),
Sheet_PhaiThu!$C$1:$XFD$5,Sheet_PhaiThu!$B$4,0
),
IFERROR(
HLOOKUP(
MAX(Sheet_PhaiThu!$D$1:$XFD$1),
Sheet_PhaiThu!$C$1:$XFD$5,Sheet_PhaiThu!$B$4,0
),
0))
-J107</f>
        <v>800000</v>
      </c>
      <c r="K100" s="359">
        <f>IFERROR(
HLOOKUP(
DATE(K$1,12,1),
Sheet_PhaiThu!$C$1:$XFD$5,Sheet_PhaiThu!$B$4,0
),
IFERROR(
HLOOKUP(
MAX(Sheet_PhaiThu!$D$1:$XFD$1),
Sheet_PhaiThu!$C$1:$XFD$5,Sheet_PhaiThu!$B$4,0
),
0))
-K107</f>
        <v>800000</v>
      </c>
      <c r="L100" s="240"/>
      <c r="M100" s="362">
        <v>312</v>
      </c>
      <c r="N100" s="72" t="s">
        <v>462</v>
      </c>
      <c r="O100" s="368">
        <f>IFERROR(
HLOOKUP(
O$1,Sheet_PhaiThu!$C$1:$XFD$5,Sheet_PhaiThu!$B$4,0
),0)
-O107</f>
        <v>0</v>
      </c>
      <c r="P100" s="368">
        <f>IFERROR(
HLOOKUP(
P$1,Sheet_PhaiThu!$C$1:$XFD$5,Sheet_PhaiThu!$B$4,0
),0)
-P107</f>
        <v>0</v>
      </c>
      <c r="Q100" s="263"/>
      <c r="R100" s="263"/>
      <c r="S100" s="263"/>
      <c r="T100" s="263"/>
      <c r="U100" s="263"/>
      <c r="V100" s="263"/>
      <c r="W100" s="263"/>
      <c r="X100" s="263"/>
      <c r="Y100" s="263"/>
      <c r="Z100" s="263"/>
      <c r="AA100" s="263"/>
      <c r="AB100" s="263"/>
      <c r="AC100" s="263"/>
      <c r="AD100" s="263"/>
      <c r="AE100" s="263"/>
      <c r="AF100" s="263"/>
      <c r="AG100" s="263"/>
      <c r="AH100" s="263"/>
      <c r="AI100" s="263"/>
      <c r="AJ100" s="263"/>
      <c r="AK100" s="263"/>
      <c r="AL100" s="263"/>
      <c r="AM100" s="242"/>
    </row>
    <row r="101" spans="1:39" ht="18" customHeight="1" outlineLevel="3" x14ac:dyDescent="0.15">
      <c r="A101" s="240">
        <f t="shared" si="1"/>
        <v>98</v>
      </c>
      <c r="B101" s="362">
        <v>313</v>
      </c>
      <c r="C101" s="72" t="s">
        <v>463</v>
      </c>
      <c r="D101" s="359">
        <v>0</v>
      </c>
      <c r="E101" s="359" cm="1">
        <f t="array" ref="E101">Table_BCTC[[#This Row],[Đầu kỳ]]
+IFERROR(SUM(_xlfn._xlws.FILTER(Table_NopNS[Còn lại],
(Table_NopNS[Ngân sách] &lt;&gt; "Thuế VAT")*
(Table_NopNS[Kỳ] = DATE(BCTC_Nam,BCTC_Thang-1,1))
)),0)
+
IF(BCTC_Thang = 1,0,
IFERROR(SUM(_xlfn._xlws.FILTER(Table_ChiPhiKD[Giá trị],
(ISBLANK(Table_ChiPhiKD[Tháng]))*
(Table_ChiPhiKD[Năm] = BCTC_Nam)*
(Table_ChiPhiKD[Nhóm vendor] = "NSNN")
))*(12-BCTC_Thang+1)/12,0))
+IFERROR(SUM(_xlfn._xlws.FILTER(Table_NopNS[Giá trị tính thuế],
(Table_NopNS[Ngân sách] = "Thuế VAT")*
(Table_NopNS[Kỳ] &lt; DATE(BCTC_Nam,BCTC_Thang,1))
)),0)
-IFERROR(SUM(_xlfn._xlws.FILTER(Table_LaiKhac[Giá trị],
(Table_LaiKhac[Đối tác] = "Thuế VAT")*
(Table_LaiKhac[Kỳ] &lt; DATE(BCTC_Nam,BCTC_Thang,1))
)),0)
-IFERROR(SUM(_xlfn._xlws.FILTER(Table_ThuChiKD[Giá trị GD],
(Table_ThuChiKD[Đối tác] = "Thuế VAT")*
(Table_ThuChiKD[Ngày GD] &lt; DATE(BCTC_Nam, BCTC_Thang,1))
)),0)</f>
        <v>0</v>
      </c>
      <c r="F101" s="368" cm="1">
        <f t="array" ref="F101">Table_BCTC[[#This Row],[Đầu kỳ]]
+IFERROR(SUM(_xlfn._xlws.FILTER(Table_NopNS[Còn lại],
(Table_NopNS[Ngân sách] &lt;&gt; "Thuế VAT")*
(Table_NopNS[Kỳ] = DATE(BCTC_Nam,BCTC_Thang,1))
)),0)
+IFERROR(SUM(_xlfn._xlws.FILTER(Table_ChiPhiKD[Giá trị],
(ISBLANK(Table_ChiPhiKD[Tháng]))*
(Table_ChiPhiKD[Năm] = BCTC_Nam)*
(Table_ChiPhiKD[Nhóm vendor] = "NSNN")
))*(12-BCTC_Thang)/12,0)
+IFERROR(SUM(_xlfn._xlws.FILTER(Table_NopNS[Giá trị tính thuế],
(Table_NopNS[Ngân sách] = "Thuế VAT")*
(Table_NopNS[Kỳ] &lt; DATE(BCTC_Nam,BCTC_Thang+1,1))
)),0)
-IFERROR(SUM(_xlfn._xlws.FILTER(Table_LaiKhac[Giá trị],
(Table_LaiKhac[Đối tác] = "Thuế VAT")*
(Table_LaiKhac[Kỳ] &lt; DATE(BCTC_Nam,BCTC_Thang+1,1)-1)
)),0)
-IFERROR(SUM(_xlfn._xlws.FILTER(Table_ThuChiKD[Giá trị GD],
(Table_ThuChiKD[Đối tác] = "Thuế VAT")*
(Table_ThuChiKD[Ngày GD] &lt; DATE(BCTC_Nam, BCTC_Thang+1,1))
)),0)</f>
        <v>0</v>
      </c>
      <c r="G101" s="240"/>
      <c r="H101" s="362">
        <v>313</v>
      </c>
      <c r="I101" s="72" t="s">
        <v>463</v>
      </c>
      <c r="J101" s="372" cm="1">
        <f t="array" ref="J101">Table_BCTC[[#This Row],[Đầu kỳ]]
+IFERROR(
SUM(
_xlfn._xlws.FILTER(Table_NopNS[Còn lại],
(Table_NopNS[Ngân sách] &lt;&gt; "Thuế VAT")*
(Table_NopNS[Kỳ] = DATE(J$1,12,1))
)),
IFERROR(
SUM(
_xlfn._xlws.FILTER(Table_NopNS[Còn lại],
(Table_NopNS[Ngân sách] &lt;&gt; "Thuế VAT")*
(Table_NopNS[Kỳ] = MAX(Table_NopNS[Kỳ]))
)),
0)
)
+IFERROR(
SUM(
_xlfn._xlws.FILTER(Table_NopNS[Giá trị tính thuế],
(Table_NopNS[Ngân sách] = "Thuế VAT")*
(Table_NopNS[Kỳ] &lt; DATE(J$1+1,1,1))
)),
0)
-IFERROR(
SUM(
_xlfn._xlws.FILTER(Table_LaiKhac[Giá trị],
(Table_LaiKhac[Đối tác] = "Thuế VAT")*
(Table_LaiKhac[Kỳ] &lt; DATE(J$1+1,1,1)-1)
)),
0)
-IFERROR(
SUM(
_xlfn._xlws.FILTER(Table_ThuChiKD[Giá trị GD],
(Table_ThuChiKD[Đối tác] = "Thuế VAT")*
(Table_ThuChiKD[Ngày GD] &lt; DATE(J$1+1,1,1))
)),
0)</f>
        <v>0</v>
      </c>
      <c r="K101" s="372" cm="1">
        <f t="array" ref="K101">Table_BCTC[[#This Row],[Đầu kỳ]]
+IFERROR(
SUM(
_xlfn._xlws.FILTER(Table_NopNS[Còn lại],
(Table_NopNS[Ngân sách] &lt;&gt; "Thuế VAT")*
(Table_NopNS[Kỳ] = DATE(K$1,12,1))
)),
IFERROR(
SUM(
_xlfn._xlws.FILTER(Table_NopNS[Còn lại],
(Table_NopNS[Ngân sách] &lt;&gt; "Thuế VAT")*
(Table_NopNS[Kỳ] = MAX(Table_NopNS[Kỳ]))
)),
0)
)
+IFERROR(
SUM(
_xlfn._xlws.FILTER(Table_NopNS[Giá trị tính thuế],
(Table_NopNS[Ngân sách] = "Thuế VAT")*
(Table_NopNS[Kỳ] &lt; DATE(K$1+1,1,1))
)),
0)
-IFERROR(
SUM(
_xlfn._xlws.FILTER(Table_LaiKhac[Giá trị],
(Table_LaiKhac[Đối tác] = "Thuế VAT")*
(Table_LaiKhac[Kỳ] &lt; DATE(K$1+1,1,1)-1)
)),
0)
-IFERROR(
SUM(
_xlfn._xlws.FILTER(Table_ThuChiKD[Giá trị GD],
(Table_ThuChiKD[Đối tác] = "Thuế VAT")*
(Table_ThuChiKD[Ngày GD] &lt; DATE(K$1+1,1,1))
)),
0)</f>
        <v>0</v>
      </c>
      <c r="L101" s="240"/>
      <c r="M101" s="362">
        <v>313</v>
      </c>
      <c r="N101" s="72" t="s">
        <v>463</v>
      </c>
      <c r="O101" s="368" cm="1">
        <f t="array" ref="O101">Table_BCTC[[#This Row],[Đầu kỳ]]
+IFERROR(SUM(_xlfn._xlws.FILTER(Table_NopNS[Còn lại],
(Table_NopNS[Ngân sách] &lt;&gt; "Thuế VAT")*
(Table_NopNS[Kỳ] = O$1)
)),0)
+IFERROR(SUM(_xlfn._xlws.FILTER(Table_ChiPhiKD[Giá trị],
(ISBLANK(Table_ChiPhiKD[Tháng]))*
(Table_ChiPhiKD[Năm] = YEAR(O$1))*
(Table_ChiPhiKD[Nhóm vendor] = "NSNN")
))*(12-MONTH(O$1))/12,0)
+IFERROR(SUM(_xlfn._xlws.FILTER(Table_NopNS[Giá trị tính thuế],
(Table_NopNS[Ngân sách] = "Thuế VAT")*
(Table_NopNS[Kỳ] &lt; DATE(YEAR(O$1),MONTH(O$1)+1,1))
)),0)
-IFERROR(SUM(_xlfn._xlws.FILTER(Table_LaiKhac[Giá trị],
(Table_LaiKhac[Đối tác] = "Thuế VAT")*
(Table_LaiKhac[Kỳ] &lt; DATE(YEAR(O$1),MONTH(O$1)+1,1)-1)
)),0)
-IFERROR(SUM(_xlfn._xlws.FILTER(Table_ThuChiKD[Giá trị GD],
(Table_ThuChiKD[Đối tác] = "Thuế VAT")*
(Table_ThuChiKD[Ngày GD] &lt; DATE(YEAR(O$1),MONTH(O$1)+1,1))
)),0)</f>
        <v>0</v>
      </c>
      <c r="P101" s="368" cm="1">
        <f t="array" ref="P101">Table_BCTC[[#This Row],[Đầu kỳ]]
+IFERROR(SUM(_xlfn._xlws.FILTER(Table_NopNS[Còn lại],
(Table_NopNS[Ngân sách] &lt;&gt; "Thuế VAT")*
(Table_NopNS[Kỳ] = P$1)
)),0)
+IFERROR(SUM(_xlfn._xlws.FILTER(Table_ChiPhiKD[Giá trị],
(ISBLANK(Table_ChiPhiKD[Tháng]))*
(Table_ChiPhiKD[Năm] = YEAR(P$1))*
(Table_ChiPhiKD[Nhóm vendor] = "NSNN")
))*(12-MONTH(P$1))/12,0)
+IFERROR(SUM(_xlfn._xlws.FILTER(Table_NopNS[Giá trị tính thuế],
(Table_NopNS[Ngân sách] = "Thuế VAT")*
(Table_NopNS[Kỳ] &lt; DATE(YEAR(P$1),MONTH(P$1)+1,1))
)),0)
-IFERROR(SUM(_xlfn._xlws.FILTER(Table_LaiKhac[Giá trị],
(Table_LaiKhac[Đối tác] = "Thuế VAT")*
(Table_LaiKhac[Kỳ] &lt; DATE(YEAR(P$1),MONTH(P$1)+1,1)-1)
)),0)
-IFERROR(SUM(_xlfn._xlws.FILTER(Table_ThuChiKD[Giá trị GD],
(Table_ThuChiKD[Đối tác] = "Thuế VAT")*
(Table_ThuChiKD[Ngày GD] &lt; DATE(YEAR(P$1),MONTH(P$1)+1,1))
)),0)</f>
        <v>0</v>
      </c>
      <c r="Q101" s="263"/>
      <c r="R101" s="263"/>
      <c r="S101" s="263"/>
      <c r="T101" s="263"/>
      <c r="U101" s="263"/>
      <c r="V101" s="263"/>
      <c r="W101" s="263"/>
      <c r="X101" s="263"/>
      <c r="Y101" s="263"/>
      <c r="Z101" s="263"/>
      <c r="AA101" s="263"/>
      <c r="AB101" s="263"/>
      <c r="AC101" s="263"/>
      <c r="AD101" s="263"/>
      <c r="AE101" s="263"/>
      <c r="AF101" s="263"/>
      <c r="AG101" s="263"/>
      <c r="AH101" s="263"/>
      <c r="AI101" s="263"/>
      <c r="AJ101" s="263"/>
      <c r="AK101" s="263"/>
      <c r="AL101" s="263"/>
      <c r="AM101" s="242"/>
    </row>
    <row r="102" spans="1:39" ht="18" customHeight="1" outlineLevel="3" x14ac:dyDescent="0.15">
      <c r="A102" s="240">
        <f t="shared" si="1"/>
        <v>99</v>
      </c>
      <c r="B102" s="362">
        <v>316</v>
      </c>
      <c r="C102" s="72" t="s">
        <v>464</v>
      </c>
      <c r="D102" s="359">
        <f>Sheet_PhaiTra!D6-D108</f>
        <v>0</v>
      </c>
      <c r="E102" s="359">
        <f xml:space="preserve">
IFERROR(
IF(BCTC_Thang = 1,
HLOOKUP(
DATE(BCTC_Nam-1,12,1),Sheet_PhaiTra!$B$1:$XFD$9,Sheet_PhaiTra!$A$6,0
),
HLOOKUP(
DATE(BCTC_Nam,BCTC_Thang-1,1),Sheet_PhaiTra!$B$1:$XFD$9,Sheet_PhaiTra!$A$6,0
)),0)
-E108</f>
        <v>0</v>
      </c>
      <c r="F102" s="368">
        <f xml:space="preserve">
IFERROR(
HLOOKUP(
DATE(BCTC_Nam,BCTC_Thang,1),Sheet_PhaiTra!$B$1:$XFD$9,Sheet_PhaiTra!$A$6,0
),0)
-F108</f>
        <v>0</v>
      </c>
      <c r="G102" s="240"/>
      <c r="H102" s="362">
        <v>316</v>
      </c>
      <c r="I102" s="72" t="s">
        <v>464</v>
      </c>
      <c r="J102" s="359">
        <f>IFERROR(
HLOOKUP(
DATE(J$1,12,1),
Sheet_PhaiTra!$B$1:$XFD$9,Sheet_PhaiTra!$A$6,0
),
IFERROR(
HLOOKUP(
MAX(Sheet_PhaiTra!$D$1:$XFD$1),
Sheet_PhaiTra!$B$1:$XFD$9,Sheet_PhaiTra!$A$6,0
),
0))
-J108</f>
        <v>0</v>
      </c>
      <c r="K102" s="359">
        <f>IFERROR(
HLOOKUP(
DATE(K$1,12,1),
Sheet_PhaiTra!$B$1:$XFD$9,Sheet_PhaiTra!$A$6,0
),
IFERROR(
HLOOKUP(
MAX(Sheet_PhaiTra!$D$1:$XFD$1),
Sheet_PhaiTra!$B$1:$XFD$9,Sheet_PhaiTra!$A$6,0
),
0))
-K108</f>
        <v>0</v>
      </c>
      <c r="L102" s="240"/>
      <c r="M102" s="362">
        <v>316</v>
      </c>
      <c r="N102" s="72" t="s">
        <v>464</v>
      </c>
      <c r="O102" s="368">
        <f xml:space="preserve">
IFERROR(
HLOOKUP(
O$1,Sheet_PhaiTra!$B$1:$XFD$9,Sheet_PhaiTra!$A$6,0
),0)
-O108</f>
        <v>0</v>
      </c>
      <c r="P102" s="368">
        <f xml:space="preserve">
IFERROR(
HLOOKUP(
P$1,Sheet_PhaiTra!$B$1:$XFD$9,Sheet_PhaiTra!$A$6,0
),0)
-P108</f>
        <v>0</v>
      </c>
      <c r="Q102" s="263"/>
      <c r="R102" s="263"/>
      <c r="S102" s="263"/>
      <c r="T102" s="263"/>
      <c r="U102" s="263"/>
      <c r="V102" s="263"/>
      <c r="W102" s="263"/>
      <c r="X102" s="263"/>
      <c r="Y102" s="263"/>
      <c r="Z102" s="263"/>
      <c r="AA102" s="263"/>
      <c r="AB102" s="263"/>
      <c r="AC102" s="263"/>
      <c r="AD102" s="263"/>
      <c r="AE102" s="263"/>
      <c r="AF102" s="263"/>
      <c r="AG102" s="263"/>
      <c r="AH102" s="263"/>
      <c r="AI102" s="263"/>
      <c r="AJ102" s="263"/>
      <c r="AK102" s="263"/>
      <c r="AL102" s="263"/>
      <c r="AM102" s="242"/>
    </row>
    <row r="103" spans="1:39" ht="18" customHeight="1" outlineLevel="3" x14ac:dyDescent="0.15">
      <c r="A103" s="240">
        <f t="shared" si="1"/>
        <v>100</v>
      </c>
      <c r="B103" s="362">
        <v>319</v>
      </c>
      <c r="C103" s="72" t="s">
        <v>465</v>
      </c>
      <c r="D103" s="359">
        <v>0</v>
      </c>
      <c r="E103" s="359">
        <f>+Table_BCTC[[#This Row],[Đầu kỳ]]</f>
        <v>0</v>
      </c>
      <c r="F103" s="368">
        <f>+Table_BCTC[[#This Row],[Đầu kỳ]]</f>
        <v>0</v>
      </c>
      <c r="G103" s="240"/>
      <c r="H103" s="362">
        <v>319</v>
      </c>
      <c r="I103" s="72" t="s">
        <v>465</v>
      </c>
      <c r="J103" s="359"/>
      <c r="K103" s="359"/>
      <c r="L103" s="240"/>
      <c r="M103" s="362">
        <v>319</v>
      </c>
      <c r="N103" s="72" t="s">
        <v>465</v>
      </c>
      <c r="O103" s="368"/>
      <c r="P103" s="368"/>
      <c r="Q103" s="263"/>
      <c r="R103" s="263"/>
      <c r="S103" s="263"/>
      <c r="T103" s="263"/>
      <c r="U103" s="263"/>
      <c r="V103" s="263"/>
      <c r="W103" s="263"/>
      <c r="X103" s="263"/>
      <c r="Y103" s="263"/>
      <c r="Z103" s="263"/>
      <c r="AA103" s="263"/>
      <c r="AB103" s="263"/>
      <c r="AC103" s="263"/>
      <c r="AD103" s="263"/>
      <c r="AE103" s="263"/>
      <c r="AF103" s="263"/>
      <c r="AG103" s="263"/>
      <c r="AH103" s="263"/>
      <c r="AI103" s="263"/>
      <c r="AJ103" s="263"/>
      <c r="AK103" s="263"/>
      <c r="AL103" s="263"/>
      <c r="AM103" s="242"/>
    </row>
    <row r="104" spans="1:39" ht="18" customHeight="1" outlineLevel="3" x14ac:dyDescent="0.15">
      <c r="A104" s="240">
        <f t="shared" si="1"/>
        <v>101</v>
      </c>
      <c r="B104" s="362">
        <v>320</v>
      </c>
      <c r="C104" s="72" t="s">
        <v>466</v>
      </c>
      <c r="D104" s="359" cm="1">
        <f t="array" ref="D104">IFERROR(
SUMPRODUCT(
_xlfn._xlws.FILTER(Table_VayNo[Trả gốc hàng kỳ],
(NOT(ISBLANK(Table_VayNo[Thời hạn (tháng)])))*
(Table_VayNo[Kết thúc trả gốc]&lt;=BCTC_BatDau+365)),
_xlfn._xlws.FILTER(ROUNDUP((Table_VayNo[Kết thúc trả gốc] - BCTC_BatDau)/(365.25/12),0),
(NOT(ISBLANK(Table_VayNo[Thời hạn (tháng)])))*
(Table_VayNo[Kết thúc trả gốc]&lt;=BCTC_BatDau+365))),
0)
+IFERROR(
SUMPRODUCT(
_xlfn._xlws.FILTER(Table_VayNo[Trả gốc hàng kỳ],
(ISBLANK(Table_VayNo[Thời hạn (tháng)]))*
(Table_VayNo[Kết thúc trả gốc]&lt;=BCTC_BatDau+365)),
_xlfn._xlws.FILTER(ROUNDUP((Table_VayNo[Kết thúc trả gốc] - BCTC_BatDau)/(365.25),0),
(ISBLANK(Table_VayNo[Thời hạn (tháng)]))*
(Table_VayNo[Kết thúc trả gốc]&lt;=BCTC_BatDau+365))),
0)
+IFERROR(
SUM(
_xlfn._xlws.FILTER(Table_VayNo[Giá trị vay],
(Table_VayNo[Tần suất trả nợ] = "Một lần")*
(Table_VayNo[Ngày vay] &lt;= BCTC_BatDau)*
(Table_VayNo[Kết thúc trả gốc]&gt;BCTC_BatDau)*
(Table_VayNo[Kết thúc trả gốc]&lt;BCTC_BatDau+365))),
0)</f>
        <v>716666666.66666663</v>
      </c>
      <c r="E104" s="359" cm="1">
        <f t="array" ref="E104">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&lt; DATE(BCTC_Nam+1,BCTC_Thang,1))*
(Table_ThuChiTC[Ngày GD] &lt; DATE(BCTC_Nam,BCTC_Thang,1))
 )),0)
+IFERROR(
SUM(_xlfn._xlws.FILTER(Table_VayNo_LichTra[Lãi vay],
(NOT(ISBLANK(Table_VayNo_LichTra[Tháng]))) *
(Table_VayNo_LichTra[Kỳ] &lt; DATE(BCTC_Nam, BCTC_Thang,1))
)),0)
+IFERROR(
SUM(_xlfn._xlws.FILTER(Table_VayNo_LichTra[Lãi vay],
(ISBLANK(Table_VayNo_LichTra[Tháng])) *
(Table_VayNo_LichTra[Năm] &lt; BCTC_Nam)
)),0)
+IFERROR(
SUM(_xlfn._xlws.FILTER(Table_VayNo_LichTra[Lãi vay],
(ISBLANK(Table_VayNo_LichTra[Tháng])) *
(Table_VayNo_LichTra[Năm] = BCTC_Nam)
))*(BCTC_Thang-1)/12,0)
-IFERROR(
SUM(_xlfn._xlws.FILTER(Table_ThuChiTC[Giá trị GD],
(Table_ThuChiTC[Nội dung GD] =  "Tiền trả lãi vay") *
(Table_ThuChiTC[Loại GD] = "CHI") *
(Table_ThuChiTC[Ngày GD] &lt; DATE(BCTC_Nam, BCTC_Thang, 1))
)),0)
+IFERROR(
SUM(_xlfn._xlws.FILTER(Table_ThuChiTC[Giá trị GD],
(Table_ThuChiTC[Nội dung GD] =  "Tiền trả lãi vay") *
(Table_ThuChiTC[Loại GD] = "THU") *
(Table_ThuChiTC[Ngày GD] &lt; DATE(BCTC_Nam, BCTC_Thang, 1))
)),0)</f>
        <v>716666666.66666663</v>
      </c>
      <c r="F104" s="368" cm="1">
        <f t="array" ref="F104">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DATE(BCTC_Nam+1,BCTC_Thang+1,1)-1)*
(Table_ThuChiTC[Ngày GD] &lt; DATE(BCTC_Nam,BCTC_Thang+1,1))
 )),0)
-IFERROR(
SUM(_xlfn._xlws.FILTER(Table_ThuChiTC[Giá trị GD],
(Table_ThuChiTC[Nội dung GD] = "Thu chi từ biến động gốc vay, thuê tài chính") *
(Table_ThuChiTC[Loại GD] = "CHI") *
(NOT(ISBLANK(Table_ThuChiTC[Ngày đáo hạn])))*
(Table_ThuChiTC[Ngày đáo hạn] &lt; DATE(BCTC_Nam+1,BCTC_Thang+1,1)-1)*
(Table_ThuChiTC[Ngày GD] &lt; DATE(BCTC_Nam,BCTC_Thang+1,1))
 )),0)
+IFERROR(
SUM(_xlfn._xlws.FILTER(Table_VayNo_LichTra[Lãi vay],
(NOT(ISBLANK(Table_VayNo_LichTra[Tháng]))) *
(Table_VayNo_LichTra[Kỳ] &lt; DATE(BCTC_Nam, BCTC_Thang+1,1))
)),0)
+IFERROR(
SUM(_xlfn._xlws.FILTER(Table_VayNo_LichTra[Lãi vay],
(ISBLANK(Table_VayNo_LichTra[Tháng])) *
(Table_VayNo_LichTra[Năm] &lt; BCTC_Nam)
)),0)
+IFERROR(
SUM(_xlfn._xlws.FILTER(Table_VayNo_LichTra[Lãi vay],
(ISBLANK(Table_VayNo_LichTra[Tháng])) *
(Table_VayNo_LichTra[Năm] = BCTC_Nam)
))*BCTC_Thang/12,0)
-IFERROR(
SUM(_xlfn._xlws.FILTER(Table_ThuChiTC[Giá trị GD],
(Table_ThuChiTC[Nội dung GD] = "Tiền trả lãi vay") *
(Table_ThuChiTC[Loại GD] = "CHI") *
(Table_ThuChiTC[Ngày GD] &lt; DATE(BCTC_Nam, BCTC_Thang+1, 1))
)),0)
+IFERROR(
SUM(_xlfn._xlws.FILTER(Table_ThuChiTC[Giá trị GD],
(Table_ThuChiTC[Nội dung GD] = "Tiền trả lãi vay") *
(Table_ThuChiTC[Loại GD] = "THU") *
(Table_ThuChiTC[Ngày GD] &lt; DATE(BCTC_Nam, BCTC_Thang+1, 1))
)),0)</f>
        <v>716666666.66666663</v>
      </c>
      <c r="G104" s="240"/>
      <c r="H104" s="362">
        <v>320</v>
      </c>
      <c r="I104" s="72" t="s">
        <v>466</v>
      </c>
      <c r="J104" s="359" cm="1">
        <f t="array" ref="J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&lt; DATE(J$1+2,1,1)-1)*
(Table_ThuChiTC[Ngày GD] &lt; DATE(J$1+1,1,1))
 )),
 0)
+IFERROR(
SUM(
_xlfn._xlws.FILTER(Table_VayNo_LichTra[Lãi vay],
(Table_VayNo_LichTra[Kỳ] &lt; DATE(J$1+1,1,1))
)),
0)
-IFERROR(
SUM(
_xlfn._xlws.FILTER(Table_ThuChiTC[Giá trị GD],
(Table_ThuChiTC[Nội dung GD] = "Tiền trả lãi vay") *
(Table_ThuChiTC[Loại GD] = "CHI") *
(Table_ThuChiTC[Ngày GD] &lt; DATE(J$1+1,1, 1))
)),
0)
+IFERROR(
SUM(
_xlfn._xlws.FILTER(Table_ThuChiTC[Giá trị GD],
(Table_ThuChiTC[Nội dung GD] = "Tiền trả lãi vay") *
(Table_ThuChiTC[Loại GD] = "THU") *
(Table_ThuChiTC[Ngày GD] &lt; DATE(J$1+1,1, 1))
)),
0)</f>
        <v>716666666.66666663</v>
      </c>
      <c r="K104" s="359" cm="1">
        <f t="array" ref="K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&lt; DATE(K$1+2,1,1)-1)*
(Table_ThuChiTC[Ngày GD] &lt; DATE(K$1+1,1,1))
 )),
 0)
+IFERROR(
SUM(
_xlfn._xlws.FILTER(Table_VayNo_LichTra[Lãi vay],
(Table_VayNo_LichTra[Kỳ] &lt; DATE(K$1+1,1,1))
)),
0)
-IFERROR(
SUM(
_xlfn._xlws.FILTER(Table_ThuChiTC[Giá trị GD],
(Table_ThuChiTC[Nội dung GD] = "Tiền trả lãi vay") *
(Table_ThuChiTC[Loại GD] = "CHI") *
(Table_ThuChiTC[Ngày GD] &lt; DATE(K$1+1,1, 1))
)),
0)
+IFERROR(
SUM(
_xlfn._xlws.FILTER(Table_ThuChiTC[Giá trị GD],
(Table_ThuChiTC[Nội dung GD] = "Tiền trả lãi vay") *
(Table_ThuChiTC[Loại GD] = "THU") *
(Table_ThuChiTC[Ngày GD] &lt; DATE(K$1+1,1, 1))
)),
0)</f>
        <v>716666666.66666663</v>
      </c>
      <c r="L104" s="240"/>
      <c r="M104" s="362">
        <v>320</v>
      </c>
      <c r="N104" s="72" t="s">
        <v>466</v>
      </c>
      <c r="O104" s="368" cm="1">
        <f t="array" ref="O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 &lt; DATE(YEAR(O$1)+1,MONTH(O$1)+1,1)-1)*
(Table_ThuChiTC[Ngày GD] &lt; DATE(YEAR(O$1),MONTH(O$1)+1,1))
 )),
 0)
+IFERROR(
SUM(
_xlfn._xlws.FILTER(Table_VayNo_LichTra[Lãi vay],
(Table_VayNo_LichTra[Kỳ] &lt; DATE(YEAR(O$1),MONTH(O$1)+1,1))*
(NOT(ISBLANK(Table_VayNo_LichTra[Tháng])))
)),
0)
+IFERROR(
SUM(
_xlfn._xlws.FILTER(Table_VayNo_LichTra[Lãi vay],
(Table_VayNo_LichTra[Năm] &lt; YEAR(M$1))*
(ISBLANK(Table_VayNo_LichTra[Tháng]))
)),
0)
+IFERROR(
SUMPRODUCT(
_xlfn._xlws.FILTER(Table_VayNo_LichTra[Lãi vay],
(Table_VayNo_LichTra[Năm] = YEAR(M$1)) *
(ISBLANK(Table_VayNo_LichTra[Tháng]))
),
_xlfn._xlws.FILTER(
IF(
VLOOKUP(
Table_VayNo_LichTra[Khoản vay],
Table_VayNo[],
COUNTA(Table_VayNo[[#Headers],[Mã khoản vay]:[Ngày vay]]),
0) &lt;
DATE(YEAR(M$1),1,1),
MONTH(M$1),
MONTH(M$1)
- MONTH(
VLOOKUP(
Table_VayNo_LichTra[Khoản vay],
Table_VayNo[],
COUNTA(Table_VayNo[[#Headers],[Mã khoản vay]:[Ngày vay]]),
0)
)
),
(Table_VayNo_LichTra[Năm] = YEAR(M$1)) *
(ISBLANK(Table_VayNo_LichTra[Tháng]))
),
_xlfn._xlws.FILTER(
IF(
VLOOKUP(
Table_VayNo_LichTra[Khoản vay],
Table_VayNo[],
COUNTA(Table_VayNo[[#Headers],[Mã khoản vay]:[Kết thúc trả gốc]]),
0) &gt;=
DATE(YEAR(M$1)+1,1,1),
12,
MONTH(
VLOOKUP(
Table_VayNo_LichTra[Khoản vay],
Table_VayNo[],
COUNTA(Table_VayNo[[#Headers],[Mã khoản vay]:[Kết thúc trả gốc]]),
0)
)
)-IF(
VLOOKUP(
Table_VayNo_LichTra[Khoản vay],
Table_VayNo[],
COUNTA(Table_VayNo[[#Headers],[Mã khoản vay]:[Ngày vay]]),
0) &lt;
DATE(YEAR(M$1),1,1),
0,
MONTH(
VLOOKUP(
Table_VayNo_LichTra[Khoản vay],
Table_VayNo[],
COUNTA(Table_VayNo[[#Headers],[Mã khoản vay]:[Ngày vay]]),
0)
)
),
(Table_VayNo_LichTra[Năm] = YEAR(M$1)) *
(ISBLANK(Table_VayNo_LichTra[Tháng]))
)
),
0)
-IFERROR(
SUM(
_xlfn._xlws.FILTER(Table_ThuChiTC[Giá trị GD],
(Table_ThuChiTC[Nội dung GD] = "Tiền trả lãi vay") *
(Table_ThuChiTC[Loại GD] = "CHI") *
(Table_ThuChiTC[Ngày GD] &lt; DATE(YEAR(O$1),MONTH(O$1)+1, 1))
)),
0)
+IFERROR(
SUM(
_xlfn._xlws.FILTER(Table_ThuChiTC[Giá trị GD],
(Table_ThuChiTC[Nội dung GD] = "Tiền trả lãi vay") *
(Table_ThuChiTC[Loại GD] = "THU") *
(Table_ThuChiTC[Ngày GD] &lt; DATE(YEAR(O$1),MONTH(O$1)+1, 1))
)),
0)</f>
        <v>716666666.66666663</v>
      </c>
      <c r="P104" s="368" cm="1">
        <f t="array" ref="P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 &lt; DATE(YEAR(P$1)+1,MONTH(P$1)+1,1)-1)*
(Table_ThuChiTC[Ngày GD] &lt; DATE(YEAR(P$1),MONTH(P$1)+1,1))
 )),
 0)
+IFERROR(
SUM(
_xlfn._xlws.FILTER(Table_VayNo_LichTra[Lãi vay],
(Table_VayNo_LichTra[Kỳ] &lt; DATE(YEAR(P$1),MONTH(P$1)+1,1))*
(NOT(ISBLANK(Table_VayNo_LichTra[Tháng])))
)),
0)
+IFERROR(
SUM(
_xlfn._xlws.FILTER(Table_VayNo_LichTra[Lãi vay],
(Table_VayNo_LichTra[Năm] &lt; YEAR(N$1))*
(ISBLANK(Table_VayNo_LichTra[Tháng]))
)),
0)
+IFERROR(
SUMPRODUCT(
_xlfn._xlws.FILTER(Table_VayNo_LichTra[Lãi vay],
(Table_VayNo_LichTra[Năm] = YEAR(N$1)) *
(ISBLANK(Table_VayNo_LichTra[Tháng]))
),
_xlfn._xlws.FILTER(
IF(
VLOOKUP(
Table_VayNo_LichTra[Khoản vay],
Table_VayNo[],
COUNTA(Table_VayNo[[#Headers],[Mã khoản vay]:[Ngày vay]]),
0) &lt;
DATE(YEAR(N$1),1,1),
MONTH(N$1),
MONTH(N$1)
- MONTH(
VLOOKUP(
Table_VayNo_LichTra[Khoản vay],
Table_VayNo[],
COUNTA(Table_VayNo[[#Headers],[Mã khoản vay]:[Ngày vay]]),
0)
)
),
(Table_VayNo_LichTra[Năm] = YEAR(N$1)) *
(ISBLANK(Table_VayNo_LichTra[Tháng]))
),
_xlfn._xlws.FILTER(
IF(
VLOOKUP(
Table_VayNo_LichTra[Khoản vay],
Table_VayNo[],
COUNTA(Table_VayNo[[#Headers],[Mã khoản vay]:[Kết thúc trả gốc]]),
0) &gt;=
DATE(YEAR(N$1)+1,1,1),
12,
MONTH(
VLOOKUP(
Table_VayNo_LichTra[Khoản vay],
Table_VayNo[],
COUNTA(Table_VayNo[[#Headers],[Mã khoản vay]:[Kết thúc trả gốc]]),
0)
)
)-IF(
VLOOKUP(
Table_VayNo_LichTra[Khoản vay],
Table_VayNo[],
COUNTA(Table_VayNo[[#Headers],[Mã khoản vay]:[Ngày vay]]),
0) &lt;
DATE(YEAR(N$1),1,1),
0,
MONTH(
VLOOKUP(
Table_VayNo_LichTra[Khoản vay],
Table_VayNo[],
COUNTA(Table_VayNo[[#Headers],[Mã khoản vay]:[Ngày vay]]),
0)
)
),
(Table_VayNo_LichTra[Năm] = YEAR(N$1)) *
(ISBLANK(Table_VayNo_LichTra[Tháng]))
)
),
0)
-IFERROR(
SUM(
_xlfn._xlws.FILTER(Table_ThuChiTC[Giá trị GD],
(Table_ThuChiTC[Nội dung GD] = "Tiền trả lãi vay") *
(Table_ThuChiTC[Loại GD] = "CHI") *
(Table_ThuChiTC[Ngày GD] &lt; DATE(YEAR(P$1),MONTH(P$1)+1, 1))
)),
0)
+IFERROR(
SUM(
_xlfn._xlws.FILTER(Table_ThuChiTC[Giá trị GD],
(Table_ThuChiTC[Nội dung GD] = "Tiền trả lãi vay") *
(Table_ThuChiTC[Loại GD] = "THU") *
(Table_ThuChiTC[Ngày GD] &lt; DATE(YEAR(P$1),MONTH(P$1)+1, 1))
)),
0)</f>
        <v>716666666.66666663</v>
      </c>
      <c r="Q104" s="263"/>
      <c r="R104" s="263"/>
      <c r="S104" s="263"/>
      <c r="T104" s="263"/>
      <c r="U104" s="263"/>
      <c r="V104" s="263"/>
      <c r="W104" s="263"/>
      <c r="X104" s="263"/>
      <c r="Y104" s="263"/>
      <c r="Z104" s="263"/>
      <c r="AA104" s="263"/>
      <c r="AB104" s="263"/>
      <c r="AC104" s="263"/>
      <c r="AD104" s="263"/>
      <c r="AE104" s="263"/>
      <c r="AF104" s="263"/>
      <c r="AG104" s="263"/>
      <c r="AH104" s="263"/>
      <c r="AI104" s="263"/>
      <c r="AJ104" s="263"/>
      <c r="AK104" s="263"/>
      <c r="AL104" s="263"/>
      <c r="AM104" s="242"/>
    </row>
    <row r="105" spans="1:39" ht="18" customHeight="1" outlineLevel="2" x14ac:dyDescent="0.15">
      <c r="A105" s="240">
        <f t="shared" si="1"/>
        <v>102</v>
      </c>
      <c r="B105" s="257">
        <v>320</v>
      </c>
      <c r="C105" s="73" t="s">
        <v>467</v>
      </c>
      <c r="D105" s="242">
        <f>+SUM(D106:D110)</f>
        <v>3333333333.3333335</v>
      </c>
      <c r="E105" s="242">
        <f>+SUM(E106:E110)</f>
        <v>3333333333.3333335</v>
      </c>
      <c r="F105" s="242">
        <f>+SUM(F106:F110)</f>
        <v>3333333333.3333335</v>
      </c>
      <c r="G105" s="240"/>
      <c r="H105" s="257">
        <v>320</v>
      </c>
      <c r="I105" s="73" t="s">
        <v>467</v>
      </c>
      <c r="J105" s="242">
        <f>+SUM(J106:J110)</f>
        <v>0</v>
      </c>
      <c r="K105" s="242">
        <f>+SUM(K106:K110)</f>
        <v>0</v>
      </c>
      <c r="L105" s="240"/>
      <c r="M105" s="257">
        <v>320</v>
      </c>
      <c r="N105" s="73" t="s">
        <v>467</v>
      </c>
      <c r="O105" s="242">
        <f>+SUM(O106:O110)</f>
        <v>0</v>
      </c>
      <c r="P105" s="242">
        <f>+SUM(P106:P110)</f>
        <v>0</v>
      </c>
      <c r="Q105" s="263"/>
      <c r="R105" s="263"/>
      <c r="S105" s="263"/>
      <c r="T105" s="263"/>
      <c r="U105" s="263"/>
      <c r="V105" s="263"/>
      <c r="W105" s="263"/>
      <c r="X105" s="263"/>
      <c r="Y105" s="263"/>
      <c r="Z105" s="263"/>
      <c r="AA105" s="263"/>
      <c r="AB105" s="263"/>
      <c r="AC105" s="263"/>
      <c r="AD105" s="263"/>
      <c r="AE105" s="263"/>
      <c r="AF105" s="263"/>
      <c r="AG105" s="263"/>
      <c r="AH105" s="263"/>
      <c r="AI105" s="263"/>
      <c r="AJ105" s="263"/>
      <c r="AK105" s="263"/>
      <c r="AL105" s="263"/>
      <c r="AM105" s="242"/>
    </row>
    <row r="106" spans="1:39" ht="18" customHeight="1" outlineLevel="3" x14ac:dyDescent="0.15">
      <c r="A106" s="240">
        <f t="shared" si="1"/>
        <v>103</v>
      </c>
      <c r="B106" s="362">
        <v>331</v>
      </c>
      <c r="C106" s="72" t="s">
        <v>468</v>
      </c>
      <c r="D106" s="359">
        <f>Sheet_PhaiTra!D3</f>
        <v>0</v>
      </c>
      <c r="E106" s="359">
        <f xml:space="preserve">
IFERROR(
IF(BCTC_Thang = 1,
HLOOKUP(
DATE(BCTC_Nam-1,12,1),Sheet_PhaiTra!$B$1:$XFD$9,Sheet_PhaiTra!$A$3,0
),
HLOOKUP(
DATE(BCTC_Nam,BCTC_Thang-1,1),Sheet_PhaiTra!$B$1:$XFD$9,Sheet_PhaiTra!$A$3,0
)),0)</f>
        <v>0</v>
      </c>
      <c r="F106" s="368">
        <f xml:space="preserve">
IFERROR(
HLOOKUP(
DATE(BCTC_Nam,BCTC_Thang,1),Sheet_PhaiTra!$B$1:$XFD$9,Sheet_PhaiTra!$A$3,0
),0)</f>
        <v>0</v>
      </c>
      <c r="G106" s="240"/>
      <c r="H106" s="362">
        <v>331</v>
      </c>
      <c r="I106" s="72" t="s">
        <v>468</v>
      </c>
      <c r="J106" s="359">
        <f>IFERROR(
HLOOKUP(
DATE(J$1,12,1),
Sheet_PhaiTra!$B$1:$XFD$9,Sheet_PhaiTra!$A$3,0
),
IFERROR(
HLOOKUP(
MAX(Sheet_PhaiTra!$D$1:$XFD$1),
Sheet_PhaiTra!$B$1:$XFD$9,Sheet_PhaiTra!$A$3,0
),
0))</f>
        <v>0</v>
      </c>
      <c r="K106" s="359">
        <f>IFERROR(
HLOOKUP(
DATE(K$1,12,1),
Sheet_PhaiTra!$B$1:$XFD$9,Sheet_PhaiTra!$A$3,0
),
IFERROR(
HLOOKUP(
MAX(Sheet_PhaiTra!$D$1:$XFD$1),
Sheet_PhaiTra!$B$1:$XFD$9,Sheet_PhaiTra!$A$3,0
),
0))</f>
        <v>0</v>
      </c>
      <c r="L106" s="240"/>
      <c r="M106" s="362">
        <v>331</v>
      </c>
      <c r="N106" s="72" t="s">
        <v>468</v>
      </c>
      <c r="O106" s="368">
        <f xml:space="preserve">
IFERROR(
HLOOKUP(
O$1,Sheet_PhaiTra!$B$1:$XFD$9,Sheet_PhaiTra!$A$3,0
),0)</f>
        <v>0</v>
      </c>
      <c r="P106" s="368">
        <f xml:space="preserve">
IFERROR(
HLOOKUP(
P$1,Sheet_PhaiTra!$B$1:$XFD$9,Sheet_PhaiTra!$A$3,0
),0)</f>
        <v>0</v>
      </c>
      <c r="Q106" s="263"/>
      <c r="R106" s="263"/>
      <c r="S106" s="263"/>
      <c r="T106" s="263"/>
      <c r="U106" s="263"/>
      <c r="V106" s="263"/>
      <c r="W106" s="263"/>
      <c r="X106" s="263"/>
      <c r="Y106" s="263"/>
      <c r="Z106" s="263"/>
      <c r="AA106" s="263"/>
      <c r="AB106" s="263"/>
      <c r="AC106" s="263"/>
      <c r="AD106" s="263"/>
      <c r="AE106" s="263"/>
      <c r="AF106" s="263"/>
      <c r="AG106" s="263"/>
      <c r="AH106" s="263"/>
      <c r="AI106" s="263"/>
      <c r="AJ106" s="263"/>
      <c r="AK106" s="263"/>
      <c r="AL106" s="263"/>
      <c r="AM106" s="242"/>
    </row>
    <row r="107" spans="1:39" ht="18" customHeight="1" outlineLevel="3" x14ac:dyDescent="0.15">
      <c r="A107" s="240">
        <f t="shared" si="1"/>
        <v>104</v>
      </c>
      <c r="B107" s="362">
        <v>332</v>
      </c>
      <c r="C107" s="72" t="s">
        <v>469</v>
      </c>
      <c r="D107" s="359">
        <f>Sheet_PhaiThu!D5</f>
        <v>0</v>
      </c>
      <c r="E107" s="359">
        <f xml:space="preserve">
IFERROR(
IF(BCTC_Thang = 1,
HLOOKUP(
DATE(BCTC_Nam-1,12,1),Sheet_PhaiThu!$C$1:$XFD$5,Sheet_PhaiThu!$B$5,0
),
HLOOKUP(
DATE(BCTC_Nam,BCTC_Thang-1,1),Sheet_PhaiThu!$C$1:$XFD$5,Sheet_PhaiThu!$B$5,0
)),0)</f>
        <v>0</v>
      </c>
      <c r="F107" s="368">
        <f xml:space="preserve">
IFERROR(
HLOOKUP(
DATE(BCTC_Nam,BCTC_Thang,1),Sheet_PhaiThu!$C$1:$XFD$5,Sheet_PhaiThu!$B$5,0
),0)</f>
        <v>0</v>
      </c>
      <c r="G107" s="240"/>
      <c r="H107" s="362">
        <v>332</v>
      </c>
      <c r="I107" s="72" t="s">
        <v>469</v>
      </c>
      <c r="J107" s="359">
        <f>IFERROR(
HLOOKUP(
DATE(J$1,12,1),
Sheet_PhaiThu!$C$1:$XFD$5,Sheet_PhaiThu!$B$5,0
),
IFERROR(
HLOOKUP(
MAX(Sheet_PhaiThu!$D$1:$XFD$1),
Sheet_PhaiThu!$C$1:$XFD$5,Sheet_PhaiThu!$B$5,0
),
0))</f>
        <v>0</v>
      </c>
      <c r="K107" s="359">
        <f>IFERROR(
HLOOKUP(
DATE(K$1,12,1),
Sheet_PhaiThu!$C$1:$XFD$5,Sheet_PhaiThu!$B$5,0
),
IFERROR(
HLOOKUP(
MAX(Sheet_PhaiThu!$D$1:$XFD$1),
Sheet_PhaiThu!$C$1:$XFD$5,Sheet_PhaiThu!$B$5,0
),
0))</f>
        <v>0</v>
      </c>
      <c r="L107" s="240"/>
      <c r="M107" s="362">
        <v>332</v>
      </c>
      <c r="N107" s="72" t="s">
        <v>469</v>
      </c>
      <c r="O107" s="368">
        <f>IFERROR(
HLOOKUP(
O$1,Sheet_PhaiThu!$C$1:$XFD$5,Sheet_PhaiThu!$B$5,0
),0)</f>
        <v>0</v>
      </c>
      <c r="P107" s="368">
        <f>IFERROR(
HLOOKUP(
P$1,Sheet_PhaiThu!$C$1:$XFD$5,Sheet_PhaiThu!$B$5,0
),0)</f>
        <v>0</v>
      </c>
      <c r="Q107" s="263"/>
      <c r="R107" s="263"/>
      <c r="S107" s="263"/>
      <c r="T107" s="263"/>
      <c r="U107" s="263"/>
      <c r="V107" s="263"/>
      <c r="W107" s="263"/>
      <c r="X107" s="263"/>
      <c r="Y107" s="263"/>
      <c r="Z107" s="263"/>
      <c r="AA107" s="263"/>
      <c r="AB107" s="263"/>
      <c r="AC107" s="263"/>
      <c r="AD107" s="263"/>
      <c r="AE107" s="263"/>
      <c r="AF107" s="263"/>
      <c r="AG107" s="263"/>
      <c r="AH107" s="263"/>
      <c r="AI107" s="263"/>
      <c r="AJ107" s="263"/>
      <c r="AK107" s="263"/>
      <c r="AL107" s="263"/>
      <c r="AM107" s="242"/>
    </row>
    <row r="108" spans="1:39" ht="18" customHeight="1" outlineLevel="3" x14ac:dyDescent="0.15">
      <c r="A108" s="240">
        <f t="shared" si="1"/>
        <v>105</v>
      </c>
      <c r="B108" s="362">
        <v>335</v>
      </c>
      <c r="C108" s="72" t="s">
        <v>470</v>
      </c>
      <c r="D108" s="359">
        <f>Sheet_PhaiTra!D7</f>
        <v>0</v>
      </c>
      <c r="E108" s="359">
        <f xml:space="preserve">
IFERROR(
IF(BCTC_Thang = 1,
HLOOKUP(
DATE(BCTC_Nam-1,12,1),Sheet_PhaiTra!$B$1:$XFD$9,Sheet_PhaiTra!$A$7,0
),
HLOOKUP(
DATE(BCTC_Nam,BCTC_Thang-1,1),Sheet_PhaiTra!$B$1:$XFD$9,Sheet_PhaiTra!$A$7,0
)),0)</f>
        <v>0</v>
      </c>
      <c r="F108" s="368">
        <f xml:space="preserve">
IFERROR(
HLOOKUP(
DATE(BCTC_Nam,BCTC_Thang,1),Sheet_PhaiTra!$B$1:$XFD$9,Sheet_PhaiTra!$A$7,0
),0)</f>
        <v>0</v>
      </c>
      <c r="G108" s="240"/>
      <c r="H108" s="362">
        <v>335</v>
      </c>
      <c r="I108" s="72" t="s">
        <v>470</v>
      </c>
      <c r="J108" s="359">
        <f>IFERROR(
HLOOKUP(
DATE(J$1,12,1),
Sheet_PhaiTra!$B$1:$XFD$9,Sheet_PhaiTra!$A$7,0
),
IFERROR(
HLOOKUP(
MAX(Sheet_PhaiTra!$D$1:$XFD$1),
Sheet_PhaiTra!$B$1:$XFD$9,Sheet_PhaiTra!$A$7,0
),
0))</f>
        <v>0</v>
      </c>
      <c r="K108" s="359">
        <f>IFERROR(
HLOOKUP(
DATE(K$1,12,1),
Sheet_PhaiTra!$B$1:$XFD$9,Sheet_PhaiTra!$A$7,0
),
IFERROR(
HLOOKUP(
MAX(Sheet_PhaiTra!$D$1:$XFD$1),
Sheet_PhaiTra!$B$1:$XFD$9,Sheet_PhaiTra!$A$7,0
),
0))</f>
        <v>0</v>
      </c>
      <c r="L108" s="240"/>
      <c r="M108" s="362">
        <v>335</v>
      </c>
      <c r="N108" s="72" t="s">
        <v>470</v>
      </c>
      <c r="O108" s="368">
        <f xml:space="preserve">
IFERROR(
HLOOKUP(
O$1,Sheet_PhaiTra!$B$1:$XFD$9,Sheet_PhaiTra!$A$7,0
),0)</f>
        <v>0</v>
      </c>
      <c r="P108" s="368">
        <f xml:space="preserve">
IFERROR(
HLOOKUP(
P$1,Sheet_PhaiTra!$B$1:$XFD$9,Sheet_PhaiTra!$A$7,0
),0)</f>
        <v>0</v>
      </c>
      <c r="Q108" s="263"/>
      <c r="R108" s="263"/>
      <c r="S108" s="263"/>
      <c r="T108" s="263"/>
      <c r="U108" s="263"/>
      <c r="V108" s="263"/>
      <c r="W108" s="263"/>
      <c r="X108" s="263"/>
      <c r="Y108" s="263"/>
      <c r="Z108" s="263"/>
      <c r="AA108" s="263"/>
      <c r="AB108" s="263"/>
      <c r="AC108" s="263"/>
      <c r="AD108" s="263"/>
      <c r="AE108" s="263"/>
      <c r="AF108" s="263"/>
      <c r="AG108" s="263"/>
      <c r="AH108" s="263"/>
      <c r="AI108" s="263"/>
      <c r="AJ108" s="263"/>
      <c r="AK108" s="263"/>
      <c r="AL108" s="263"/>
      <c r="AM108" s="242"/>
    </row>
    <row r="109" spans="1:39" ht="18" customHeight="1" outlineLevel="3" x14ac:dyDescent="0.15">
      <c r="A109" s="240">
        <f t="shared" si="1"/>
        <v>106</v>
      </c>
      <c r="B109" s="362">
        <v>337</v>
      </c>
      <c r="C109" s="72" t="s">
        <v>471</v>
      </c>
      <c r="D109" s="359">
        <v>0</v>
      </c>
      <c r="E109" s="359">
        <f>+Table_BCTC[[#This Row],[Đầu kỳ]]</f>
        <v>0</v>
      </c>
      <c r="F109" s="368">
        <f>+Table_BCTC[[#This Row],[Đầu kỳ]]</f>
        <v>0</v>
      </c>
      <c r="G109" s="240"/>
      <c r="H109" s="362">
        <v>337</v>
      </c>
      <c r="I109" s="72" t="s">
        <v>471</v>
      </c>
      <c r="J109" s="359"/>
      <c r="K109" s="359"/>
      <c r="L109" s="240"/>
      <c r="M109" s="362">
        <v>337</v>
      </c>
      <c r="N109" s="72" t="s">
        <v>471</v>
      </c>
      <c r="O109" s="368"/>
      <c r="P109" s="368"/>
      <c r="Q109" s="263"/>
      <c r="R109" s="373"/>
      <c r="S109" s="263"/>
      <c r="T109" s="263"/>
      <c r="U109" s="263"/>
      <c r="V109" s="263"/>
      <c r="W109" s="263"/>
      <c r="X109" s="263"/>
      <c r="Y109" s="263"/>
      <c r="Z109" s="263"/>
      <c r="AA109" s="263"/>
      <c r="AB109" s="263"/>
      <c r="AC109" s="263"/>
      <c r="AD109" s="263"/>
      <c r="AE109" s="263"/>
      <c r="AF109" s="263"/>
      <c r="AG109" s="263"/>
      <c r="AH109" s="263"/>
      <c r="AI109" s="263"/>
      <c r="AJ109" s="263"/>
      <c r="AK109" s="263"/>
      <c r="AL109" s="263"/>
      <c r="AM109" s="242"/>
    </row>
    <row r="110" spans="1:39" ht="18" customHeight="1" outlineLevel="3" x14ac:dyDescent="0.15">
      <c r="A110" s="240">
        <f t="shared" si="1"/>
        <v>107</v>
      </c>
      <c r="B110" s="362">
        <v>338</v>
      </c>
      <c r="C110" s="72" t="s">
        <v>472</v>
      </c>
      <c r="D110" s="359" cm="1">
        <f t="array" ref="D110">IFERROR(
SUMPRODUCT(
_xlfn._xlws.FILTER(Table_VayNo[Trả gốc hàng kỳ],
(NOT(ISBLANK(Table_VayNo[Thời hạn (tháng)])))*
(Table_VayNo[Kết thúc trả gốc]&gt;BCTC_BatDau+365)),
_xlfn._xlws.FILTER(ROUNDUP((Table_VayNo[Kết thúc trả gốc] - BCTC_BatDau)/(365.25/12),0),
(NOT(ISBLANK(Table_VayNo[Thời hạn (tháng)])))*
(Table_VayNo[Kết thúc trả gốc]&gt;BCTC_BatDau+365))),
0)
+IFERROR(
SUMPRODUCT(
_xlfn._xlws.FILTER(Table_VayNo[Trả gốc hàng kỳ],
(ISBLANK(Table_VayNo[Thời hạn (tháng)]))*
(Table_VayNo[Kết thúc trả gốc]&gt;BCTC_BatDau+365)),
_xlfn._xlws.FILTER(ROUNDUP((Table_VayNo[Kết thúc trả gốc] - BCTC_BatDau)/(365.25),0),
(ISBLANK(Table_VayNo[Thời hạn (tháng)]))*
(Table_VayNo[Kết thúc trả gốc]&gt;BCTC_BatDau+365))),
0)
+IFERROR(
SUM(
_xlfn._xlws.FILTER(Table_VayNo[Giá trị vay],
(Table_VayNo[Tần suất trả nợ] = "Một lần")*
(Table_VayNo[Ngày vay] &lt;= BCTC_BatDau)*
(Table_VayNo[Kết thúc trả gốc]&gt;BCTC_BatDau+365))),
0)</f>
        <v>3333333333.3333335</v>
      </c>
      <c r="E110" s="359" cm="1">
        <f t="array" ref="E110">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&gt;= DATE(BCTC_Nam+1,BCTC_Thang,1))*
(Table_ThuChiTC[Ngày GD] &lt; DATE(BCTC_Nam,BCTC_Thang,1))
 )),0)</f>
        <v>3333333333.3333335</v>
      </c>
      <c r="F110" s="368" cm="1">
        <f t="array" ref="F110">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DATE(BCTC_Nam+1,BCTC_Thang+1,1)-1) *
(Table_ThuChiTC[Ngày GD] &lt; DATE(BCTC_Nam,BCTC_Thang +1,1))
 )),0)
-IFERROR(
SUM(_xlfn._xlws.FILTER(Table_ThuChiTC[Giá trị GD],
(Table_ThuChiTC[Nội dung GD] = "Thu chi từ biến động gốc vay, thuê tài chính") *
(Table_ThuChiTC[Loại GD] = "CHI") *
(NOT(ISBLANK(Table_ThuChiTC[Ngày đáo hạn])))*
(Table_ThuChiTC[Ngày đáo hạn] &gt;= DATE(BCTC_Nam+1,BCTC_Thang+1,1)-1)*
(Table_ThuChiTC[Ngày GD] &lt; DATE(BCTC_Nam,BCTC_Thang +1,1))
 )),0)</f>
        <v>3333333333.3333335</v>
      </c>
      <c r="G110" s="240"/>
      <c r="H110" s="362">
        <v>338</v>
      </c>
      <c r="I110" s="72" t="s">
        <v>472</v>
      </c>
      <c r="J110" s="359" cm="1">
        <f t="array" ref="J110">+ IFERROR(
SUM(
_xlfn._xlws.FILTER(Table_ThuChiTC[Giá trị GD],
(Table_ThuChiTC[Nội dung GD] = "Thu chi từ biến động gốc vay, thuê tài chính") *
(Table_ThuChiTC[Loại GD] = "THU") *
(NOT(ISBLANK(Table_ThuChiTC[Ngày đáo hạn])))*
(Table_ThuChiTC[Ngày đáo hạn] &gt;=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&gt;= DATE(J$1+2,1,1)-1)*
(Table_ThuChiTC[Ngày GD] &lt; DATE(J$1+1,1,1))
 )),
 0)</f>
        <v>0</v>
      </c>
      <c r="K110" s="359" cm="1">
        <f t="array" ref="K110">+ IFERROR(
SUM(
_xlfn._xlws.FILTER(Table_ThuChiTC[Giá trị GD],
(Table_ThuChiTC[Nội dung GD] = "Thu chi từ biến động gốc vay, thuê tài chính") *
(Table_ThuChiTC[Loại GD] = "THU") *
(NOT(ISBLANK(Table_ThuChiTC[Ngày đáo hạn])))*
(Table_ThuChiTC[Ngày đáo hạn] &gt;=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&gt;= DATE(K$1+2,1,1)-1)*
(Table_ThuChiTC[Ngày GD] &lt; DATE(K$1+1,1,1))
 )),
 0)</f>
        <v>0</v>
      </c>
      <c r="L110" s="240"/>
      <c r="M110" s="362">
        <v>338</v>
      </c>
      <c r="N110" s="72" t="s">
        <v>472</v>
      </c>
      <c r="O110" s="368" cm="1">
        <f t="array" ref="O110" xml:space="preserve">
+ IFERROR(
SUM(
_xlfn._xlws.FILTER(Table_ThuChiTC[Giá trị GD],
(Table_ThuChiTC[Nội dung GD] = "Thu chi từ biến động gốc vay, thuê tài chính") *
(Table_ThuChiTC[Loại GD] = "THU") *
(NOT(ISBLANK(Table_ThuChiTC[Ngày đáo hạn])))*
(Table_ThuChiTC[Ngày đáo hạn] &gt;=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hạn]&gt;=DATE(YEAR(O$1)+1,MONTH(O$1)+1,1)-1)*
(Table_ThuChiTC[Ngày GD] &lt; DATE(YEAR(O$1),MONTH(O$1)+1,1))
 )),
 0)</f>
        <v>0</v>
      </c>
      <c r="P110" s="368" cm="1">
        <f t="array" ref="P110" xml:space="preserve">
+ IFERROR(
SUM(
_xlfn._xlws.FILTER(Table_ThuChiTC[Giá trị GD],
(Table_ThuChiTC[Nội dung GD] = "Thu chi từ biến động gốc vay, thuê tài chính") *
(Table_ThuChiTC[Loại GD] = "THU") *
(NOT(ISBLANK(Table_ThuChiTC[Ngày đáo hạn])))*
(Table_ThuChiTC[Ngày đáo hạn] &gt;=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hạn]&gt;=DATE(YEAR(P$1)+1,MONTH(P$1)+1,1)-1)*
(Table_ThuChiTC[Ngày GD] &lt; DATE(YEAR(P$1),MONTH(P$1)+1,1))
 )),
 0)</f>
        <v>0</v>
      </c>
      <c r="Q110" s="263"/>
      <c r="R110" s="240"/>
      <c r="S110" s="263"/>
      <c r="T110" s="263"/>
      <c r="U110" s="263"/>
      <c r="V110" s="263"/>
      <c r="W110" s="263"/>
      <c r="X110" s="263"/>
      <c r="Y110" s="263"/>
      <c r="Z110" s="263"/>
      <c r="AA110" s="263"/>
      <c r="AB110" s="263"/>
      <c r="AC110" s="263"/>
      <c r="AD110" s="263"/>
      <c r="AE110" s="263"/>
      <c r="AF110" s="263"/>
      <c r="AG110" s="263"/>
      <c r="AH110" s="263"/>
      <c r="AI110" s="263"/>
      <c r="AJ110" s="263"/>
      <c r="AK110" s="263"/>
      <c r="AL110" s="263"/>
      <c r="AM110" s="242"/>
    </row>
    <row r="111" spans="1:39" ht="18" customHeight="1" outlineLevel="1" x14ac:dyDescent="0.15">
      <c r="A111" s="240">
        <f t="shared" si="1"/>
        <v>108</v>
      </c>
      <c r="B111" s="369">
        <v>400</v>
      </c>
      <c r="C111" s="77" t="s">
        <v>473</v>
      </c>
      <c r="D111" s="370">
        <f>+D112+D117</f>
        <v>0</v>
      </c>
      <c r="E111" s="370">
        <f>+E112+E117</f>
        <v>0</v>
      </c>
      <c r="F111" s="370">
        <f>+F112+F117</f>
        <v>0</v>
      </c>
      <c r="G111" s="240"/>
      <c r="H111" s="369">
        <v>400</v>
      </c>
      <c r="I111" s="77" t="s">
        <v>473</v>
      </c>
      <c r="J111" s="370">
        <f>+J112+J117</f>
        <v>0</v>
      </c>
      <c r="K111" s="370">
        <f>+K112+K117</f>
        <v>0</v>
      </c>
      <c r="L111" s="240"/>
      <c r="M111" s="369">
        <v>400</v>
      </c>
      <c r="N111" s="77" t="s">
        <v>473</v>
      </c>
      <c r="O111" s="370">
        <f>+O112+O117</f>
        <v>0</v>
      </c>
      <c r="P111" s="370">
        <f>+P112+P117</f>
        <v>0</v>
      </c>
      <c r="Q111" s="263"/>
      <c r="R111" s="264"/>
      <c r="S111" s="263"/>
      <c r="T111" s="263"/>
      <c r="U111" s="263"/>
      <c r="V111" s="263"/>
      <c r="W111" s="263"/>
      <c r="X111" s="263"/>
      <c r="Y111" s="263"/>
      <c r="Z111" s="263"/>
      <c r="AA111" s="263"/>
      <c r="AB111" s="263"/>
      <c r="AC111" s="263"/>
      <c r="AD111" s="263"/>
      <c r="AE111" s="263"/>
      <c r="AF111" s="263"/>
      <c r="AG111" s="263"/>
      <c r="AH111" s="263"/>
      <c r="AI111" s="263"/>
      <c r="AJ111" s="263"/>
      <c r="AK111" s="263"/>
      <c r="AL111" s="263"/>
      <c r="AM111" s="242"/>
    </row>
    <row r="112" spans="1:39" ht="18" customHeight="1" outlineLevel="2" x14ac:dyDescent="0.15">
      <c r="A112" s="240">
        <f t="shared" si="1"/>
        <v>109</v>
      </c>
      <c r="B112" s="257">
        <v>410</v>
      </c>
      <c r="C112" s="73" t="s">
        <v>474</v>
      </c>
      <c r="D112" s="242">
        <f>+SUM(D113:D115)</f>
        <v>0</v>
      </c>
      <c r="E112" s="242">
        <f>+SUM(E113:E116)</f>
        <v>0</v>
      </c>
      <c r="F112" s="242">
        <f>+SUM(F113:F116)</f>
        <v>0</v>
      </c>
      <c r="G112" s="240"/>
      <c r="H112" s="257">
        <v>410</v>
      </c>
      <c r="I112" s="73" t="s">
        <v>474</v>
      </c>
      <c r="J112" s="242">
        <f>+SUM(J113:J116)</f>
        <v>0</v>
      </c>
      <c r="K112" s="242">
        <f>+SUM(K113:K116)</f>
        <v>0</v>
      </c>
      <c r="L112" s="240"/>
      <c r="M112" s="257">
        <v>410</v>
      </c>
      <c r="N112" s="73" t="s">
        <v>474</v>
      </c>
      <c r="O112" s="242">
        <f>+SUM(O113:O116)</f>
        <v>0</v>
      </c>
      <c r="P112" s="242">
        <f>+SUM(P113:P116)</f>
        <v>0</v>
      </c>
      <c r="Q112" s="263"/>
      <c r="R112" s="262"/>
      <c r="S112" s="263"/>
      <c r="T112" s="263"/>
      <c r="U112" s="263"/>
      <c r="V112" s="263"/>
      <c r="W112" s="263"/>
      <c r="X112" s="263"/>
      <c r="Y112" s="263"/>
      <c r="Z112" s="263"/>
      <c r="AA112" s="263"/>
      <c r="AB112" s="263"/>
      <c r="AC112" s="263"/>
      <c r="AD112" s="263"/>
      <c r="AE112" s="263"/>
      <c r="AF112" s="263"/>
      <c r="AG112" s="263"/>
      <c r="AH112" s="263"/>
      <c r="AI112" s="263"/>
      <c r="AJ112" s="263"/>
      <c r="AK112" s="263"/>
      <c r="AL112" s="263"/>
      <c r="AM112" s="242"/>
    </row>
    <row r="113" spans="1:39" ht="18" customHeight="1" outlineLevel="3" x14ac:dyDescent="0.15">
      <c r="A113" s="240">
        <f t="shared" si="1"/>
        <v>110</v>
      </c>
      <c r="B113" s="362">
        <v>411</v>
      </c>
      <c r="C113" s="72" t="s">
        <v>475</v>
      </c>
      <c r="D113" s="359">
        <f>SUM(Table_CoDong[Vốn góp ban đầu])</f>
        <v>0</v>
      </c>
      <c r="E113" s="359" cm="1">
        <f t="array" ref="E113">Table_BCTC[[#This Row],[Đầu kỳ]]+
IFERROR(
SUM(_xlfn._xlws.FILTER(Table_ThuChiTC[Giá trị GD],
(Table_ThuChiTC[Nội dung GD] = Sheet_ThuChiTC!$F$8) *
(Table_ThuChiTC[Loại GD] = "THU") *
(Table_ThuChiTC[Ngày GD] &lt; DATE(BCTC_Nam, BCTC_Thang,1))
)),0)
-IFERROR(
SUM(_xlfn._xlws.FILTER(Table_ThuChiTC[Giá trị GD],
(Table_ThuChiTC[Nội dung GD] = Sheet_ThuChiTC!$F$8) *
(Table_ThuChiTC[Loại GD] = "CHI") *
(Table_ThuChiTC[Ngày GD] &lt; DATE(BCTC_Nam, BCTC_Thang,1))
)),0)</f>
        <v>0</v>
      </c>
      <c r="F113" s="368" cm="1">
        <f t="array" ref="F113">Table_BCTC[[#This Row],[Đầu kỳ]]+
IFERROR(
SUM(_xlfn._xlws.FILTER(Table_ThuChiTC[Giá trị GD],
(Table_ThuChiTC[Nội dung GD] = Sheet_ThuChiTC!$F$8) *
(Table_ThuChiTC[Loại GD] = "THU") *
(Table_ThuChiTC[Ngày GD] &lt; DATE(BCTC_Nam, BCTC_Thang+1,1))
)),0)
-IFERROR(
SUM(_xlfn._xlws.FILTER(Table_ThuChiTC[Giá trị GD],
(Table_ThuChiTC[Nội dung GD] = Sheet_ThuChiTC!$F$8) *
(Table_ThuChiTC[Loại GD] = "CHI") *
(Table_ThuChiTC[Ngày GD] &lt; DATE(BCTC_Nam, BCTC_Thang+1,1))
)),0)</f>
        <v>0</v>
      </c>
      <c r="G113" s="240"/>
      <c r="H113" s="362">
        <v>411</v>
      </c>
      <c r="I113" s="72" t="s">
        <v>475</v>
      </c>
      <c r="J113" s="359" cm="1">
        <f t="array" ref="J113">Table_BCTC[[#This Row],[Đầu kỳ]]+
IFERROR(
SUM(_xlfn._xlws.FILTER(Table_ThuChiTC[Giá trị GD],
(Table_ThuChiTC[Nội dung GD] = "Thu chi từ biến động cổ phiếu, vốn góp") *
(Table_ThuChiTC[Loại GD] = "THU") *
(Table_ThuChiTC[Ngày GD] &lt; DATE(J$1+1,1,1))
)),0)
-IFERROR(
SUM(_xlfn._xlws.FILTER(Table_ThuChiTC[Giá trị GD],
(Table_ThuChiTC[Nội dung GD] = "Thu chi từ biến động cổ phiếu, vốn góp") *
(Table_ThuChiTC[Loại GD] = "CHI") *
(Table_ThuChiTC[Ngày GD] &lt; DATE(J$1+1,1,1))
)),0)</f>
        <v>0</v>
      </c>
      <c r="K113" s="359" cm="1">
        <f t="array" ref="K113">Table_BCTC[[#This Row],[Đầu kỳ]]+
IFERROR(
SUM(_xlfn._xlws.FILTER(Table_ThuChiTC[Giá trị GD],
(Table_ThuChiTC[Nội dung GD] = "Thu chi từ biến động cổ phiếu, vốn góp") *
(Table_ThuChiTC[Loại GD] = "THU") *
(Table_ThuChiTC[Ngày GD] &lt; DATE(K$1+1,1,1))
)),0)
-IFERROR(
SUM(_xlfn._xlws.FILTER(Table_ThuChiTC[Giá trị GD],
(Table_ThuChiTC[Nội dung GD] = "Thu chi từ biến động cổ phiếu, vốn góp") *
(Table_ThuChiTC[Loại GD] = "CHI") *
(Table_ThuChiTC[Ngày GD] &lt; DATE(K$1+1,1,1))
)),0)</f>
        <v>0</v>
      </c>
      <c r="L113" s="240"/>
      <c r="M113" s="362">
        <v>411</v>
      </c>
      <c r="N113" s="72" t="s">
        <v>475</v>
      </c>
      <c r="O113" s="368" cm="1">
        <f t="array" ref="O113">Table_BCTC[[#This Row],[Đầu kỳ]]+
IFERROR(
SUM(_xlfn._xlws.FILTER(Table_ThuChiTC[Giá trị GD],
(Table_ThuChiTC[Nội dung GD] = "Thu chi từ biến động cổ phiếu, vốn góp") *
(Table_ThuChiTC[Loại GD] = "THU") *
(Table_ThuChiTC[Ngày GD] &lt; DATE(YEAR(O$1),MONTH(O$1)+1,1))
)),0)
-IFERROR(
SUM(_xlfn._xlws.FILTER(Table_ThuChiTC[Giá trị GD],
(Table_ThuChiTC[Nội dung GD] = "Thu chi từ biến động cổ phiếu, vốn góp") *
(Table_ThuChiTC[Loại GD] = "CHI") *
(Table_ThuChiTC[Ngày GD] &lt; DATE(YEAR(O$1),MONTH(O$1)+1,1))
)),0)</f>
        <v>0</v>
      </c>
      <c r="P113" s="368" cm="1">
        <f t="array" ref="P113">Table_BCTC[[#This Row],[Đầu kỳ]]+
IFERROR(
SUM(_xlfn._xlws.FILTER(Table_ThuChiTC[Giá trị GD],
(Table_ThuChiTC[Nội dung GD] = "Thu chi từ biến động cổ phiếu, vốn góp") *
(Table_ThuChiTC[Loại GD] = "THU") *
(Table_ThuChiTC[Ngày GD] &lt; DATE(YEAR(P$1),MONTH(P$1)+1,1))
)),0)
-IFERROR(
SUM(_xlfn._xlws.FILTER(Table_ThuChiTC[Giá trị GD],
(Table_ThuChiTC[Nội dung GD] = "Thu chi từ biến động cổ phiếu, vốn góp") *
(Table_ThuChiTC[Loại GD] = "CHI") *
(Table_ThuChiTC[Ngày GD] &lt; DATE(YEAR(P$1),MONTH(P$1)+1,1))
)),0)</f>
        <v>0</v>
      </c>
      <c r="Q113" s="263"/>
      <c r="R113" s="262"/>
      <c r="S113" s="263"/>
      <c r="T113" s="263"/>
      <c r="U113" s="263"/>
      <c r="V113" s="263"/>
      <c r="W113" s="263"/>
      <c r="X113" s="263"/>
      <c r="Y113" s="263"/>
      <c r="Z113" s="263"/>
      <c r="AA113" s="263"/>
      <c r="AB113" s="263"/>
      <c r="AC113" s="263"/>
      <c r="AD113" s="263"/>
      <c r="AE113" s="263"/>
      <c r="AF113" s="263"/>
      <c r="AG113" s="263"/>
      <c r="AH113" s="263"/>
      <c r="AI113" s="263"/>
      <c r="AJ113" s="263"/>
      <c r="AK113" s="263"/>
      <c r="AL113" s="263"/>
      <c r="AM113" s="242"/>
    </row>
    <row r="114" spans="1:39" ht="18" customHeight="1" outlineLevel="3" x14ac:dyDescent="0.15">
      <c r="A114" s="240">
        <f t="shared" si="1"/>
        <v>111</v>
      </c>
      <c r="B114" s="362">
        <v>416</v>
      </c>
      <c r="C114" s="72" t="s">
        <v>476</v>
      </c>
      <c r="D114" s="359">
        <v>0</v>
      </c>
      <c r="E114" s="359" cm="1">
        <f t="array" ref="E114">Table_BCTC[[#This Row],[Đầu kỳ]]+
- IFERROR(
SUM(_xlfn._xlws.FILTER(Table_LaiKhac[Giá trị],
(Table_LaiKhac[Phân loại] =$C$41) *
(NOT(ISBLANK(Table_LaiKhac[Tháng]))) *
(Table_LaiKhac[Kỳ] &lt; DATE(BCTC_Nam, BCTC_Thang, 1))
)),0)
-IFERROR(
SUMPRODUCT(
_xlfn._xlws.FILTER(Table_LaiKhac[Giá trị],
(Table_LaiKhac[Phân loại] =$C$41)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=$C$41) *
(Table_LaiKhac[Phân bổ từ] &lt; DATE(BCTC_Nam,BCTC_Thang,1))*
(Table_LaiKhac[Phân bổ đến] &gt; DATE(BCTC_Nam,BCTC_Thang-1,1))
),
1/_xlfn._xlws.FILTER(ROUND((Table_LaiKhac[Phân bổ đến]-Table_LaiKhac[Phân bổ từ])/(365.25/12),0),
(ISBLANK(Table_LaiKhac[Tháng]))*
(Table_LaiKhac[Phân loại] =$C$41) *
(Table_LaiKhac[Phân bổ từ] &lt; DATE(BCTC_Nam,BCTC_Thang,1))*
(Table_LaiKhac[Phân bổ đến] &gt; DATE(BCTC_Nam,BCTC_Thang-1,1))
)),0)</f>
        <v>0</v>
      </c>
      <c r="F114" s="368" cm="1">
        <f t="array" ref="F114">Table_BCTC[[#This Row],[Đầu kỳ]]+
- IFERROR(
SUM(_xlfn._xlws.FILTER(Table_LaiKhac[Giá trị],
(Table_LaiKhac[Phân loại] =$C$41) *
(NOT(ISBLANK(Table_LaiKhac[Tháng]))) *
(Table_LaiKhac[Kỳ] &lt; DATE(BCTC_Nam, BCTC_Thang+1, 1))
)),0)
-IFERROR(
SUMPRODUCT(
_xlfn._xlws.FILTER(Table_LaiKhac[Giá trị],
(Table_LaiKhac[Phân loại] =$C$41) *
(ISBLANK(Table_LaiKhac[Tháng]))*
(Table_LaiKhac[Phân bổ từ] &lt; DATE(BCTC_Nam,BCTC_Thang + 1,1))*
(Table_LaiKhac[Phân bổ đến] &gt; DATE(BCTC_Nam,BCTC_Thang,1))
),
_xlfn._xlws.FILTER(ROUND((DATE(BCTC_Nam,BCTC_Thang+1,1)-1-Table_LaiKhac[Phân bổ từ])/(365.25/12),0),
(ISBLANK(Table_LaiKhac[Tháng]))*
(Table_LaiKhac[Phân loại] =$C$41) *
(Table_LaiKhac[Phân bổ từ] &lt; DATE(BCTC_Nam,BCTC_Thang + 1,1))*
(Table_LaiKhac[Phân bổ đến] &gt; DATE(BCTC_Nam,BCTC_Thang,1))
),
1/_xlfn._xlws.FILTER(ROUND((Table_LaiKhac[Phân bổ đến]-Table_LaiKhac[Phân bổ từ])/(365.25/12),0),
(ISBLANK(Table_LaiKhac[Tháng]))*
(Table_LaiKhac[Phân loại] =$C$41) *
(Table_LaiKhac[Phân bổ từ] &lt; DATE(BCTC_Nam,BCTC_Thang + 1,1))*
(Table_LaiKhac[Phân bổ đến] &gt; DATE(BCTC_Nam,BCTC_Thang,1))
)),0)</f>
        <v>0</v>
      </c>
      <c r="G114" s="240"/>
      <c r="H114" s="362">
        <v>416</v>
      </c>
      <c r="I114" s="72" t="s">
        <v>476</v>
      </c>
      <c r="J114" s="359" cm="1">
        <f t="array" ref="J114">Table_BCTC[[#This Row],[Đầu kỳ]]
- IFERROR(
SUM(_xlfn._xlws.FILTER(Table_LaiKhac[Giá trị],
(Table_LaiKhac[Phân loại] =$C$41) *
(NOT(ISBLANK(Table_LaiKhac[Tháng]))) *
(Table_LaiKhac[Kỳ] &lt; DATE(J$1+1,1, 1))
)),0)
-IFERROR(
SUMPRODUCT(
_xlfn._xlws.FILTER(Table_LaiKhac[Giá trị],
(Table_LaiKhac[Phân loại] =$C$41) *
(ISBLANK(Table_LaiKhac[Tháng]))*
(Table_LaiKhac[Phân bổ từ] &lt; DATE(J$1+1,1, 1))*
(Table_LaiKhac[Phân bổ đến] &gt; DATE(J$1,1, 1))
),
_xlfn._xlws.FILTER(ROUND(
(IF(DATE(J$1+1,1,1)-1 &gt;Table_LaiKhac[Phân bổ đến],
Table_LaiKhac[Phân bổ đến],DATE(J$1+1,1,1)-1)
-IF(DATE(J$1,1,1) &gt;Table_LaiKhac[Phân bổ từ],
DATE(J$1,1,1),Table_LaiKhac[Phân bổ từ])
) /(365.25/12),0),
(ISBLANK(Table_LaiKhac[Tháng]))*
(Table_LaiKhac[Phân loại] =$C$41) *
(Table_LaiKhac[Phân bổ từ] &lt; DATE(J$1+1,1, 1))*
(Table_LaiKhac[Phân bổ đến] &gt; DATE(J$1,1, 1))
),
1/_xlfn._xlws.FILTER(ROUND((Table_LaiKhac[Phân bổ đến]-Table_LaiKhac[Phân bổ từ])/(365.25/12),0),
(ISBLANK(Table_LaiKhac[Tháng]))*
(Table_LaiKhac[Phân loại] =$C$41) *
(Table_LaiKhac[Phân bổ từ] &lt; DATE(J$1+1,1, 1))*
(Table_LaiKhac[Phân bổ đến] &gt; DATE(J$1,1, 1))
)),0)</f>
        <v>0</v>
      </c>
      <c r="K114" s="359" cm="1">
        <f t="array" ref="K114">Table_BCTC[[#This Row],[Đầu kỳ]]
- IFERROR(
SUM(_xlfn._xlws.FILTER(Table_LaiKhac[Giá trị],
(Table_LaiKhac[Phân loại] =$C$41) *
(NOT(ISBLANK(Table_LaiKhac[Tháng]))) *
(Table_LaiKhac[Kỳ] &lt; DATE(K$1+1,1, 1))
)),0)
-IFERROR(
SUMPRODUCT(
_xlfn._xlws.FILTER(Table_LaiKhac[Giá trị],
(Table_LaiKhac[Phân loại] =$C$41) *
(ISBLANK(Table_LaiKhac[Tháng]))*
(Table_LaiKhac[Phân bổ từ] &lt; DATE(K$1+1,1, 1))*
(Table_LaiKhac[Phân bổ đến] &gt; DATE(K$1,1, 1))
),
_xlfn._xlws.FILTER(ROUND(
(IF(DATE(K$1+1,1,1)-1 &gt;Table_LaiKhac[Phân bổ đến],
Table_LaiKhac[Phân bổ đến],DATE(K$1+1,1,1)-1)
-IF(DATE(K$1,1,1) &gt;Table_LaiKhac[Phân bổ từ],
DATE(K$1,1,1),Table_LaiKhac[Phân bổ từ])
) /(365.25/12),0),
(ISBLANK(Table_LaiKhac[Tháng]))*
(Table_LaiKhac[Phân loại] =$C$41) *
(Table_LaiKhac[Phân bổ từ] &lt; DATE(K$1+1,1, 1))*
(Table_LaiKhac[Phân bổ đến] &gt; DATE(K$1,1, 1))
),
1/_xlfn._xlws.FILTER(ROUND((Table_LaiKhac[Phân bổ đến]-Table_LaiKhac[Phân bổ từ])/(365.25/12),0),
(ISBLANK(Table_LaiKhac[Tháng]))*
(Table_LaiKhac[Phân loại] =$C$41) *
(Table_LaiKhac[Phân bổ từ] &lt; DATE(K$1+1,1, 1))*
(Table_LaiKhac[Phân bổ đến] &gt; DATE(K$1,1, 1))
)),0)</f>
        <v>0</v>
      </c>
      <c r="L114" s="240"/>
      <c r="M114" s="362">
        <v>416</v>
      </c>
      <c r="N114" s="72" t="s">
        <v>476</v>
      </c>
      <c r="O114" s="368" cm="1">
        <f t="array" ref="O114">Table_BCTC[[#This Row],[Đầu kỳ]]
- IFERROR(
SUM(_xlfn._xlws.FILTER(Table_LaiKhac[Giá trị],
(Table_LaiKhac[Phân loại] =$C$41) *
(NOT(ISBLANK(Table_LaiKhac[Tháng]))) *
(Table_LaiKhac[Kỳ] &lt; DATE(YEAR(O$1),MONTH(O$1)+1, 1))
)),0)
-IFERROR(
SUMPRODUCT(
_xlfn._xlws.FILTER(Table_LaiKhac[Giá trị],
(Table_LaiKhac[Phân loại] =$C$41) *
(ISBLANK(Table_LaiKhac[Tháng]))*
(Table_LaiKhac[Phân bổ từ] &lt; DATE(YEAR(O$1),MONTH(O$1)+ 1,1))*
(Table_LaiKhac[Phân bổ đến] &gt; O$1)
),
_xlfn._xlws.FILTER(ROUND((DATE(YEAR(O$1),MONTH(O$1)+1,1)-1-Table_LaiKhac[Phân bổ từ])/(365.25/12),0),
(ISBLANK(Table_LaiKhac[Tháng]))*
(Table_LaiKhac[Phân loại] =$C$41) *
(Table_LaiKhac[Phân bổ từ] &lt; DATE(YEAR(O$1),MONTH(O$1)+ 1,1))*
(Table_LaiKhac[Phân bổ đến] &gt; O$1)
),
1/_xlfn._xlws.FILTER(ROUND((Table_LaiKhac[Phân bổ đến]-Table_LaiKhac[Phân bổ từ])/(365.25/12),0),
(ISBLANK(Table_LaiKhac[Tháng]))*
(Table_LaiKhac[Phân loại] =$C$41) *
(Table_LaiKhac[Phân bổ từ] &lt; DATE(YEAR(O$1),MONTH(O$1)+ 1,1))*
(Table_LaiKhac[Phân bổ đến] &gt; O$1)
)),0)</f>
        <v>0</v>
      </c>
      <c r="P114" s="368" cm="1">
        <f t="array" ref="P114">Table_BCTC[[#This Row],[Đầu kỳ]]
- IFERROR(
SUM(_xlfn._xlws.FILTER(Table_LaiKhac[Giá trị],
(Table_LaiKhac[Phân loại] =$C$41) *
(NOT(ISBLANK(Table_LaiKhac[Tháng]))) *
(Table_LaiKhac[Kỳ] &lt; DATE(YEAR(P$1),MONTH(P$1)+1, 1))
)),0)
-IFERROR(
SUMPRODUCT(
_xlfn._xlws.FILTER(Table_LaiKhac[Giá trị],
(Table_LaiKhac[Phân loại] =$C$41) *
(ISBLANK(Table_LaiKhac[Tháng]))*
(Table_LaiKhac[Phân bổ từ] &lt; DATE(YEAR(P$1),MONTH(P$1)+ 1,1))*
(Table_LaiKhac[Phân bổ đến] &gt; P$1)
),
_xlfn._xlws.FILTER(ROUND((DATE(YEAR(P$1),MONTH(P$1)+1,1)-1-Table_LaiKhac[Phân bổ từ])/(365.25/12),0),
(ISBLANK(Table_LaiKhac[Tháng]))*
(Table_LaiKhac[Phân loại] =$C$41) *
(Table_LaiKhac[Phân bổ từ] &lt; DATE(YEAR(P$1),MONTH(P$1)+ 1,1))*
(Table_LaiKhac[Phân bổ đến] &gt; P$1)
),
1/_xlfn._xlws.FILTER(ROUND((Table_LaiKhac[Phân bổ đến]-Table_LaiKhac[Phân bổ từ])/(365.25/12),0),
(ISBLANK(Table_LaiKhac[Tháng]))*
(Table_LaiKhac[Phân loại] =$C$41) *
(Table_LaiKhac[Phân bổ từ] &lt; DATE(YEAR(P$1),MONTH(P$1)+ 1,1))*
(Table_LaiKhac[Phân bổ đến] &gt; P$1)
)),0)</f>
        <v>0</v>
      </c>
      <c r="Q114" s="263"/>
      <c r="R114" s="374"/>
      <c r="S114" s="263"/>
      <c r="T114" s="263"/>
      <c r="U114" s="263"/>
      <c r="V114" s="263"/>
      <c r="W114" s="263"/>
      <c r="X114" s="263"/>
      <c r="Y114" s="263"/>
      <c r="Z114" s="263"/>
      <c r="AA114" s="263"/>
      <c r="AB114" s="263"/>
      <c r="AC114" s="263"/>
      <c r="AD114" s="263"/>
      <c r="AE114" s="263"/>
      <c r="AF114" s="263"/>
      <c r="AG114" s="263"/>
      <c r="AH114" s="263"/>
      <c r="AI114" s="263"/>
      <c r="AJ114" s="263"/>
      <c r="AK114" s="263"/>
      <c r="AL114" s="263"/>
      <c r="AM114" s="242"/>
    </row>
    <row r="115" spans="1:39" ht="18" customHeight="1" outlineLevel="3" x14ac:dyDescent="0.15">
      <c r="A115" s="240">
        <f t="shared" si="1"/>
        <v>112</v>
      </c>
      <c r="B115" s="362">
        <v>420</v>
      </c>
      <c r="C115" s="72" t="s">
        <v>477</v>
      </c>
      <c r="D115" s="359">
        <v>0</v>
      </c>
      <c r="E115" s="359" cm="1">
        <f t="array" ref="E115">Table_BCTC[[#This Row],[Đầu kỳ]]+E116
-IFERROR(SUM(_xlfn._xlws.FILTER(Table_TonKho[Chi phí ghi nhận],
(Table_TonKho[Kỳ] &lt; DATE(BCTC_Nam,BCTC_Thang,1)) *
(NOT(ISBLANK(Table_TonKho[Chức năng])))
)),0)
-IFERROR(SUM(_xlfn._xlws.FILTER(Table_ChiPhiKD[Giá trị],
(NOT(ISBLANK(Table_ChiPhiKD[Tháng])))*
(Table_ChiPhiKD[Kỳ] &lt; DATE(BCTC_Nam,BCTC_Thang,1))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
(Table_ChiPhiKD[Phân bổ đến] &gt;= DATE(BCTC_Nam,BCTC_Thang-1,1))
),
_xlfn._xlws.FILTER(ROUND((DATE(BCTC_Nam,BCTC_Thang,1)-1-Table_ChiPhiKD[Phân bổ từ])/(365.25/12),0),
(ISBLANK(Table_ChiPhiKD[Tháng]))*
(Table_ChiPhiKD[Phân bổ từ] &lt; DATE(BCTC_Nam,BCTC_Thang,1))*
(Table_ChiPhiKD[Phân bổ đến] &gt;= DATE(BCTC_Nam,BCTC_Thang-1,1))
),
1/_xlfn._xlws.FILTER(ROUND((Table_ChiPhiKD[Phân bổ đến]-Table_ChiPhiKD[Phân bổ từ])/(365.25/12),0),
(ISBLANK(Table_ChiPhiKD[Tháng]))*
(Table_ChiPhiKD[Phân bổ từ] &lt; DATE(BCTC_Nam,BCTC_Thang,1))*
(Table_ChiPhiKD[Phân bổ đến] &gt;= DATE(BCTC_Nam,BCTC_Thang-1,1))
)),0)
-IFERROR(SUM(_xlfn._xlws.FILTER(Table_DonMua[Phụ phí]-Table_DonMua[Khuyến mãi],
(Table_DonMua[Ngày lập] &lt; DATE(BCTC_Nam, BCTC_Thang, 1))
)),0)
-IFERROR(SUM(_xlfn._xlws.FILTER(Table_TSCD_KhauHao[Khấu hao],
(Table_TSCD_KhauHao[Kỳ] &lt; DATE(BCTC_Nam, BCTC_Thang, 1))
)),0)
-IFERROR(
SUM(_xlfn._xlws.FILTER(Table_Main[CK kênh],
(Table_Main[Ngày lên đơn] &lt; DATE(BCTC_Nam, BCTC_Thang, 1))
)),0)
-IFERROR(SUM(_xlfn._xlws.FILTER(Table_KPI[Thưởng KPI],
(NOT(ISBLANK(Table_KPI[Kênh]))) *
(NOT(ISBLANK(Table_KPI[Tháng]))) *
(Table_KPI[Kỳ] &lt; DATE(BCTC_Nam, BCTC_Thang, 1))
)),0)
-IFERROR(SUM(_xlfn._xlws.FILTER(Table_KPI[Thưởng KPI],
(NOT(ISBLANK(Table_KPI[Kênh]))) *
(ISBLANK(Table_KPI[Tháng])) *
(Table_KPI[Năm] &lt; BCTC_Nam)
)),0)
-IFERROR(SUM(_xlfn._xlws.FILTER(Table_KPI[Thưởng KPI],
(NOT(ISBLANK(Table_KPI[Kênh]))) *
(ISBLANK(Table_KPI[Tháng])) *
(Table_KPI[Năm]= BCTC_Nam)
))*(BCTC_Thang-1)/12,0)
-IFERROR(SUM(_xlfn._xlws.FILTER(Table_ChiPhiNV[Tổng chi phí],
(NOT(ISBLANK(Table_ChiPhiNV[Tháng])))*
(Table_ChiPhiNV[Kỳ] &lt; DATE(BCTC_Nam,BCTC_Thang,1))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
(Table_ChiPhiNV[Phân bổ đến] &gt;= DATE(BCTC_Nam,BCTC_Thang-1,1))
),
_xlfn._xlws.FILTER(ROUND((DATE(BCTC_Nam,BCTC_Thang,1)-1-Table_ChiPhiNV[Phân bổ từ])/(365.25/12),0),
(ISBLANK(Table_ChiPhiNV[Tháng]))*
(Table_ChiPhiNV[Phân bổ từ] &lt; DATE(BCTC_Nam,BCTC_Thang,1))*
(Table_ChiPhiNV[Phân bổ đến] &gt;= DATE(BCTC_Nam,BCTC_Thang-1,1))
),
1/_xlfn._xlws.FILTER(ROUND((Table_ChiPhiNV[Phân bổ đến]-Table_ChiPhiNV[Phân bổ từ])/(365.25/12),0),
(ISBLANK(Table_ChiPhiNV[Tháng]))*
(Table_ChiPhiNV[Phân bổ từ] &lt; DATE(BCTC_Nam,BCTC_Thang,1))*
(Table_ChiPhiNV[Phân bổ đến] &gt;= DATE(BCTC_Nam,BCTC_Thang-1,1))
)
),0)
-IFERROR(SUM(_xlfn._xlws.FILTER(Table_VanDon[Phí ship],
(Table_VanDon[Bên chịu phí] = "Bên bán") *
(Table_VanDon[Ngày lập] &lt; DATE(BCTC_Nam, BCTC_Thang,1))
)),0)
-IFERROR(SUM(_xlfn._xlws.FILTER(Table_ThuChiKD[Phí GD],
(Table_ThuChiKD[Ngày GD] &lt; DATE(BCTC_Nam, BCTC_Thang, 1))
)),0)
-IFERROR(SUM(_xlfn._xlws.FILTER(Table_VayNo_LichTra[Lãi vay],
(Table_VayNo_LichTra[Kỳ] &lt; DATE(BCTC_Nam,BCTC_Thang,1))*
(NOT(ISBLANK(Table_VayNo_LichTra[Tháng])))
)),0)
-IFERROR(SUMPRODUCT(
_xlfn._xlws.FILTER(Table_VayNo[Trả gốc hàng kỳ]/12,
(ISBLANK(Table_VayNo[Thời hạn (tháng)]))*
(Table_VayNo[Ngày vay] &lt; DATE(BCTC_Nam, BCTC_Thang, 1))
),
_xlfn._xlws.FILTER(ROUND((MIN(DATE(BCTC_Nam, BCTC_Thang, 1), Table_VayNo[Kết thúc trả gốc]) - MAX(BCTC_BatDau,Table_VayNo[Ngày vay])) / (365.25/12), 0),
(ISBLANK(Table_VayNo[Thời hạn (tháng)]))*
(Table_VayNo[Ngày vay] &lt; DATE(BCTC_Nam, BCTC_Thang, 1))
)),0)
+IFERROR(SUM(_xlfn._xlws.FILTER(Table_DauTu_LichThu[Nhận lãi],
(Table_DauTu_LichThu[Kỳ] &lt; DATE(BCTC_Nam,BCTC_Thang,1))
)),0)
+IFERROR(SUM(_xlfn._xlws.FILTER(Table_LaiKhac[Giá trị],
(NOT(ISBLANK(Table_LaiKhac[Tháng])))*
(Table_LaiKhac[Kỳ] &lt; DATE(BCTC_Nam,BCTC_Thang,1))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
(Table_LaiKhac[Phân bổ đến] &gt;= DATE(BCTC_Nam,BCTC_Thang-1,1))
),
_xlfn._xlws.FILTER(ROUND((DATE(BCTC_Nam,BCTC_Thang,1)-1-Table_LaiKhac[Phân bổ từ])/(365.25/12),0),
(ISBLANK(Table_LaiKhac[Tháng]))*
(Table_LaiKhac[Phân bổ từ] &lt; DATE(BCTC_Nam,BCTC_Thang,1))*
(Table_LaiKhac[Phân bổ đến] &gt;= DATE(BCTC_Nam,BCTC_Thang-1,1))
),
1/_xlfn._xlws.FILTER(ROUND((Table_LaiKhac[Phân bổ đến]-Table_LaiKhac[Phân bổ từ])/(365.25/12),0),
(ISBLANK(Table_LaiKhac[Tháng]))*
(Table_LaiKhac[Phân bổ từ] &lt; DATE(BCTC_Nam,BCTC_Thang,1))*
(Table_LaiKhac[Phân bổ đến] &gt;= DATE(BCTC_Nam,BCTC_Thang-1,1))
)),0)
-IFERROR(SUM(_xlfn._xlws.FILTER(Table_LaiKhac[Giá trị VAT],
(Table_LaiKhac[Giá trị]&gt;0)*
(NOT(ISBLANK(Table_LaiKhac[Tháng])))*
(Table_LaiKhac[Kỳ] &lt; DATE(BCTC_Nam,BCTC_Thang,1))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
(Table_LaiKhac[Phân bổ đến] &gt;= DATE(BCTC_Nam,BCTC_Thang-1,1))
),
_xlfn._xlws.FILTER(ROUND((DATE(BCTC_Nam,BCTC_Thang,1)-1-Table_LaiKhac[Phân bổ từ])/(365.25/12),0),
(Table_LaiKhac[Giá trị]&gt;0)*
(ISBLANK(Table_LaiKhac[Tháng]))*
(Table_LaiKhac[Phân bổ từ] &lt; DATE(BCTC_Nam,BCTC_Thang,1))*
(Table_LaiKhac[Phân bổ đến] &gt;= DATE(BCTC_Nam,BCTC_Thang-1,1))
),
1/_xlfn._xlws.FILTER(ROUND((Table_LaiKhac[Phân bổ đến]-Table_LaiKhac[Phân bổ từ])/(365.25/12),0),
(Table_LaiKhac[Giá trị]&gt;0)*
(ISBLANK(Table_LaiKhac[Tháng]))*
(Table_LaiKhac[Phân bổ từ] &lt; DATE(BCTC_Nam,BCTC_Thang,1))*
(Table_LaiKhac[Phân bổ đến] &gt;= DATE(BCTC_Nam,BCTC_Thang-1,1))
)),0)
-IFERROR(SUM(_xlfn._xlws.FILTER(Table_ThuChiTC[Giá trị GD],
(Table_ThuChiTC[Loại GD] = "CHI") *
(Table_ThuChiTC[Nội dung GD] = Sheet_ThuChiTC!$F$10) *
(Table_ThuChiTC[Ngày GD] &lt; DATE(BCTC_Nam,BCTC_Thang,1))
)),0)
+IFERROR(SUM(_xlfn._xlws.FILTER(Table_ThuChiTC[Giá trị GD],
(Table_ThuChiTC[Loại GD] = "THU") *
(Table_ThuChiTC[Nội dung GD] = Sheet_ThuChiTC!$F$10) *
(Table_ThuChiTC[Ngày GD] &lt; DATE(BCTC_Nam,BCTC_Thang,1))
)),0)</f>
        <v>0</v>
      </c>
      <c r="F115" s="359" cm="1">
        <f t="array" ref="F115">Table_BCTC[[#This Row],[Đầu kỳ]]+F116
-IFERROR(SUM(_xlfn._xlws.FILTER(Table_TonKho[Chi phí ghi nhận],
(Table_TonKho[Kỳ] &lt; DATE(BCTC_Nam,BCTC_Thang+1,1)) *
(NOT(ISBLANK(Table_TonKho[Chức năng])))
)),0)
-IFERROR(SUM(_xlfn._xlws.FILTER(Table_ChiPhiKD[Giá trị],
(NOT(ISBLANK(Table_ChiPhiKD[Tháng])))*
(Table_ChiPhiKD[Kỳ] &lt; DATE(BCTC_Nam,BCTC_Thang+1,1))
)),0)
-IFERROR(SUM(_xlfn._xlws.FILTER(Table_ChiPhiKD[Giá trị],
(ISBLANK(Table_ChiPhiKD[Tháng]))*
(Table_ChiPhiKD[Phân bổ đến] &lt; DATE(BCTC_Nam,BCTC_Thang+1,1))
)),0)
-IFERROR(
SUMPRODUCT(
_xlfn._xlws.FILTER(Table_ChiPhiKD[Giá trị],
(ISBLANK(Table_ChiPhiKD[Tháng]))*
(Table_ChiPhiKD[Phân bổ từ] &lt; DATE(BCTC_Nam,BCTC_Thang+1,1))*
(Table_ChiPhiKD[Phân bổ đến] &gt;= DATE(BCTC_Nam,BCTC_Thang,1))
),
_xlfn._xlws.FILTER(ROUND((DATE(BCTC_Nam,BCTC_Thang+1,1)-1-Table_ChiPhiKD[Phân bổ từ])/(365.25/12),0),
(ISBLANK(Table_ChiPhiKD[Tháng]))*
(Table_ChiPhiKD[Phân bổ từ] &lt; DATE(BCTC_Nam,BCTC_Thang+1,1))*
(Table_ChiPhiKD[Phân bổ đến] &gt;= DATE(BCTC_Nam,BCTC_Thang,1))
),
1/_xlfn._xlws.FILTER(ROUND((Table_ChiPhiKD[Phân bổ đến]-Table_ChiPhiKD[Phân bổ từ])/(365.25/12),0),
(ISBLANK(Table_ChiPhiKD[Tháng]))*
(Table_ChiPhiKD[Phân bổ từ] &lt; DATE(BCTC_Nam,BCTC_Thang+1,1))*
(Table_ChiPhiKD[Phân bổ đến] &gt;= DATE(BCTC_Nam,BCTC_Thang,1))
)),0)
-IFERROR(SUM(_xlfn._xlws.FILTER(Table_DonMua[Phụ phí]-Table_DonMua[Khuyến mãi],
(Table_DonMua[Ngày lập] &lt; DATE(BCTC_Nam, BCTC_Thang+1, 1))
)),0)
-IFERROR(SUM(_xlfn._xlws.FILTER(Table_TSCD_KhauHao[Khấu hao],
(Table_TSCD_KhauHao[Kỳ] &lt; DATE(BCTC_Nam, BCTC_Thang+1, 1))
)),0)
-IFERROR(
SUM(_xlfn._xlws.FILTER(Table_Main[CK kênh],
(Table_Main[Ngày lên đơn] &lt; DATE(BCTC_Nam, BCTC_Thang+1, 1))
)),0)
-IFERROR(SUM(_xlfn._xlws.FILTER(Table_KPI[Thưởng KPI],
(NOT(ISBLANK(Table_KPI[Kênh]))) *
(NOT(ISBLANK(Table_KPI[Tháng]))) *
(Table_KPI[Kỳ] &lt; DATE(BCTC_Nam, BCTC_Thang+1, 1))
)),0)
-IFERROR(SUM(_xlfn._xlws.FILTER(Table_KPI[Thưởng KPI],
(NOT(ISBLANK(Table_KPI[Kênh]))) *
(ISBLANK(Table_KPI[Tháng])) *
(Table_KPI[Năm] &lt; BCTC_Nam)
)),0)
-IFERROR(SUM(_xlfn._xlws.FILTER(Table_KPI[Thưởng KPI],
(NOT(ISBLANK(Table_KPI[Kênh]))) *
(ISBLANK(Table_KPI[Tháng])) *
(Table_KPI[Năm]= BCTC_Nam)
))*(BCTC_Thang)/12,0)
-IFERROR(SUM(_xlfn._xlws.FILTER(Table_ChiPhiNV[Tổng chi phí],
(NOT(ISBLANK(Table_ChiPhiNV[Tháng])))*
(Table_ChiPhiNV[Kỳ] &lt; DATE(BCTC_Nam,BCTC_Thang+1,1))
)),0)
-IFERROR(SUM(_xlfn._xlws.FILTER(Table_ChiPhiNV[Tổng chi phí],
(ISBLANK(Table_ChiPhiNV[Tháng]))*
(Table_ChiPhiNV[Phân bổ đến] &lt; DATE(BCTC_Nam,BCTC_Thang+1,1))
)),0)
-IFERROR(
SUMPRODUCT(
_xlfn._xlws.FILTER(Table_ChiPhiNV[Tổng chi phí],
(ISBLANK(Table_ChiPhiNV[Tháng]))*
(Table_ChiPhiNV[Phân bổ từ] &lt; DATE(BCTC_Nam,BCTC_Thang+1,1))*
(Table_ChiPhiNV[Phân bổ đến] &gt;= DATE(BCTC_Nam,BCTC_Thang,1))
),
_xlfn._xlws.FILTER(ROUND((DATE(BCTC_Nam,BCTC_Thang+1,1)-1-Table_ChiPhiNV[Phân bổ từ])/(365.25/12),0),
(ISBLANK(Table_ChiPhiNV[Tháng]))*
(Table_ChiPhiNV[Phân bổ từ] &lt; DATE(BCTC_Nam,BCTC_Thang+1,1))*
(Table_ChiPhiNV[Phân bổ đến] &gt;= DATE(BCTC_Nam,BCTC_Thang,1))
),
1/_xlfn._xlws.FILTER(ROUND((Table_ChiPhiNV[Phân bổ đến]-Table_ChiPhiNV[Phân bổ từ])/(365.25/12),0),
(ISBLANK(Table_ChiPhiNV[Tháng]))*
(Table_ChiPhiNV[Phân bổ từ] &lt; DATE(BCTC_Nam,BCTC_Thang+1,1))*
(Table_ChiPhiNV[Phân bổ đến] &gt;= DATE(BCTC_Nam,BCTC_Thang,1))
)
),0)
-IFERROR(SUM(_xlfn._xlws.FILTER(Table_VanDon[Phí ship],
(Table_VanDon[Bên chịu phí] = "Bên bán") *
(Table_VanDon[Ngày lập] &lt; DATE(BCTC_Nam, BCTC_Thang+1,1))
)),0)
-IFERROR(SUM(_xlfn._xlws.FILTER(Table_ThuChiKD[Phí GD],
(Table_ThuChiKD[Ngày GD] &lt; DATE(BCTC_Nam, BCTC_Thang+1, 1))
)),0)
-IFERROR(SUM(_xlfn._xlws.FILTER(Table_VayNo_LichTra[Lãi vay],
(Table_VayNo_LichTra[Kỳ] &lt; DATE(BCTC_Nam,BCTC_Thang+1,1))*
(NOT(ISBLANK(Table_VayNo_LichTra[Tháng])))
)),0)
-IFERROR(SUMPRODUCT(
_xlfn._xlws.FILTER(Table_VayNo[Trả gốc hàng kỳ]/12,
(ISBLANK(Table_VayNo[Thời hạn (tháng)]))*
(Table_VayNo[Ngày vay] &lt; DATE(BCTC_Nam, BCTC_Thang+1, 1))
),
_xlfn._xlws.FILTER(ROUND((MIN(DATE(BCTC_Nam, BCTC_Thang+1, 1), Table_VayNo[Kết thúc trả gốc]) - MAX(BCTC_BatDau,Table_VayNo[Ngày vay])) / (365.25/12), 0),
(ISBLANK(Table_VayNo[Thời hạn (tháng)]))*
(Table_VayNo[Ngày vay] &lt; DATE(BCTC_Nam, BCTC_Thang+1, 1))
)),0)
+IFERROR(SUM(_xlfn._xlws.FILTER(Table_DauTu_LichThu[Nhận lãi],
(Table_DauTu_LichThu[Kỳ] &lt; DATE(BCTC_Nam,BCTC_Thang+1,1))
)),0)
+IFERROR(SUM(_xlfn._xlws.FILTER(Table_LaiKhac[Giá trị],
(NOT(ISBLANK(Table_LaiKhac[Tháng])))*
(Table_LaiKhac[Kỳ] &lt; DATE(BCTC_Nam,BCTC_Thang+1,1))
)),0)
+IFERROR(SUM(_xlfn._xlws.FILTER(Table_LaiKhac[Giá trị],
(ISBLANK(Table_LaiKhac[Tháng]))*
(Table_LaiKhac[Phân bổ đến] &lt; DATE(BCTC_Nam,BCTC_Thang+1,1))
)),0)
+IFERROR(
SUMPRODUCT(
_xlfn._xlws.FILTER(Table_LaiKhac[Giá trị],
(ISBLANK(Table_LaiKhac[Tháng]))*
(Table_LaiKhac[Phân bổ từ] &lt; DATE(BCTC_Nam,BCTC_Thang+1,1))*
(Table_LaiKhac[Phân bổ đến] &gt;= DATE(BCTC_Nam,BCTC_Thang,1))
),
_xlfn._xlws.FILTER(ROUND((DATE(BCTC_Nam,BCTC_Thang+1,1)-1-Table_LaiKhac[Phân bổ từ])/(365.25/12),0),
(ISBLANK(Table_LaiKhac[Tháng]))*
(Table_LaiKhac[Phân bổ từ] &lt; DATE(BCTC_Nam,BCTC_Thang+1,1))*
(Table_LaiKhac[Phân bổ đến] &gt;= DATE(BCTC_Nam,BCTC_Thang,1))
),
1/_xlfn._xlws.FILTER(ROUND((Table_LaiKhac[Phân bổ đến]-Table_LaiKhac[Phân bổ từ])/(365.25/12),0),
(ISBLANK(Table_LaiKhac[Tháng]))*
(Table_LaiKhac[Phân bổ từ] &lt; DATE(BCTC_Nam,BCTC_Thang+1,1))*
(Table_LaiKhac[Phân bổ đến] &gt;= DATE(BCTC_Nam,BCTC_Thang,1))
)),0)
-IFERROR(SUM(_xlfn._xlws.FILTER(Table_LaiKhac[Giá trị VAT],
(Table_LaiKhac[Giá trị]&gt;0)*
(NOT(ISBLANK(Table_LaiKhac[Tháng])))*
(Table_LaiKhac[Kỳ] &lt; DATE(BCTC_Nam,BCTC_Thang+1,1))
)),0)
-IFERROR(SUM(_xlfn._xlws.FILTER(Table_LaiKhac[Giá trị VAT],
(Table_LaiKhac[Giá trị]&gt;0)*
(ISBLANK(Table_LaiKhac[Tháng]))*
(Table_LaiKhac[Phân bổ đến] &lt; DATE(BCTC_Nam,BCTC_Thang+1,1))
)),0)
-IFERROR(
SUMPRODUCT(
_xlfn._xlws.FILTER(Table_LaiKhac[Giá trị VAT],
(Table_LaiKhac[Giá trị]&gt;0)*
(ISBLANK(Table_LaiKhac[Tháng]))*
(Table_LaiKhac[Phân bổ từ] &lt; DATE(BCTC_Nam,BCTC_Thang+1,1))*
(Table_LaiKhac[Phân bổ đến] &gt;= DATE(BCTC_Nam,BCTC_Thang,1))
),
_xlfn._xlws.FILTER(ROUND((DATE(BCTC_Nam,BCTC_Thang+1,1)-1-Table_LaiKhac[Phân bổ từ])/(365.25/12),0),
(Table_LaiKhac[Giá trị]&gt;0)*
(ISBLANK(Table_LaiKhac[Tháng]))*
(Table_LaiKhac[Phân bổ từ] &lt; DATE(BCTC_Nam,BCTC_Thang+1,1))*
(Table_LaiKhac[Phân bổ đến] &gt;= DATE(BCTC_Nam,BCTC_Thang,1))
),
1/_xlfn._xlws.FILTER(ROUND((Table_LaiKhac[Phân bổ đến]-Table_LaiKhac[Phân bổ từ])/(365.25/12),0),
(Table_LaiKhac[Giá trị]&gt;0)*
(ISBLANK(Table_LaiKhac[Tháng]))*
(Table_LaiKhac[Phân bổ từ] &lt; DATE(BCTC_Nam,BCTC_Thang+1,1))*
(Table_LaiKhac[Phân bổ đến] &gt;= DATE(BCTC_Nam,BCTC_Thang,1))
)),0)
-IFERROR(SUM(_xlfn._xlws.FILTER(Table_ThuChiTC[Giá trị GD],
(Table_ThuChiTC[Loại GD] = "CHI") *
(Table_ThuChiTC[Nội dung GD] = Sheet_ThuChiTC!$F$10) *
(Table_ThuChiTC[Ngày GD] &lt; DATE(BCTC_Nam,BCTC_Thang+1,1))
)),0)
+IFERROR(SUM(_xlfn._xlws.FILTER(Table_ThuChiTC[Giá trị GD],
(Table_ThuChiTC[Loại GD] = "THU") *
(Table_ThuChiTC[Nội dung GD] = Sheet_ThuChiTC!$F$10) *
(Table_ThuChiTC[Ngày GD] &lt; DATE(BCTC_Nam,BCTC_Thang+1,1))
)),0)</f>
        <v>0</v>
      </c>
      <c r="G115" s="240"/>
      <c r="H115" s="362">
        <v>420</v>
      </c>
      <c r="I115" s="72" t="s">
        <v>477</v>
      </c>
      <c r="J115" s="359" cm="1">
        <f t="array" ref="J115" xml:space="preserve">
Table_BCTC[[#This Row],[Đầu kỳ]]+J116
-IFERROR(
SUM(
_xlfn._xlws.FILTER(Table_TonKho[Chi phí ghi nhận],
(Table_TonKho[Kỳ] &lt; DATE(J$1+1,1,1)) *
(NOT(ISBLANK(Table_TonKho[Chức năng])))
)),
0)
-IFERROR(
SUM(
_xlfn._xlws.FILTER(Table_ChiPhiKD[Giá trị],
(NOT(ISBLANK(Table_ChiPhiKD[Tháng])))*
(Table_ChiPhiKD[Kỳ] &lt; DATE(J$1+1,1,1))
)),
0)
-IFERROR(
SUM(
_xlfn._xlws.FILTER(Table_ChiPhiKD[Giá trị],
(ISBLANK(Table_ChiPhiKD[Tháng]))*
(Table_ChiPhiKD[Phân bổ đến] &lt; DATE(J$1,1,1))
)),
0)
-IFERROR(
SUMPRODUCT(
_xlfn._xlws.FILTER(Table_ChiPhiKD[Giá trị],
(ISBLANK(Table_ChiPhiKD[Tháng]))*
(Table_ChiPhiKD[Phân bổ từ] &lt; DATE(J$1+1,1,1))*
(Table_ChiPhiKD[Phân bổ đến] &gt;= DATE(J$1,1,1))
),
_xlfn._xlws.FILTER(
ROUND(
(IF(DATE(J$1+1,1,1)-1 &gt;Table_ChiPhiKD[Phân bổ đến],
Table_ChiPhiKD[Phân bổ đến],DATE(J$1+1,1,1)-1)
-IF(DATE(J$1,1,1) &gt;Table_ChiPhiKD[Phân bổ từ],
DATE(J$1,1,1),Table_ChiPhiKD[Phân bổ từ])
)/(365.25/12),
0),
(ISBLANK(Table_ChiPhiKD[Tháng]))*
(Table_ChiPhiKD[Phân bổ từ] &lt; DATE(J$1+1,1,1))*
(Table_ChiPhiKD[Phân bổ đến] &gt;= DATE(J$1,1,1))
),
1/_xlfn._xlws.FILTER(
ROUND(
(Table_ChiPhiKD[Phân bổ đến]-Table_ChiPhiKD[Phân bổ từ])
/(365.25/12),
0),
(ISBLANK(Table_ChiPhiKD[Tháng]))*
(Table_ChiPhiKD[Phân bổ từ] &lt; DATE(J$1+1,1,1))*
(Table_ChiPhiKD[Phân bổ đến] &gt;= DATE(J$1,1,1))
)),0)
-IFERROR(
SUM(
_xlfn._xlws.FILTER(Table_DonMua[Phụ phí]-Table_DonMua[Khuyến mãi],
(Table_DonMua[Ngày lập] &lt; DATE(J$1+1,1,1))
)),
0)
-IFERROR(
SUM(
_xlfn._xlws.FILTER(Table_TSCD_KhauHao[Khấu hao],
(Table_TSCD_KhauHao[Kỳ] &lt; DATE(J$1+1,1,1))
)),
0)
-IFERROR(
SUM(
_xlfn._xlws.FILTER(Table_Main[CK kênh],
(Table_Main[Ngày lên đơn] &lt; DATE(J$1+1,1,1))
)),
0)
-IFERROR(
SUM(
_xlfn._xlws.FILTER(Table_KPI[Thưởng KPI],
(NOT(ISBLANK(Table_KPI[Kênh]))) *
(NOT(ISBLANK(Table_KPI[Tháng]))) *
(Table_KPI[Kỳ] &lt; DATE(J$1+1,1,1))
)),
0)
-IFERROR(
SUM(
_xlfn._xlws.FILTER(Table_KPI[Thưởng KPI],
(NOT(ISBLANK(Table_KPI[Kênh]))) *
(ISBLANK(Table_KPI[Tháng])) *
(Table_KPI[Năm] &lt;= J$1)
)),
0)
-IFERROR(
SUM(
_xlfn._xlws.FILTER(Table_ChiPhiNV[Tổng chi phí],
(NOT(ISBLANK(Table_ChiPhiNV[Tháng])))*
(Table_ChiPhiNV[Kỳ] &lt; DATE(J$1+1,1,1))
)),
0)
-IFERROR(
SUM(
_xlfn._xlws.FILTER(Table_ChiPhiNV[Tổng chi phí],
(ISBLANK(Table_ChiPhiNV[Tháng]))*
(Table_ChiPhiNV[Phân bổ đến] &lt; DATE(J$1,1,1))
)),
0)
-IFERROR(
SUMPRODUCT(
_xlfn._xlws.FILTER(Table_ChiPhiNV[Tổng chi phí],
(ISBLANK(Table_ChiPhiNV[Tháng]))*
(Table_ChiPhiNV[Phân bổ từ] &lt; DATE(J$1+1,1,1))*
(Table_ChiPhiNV[Phân bổ đến] &gt;= DATE(J$1,1,1))
),
_xlfn._xlws.FILTER(
ROUND(
(IF(DATE(J$1+1,1,1)-1 &gt;Table_ChiPhiNV[Phân bổ đến],
Table_ChiPhiNV[Phân bổ đến],DATE(J$1+1,1,1)-1)
-IF(DATE(J$1,1,1) &gt;Table_ChiPhiNV[Phân bổ từ],
DATE(J$1,1,1),Table_ChiPhiNV[Phân bổ từ]))
/(365.25/12),
0),
(ISBLANK(Table_ChiPhiNV[Tháng]))*
(Table_ChiPhiNV[Phân bổ từ] &lt; DATE(J$1+1,1,1))*
(Table_ChiPhiNV[Phân bổ đến] &gt;= DATE(J$1,1,1))
),
1/_xlfn._xlws.FILTER(
ROUND(
(Table_ChiPhiNV[Phân bổ đến]-Table_ChiPhiNV[Phân bổ từ])
/(365.25/12),
0),
(ISBLANK(Table_ChiPhiNV[Tháng]))*
(Table_ChiPhiNV[Phân bổ từ] &lt; DATE(J$1+1,1,1))*
(Table_ChiPhiNV[Phân bổ đến] &gt;= DATE(J$1,1,1))
)
),
0)
-IFERROR(
SUM(
_xlfn._xlws.FILTER(Table_VanDon[Phí ship],
(Table_VanDon[Bên chịu phí] = "Bên bán") *
(Table_VanDon[Ngày lập] &lt; DATE(J$1+1,1,1))
)),
0)
-IFERROR(
SUM(
_xlfn._xlws.FILTER(Table_ThuChiKD[Phí GD],
(Table_ThuChiKD[Ngày GD] &lt; DATE(J$1+1,1,1))
)),
0)
-IFERROR(
SUM(
_xlfn._xlws.FILTER(Table_VayNo_LichTra[Lãi vay],
(Table_VayNo_LichTra[Kỳ] &lt; DATE(J$1+1,1,1))
)),
0)
+IFERROR(
SUM(
_xlfn._xlws.FILTER(Table_DauTu_LichThu[Nhận lãi],
(Table_DauTu_LichThu[Kỳ] &lt; DATE(J$1+1,1,1))
)),
0)
+IFERROR(
SUM(
_xlfn._xlws.FILTER(Table_LaiKhac[Giá trị],
(NOT(ISBLANK(Table_LaiKhac[Tháng])))*
(Table_LaiKhac[Kỳ] &lt; DATE(J$1+1,1,1))
)),
0)
+IFERROR(
SUM(
_xlfn._xlws.FILTER(Table_LaiKhac[Giá trị],
(ISBLANK(Table_LaiKhac[Tháng]))*
(Table_LaiKhac[Phân bổ đến] &lt; DATE(J$1,1,1))
)),
0)
+IFERROR(
SUMPRODUCT(
_xlfn._xlws.FILTER(Table_LaiKhac[Giá trị],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(ISBLANK(Table_LaiKhac[Tháng]))*
(Table_LaiKhac[Phân bổ từ] &lt; DATE(J$1+1,1,1))*
(Table_LaiKhac[Phân bổ đến] &gt;= DATE(J$1,1,1))
),
1/_xlfn._xlws.FILTER(
ROUND(
(Table_LaiKhac[Phân bổ đến]-Table_LaiKhac[Phân bổ từ])
/(365.25/12),
0),
(ISBLANK(Table_LaiKhac[Tháng]))*
(Table_LaiKhac[Phân bổ từ] &lt; DATE(J$1+1,1,1))*
(Table_LaiKhac[Phân bổ đến] &gt;= DATE(J$1,1,1))
)
),
0)
-IFERROR(
SUM(
_xlfn._xlws.FILTER(Table_LaiKhac[Giá trị VAT],
(Table_LaiKhac[Giá trị]&gt;0)*
(NOT(ISBLANK(Table_LaiKhac[Tháng])))*
(Table_LaiKhac[Kỳ] &lt; DATE(J$1+1,1,1))
)),
0)
-IFERROR(
SUM(_xlfn._xlws.FILTER(Table_LaiKhac[Giá trị VAT],
(Table_LaiKhac[Giá trị]&gt;0)*
(ISBLANK(Table_LaiKhac[Tháng]))*
(Table_LaiKhac[Phân bổ đến] &lt; DATE(J$1,1,1))
)),
0)
-IFERROR(
SUMPRODUCT(
_xlfn._xlws.FILTER(Table_LaiKhac[Giá trị VAT],
(Table_LaiKhac[Giá trị]&gt;0)*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(Table_LaiKhac[Giá trị]&gt;0)*
(ISBLANK(Table_LaiKhac[Tháng]))*
(Table_LaiKhac[Phân bổ từ] &lt; DATE(J$1+1,1,1))*
(Table_LaiKhac[Phân bổ đến] &gt;= DATE(J$1,1,1))
),
1/_xlfn._xlws.FILTER(
ROUND(
(Table_LaiKhac[Phân bổ đến]-Table_LaiKhac[Phân bổ từ])
/(365.25/12),
0),
(Table_LaiKhac[Giá trị]&gt;0)*
(ISBLANK(Table_LaiKhac[Tháng]))*
(Table_LaiKhac[Phân bổ từ] &lt; DATE(J$1+1,1,1))*
(Table_LaiKhac[Phân bổ đến] &gt;= DATE(J$1,1,1))
)
),
0)
-IFERROR(
SUM(
_xlfn._xlws.FILTER(Table_ThuChiTC[Giá trị GD],
(Table_ThuChiTC[Loại GD] = "CHI") *
(Table_ThuChiTC[Nội dung GD] = "Cổ tức, lợi nhuận đã trả cho chú sở hữu") *
(Table_ThuChiTC[Ngày GD] &lt; DATE(J$1+1,1,1))
)),
0)
+IFERROR(
SUM(
_xlfn._xlws.FILTER(Table_ThuChiTC[Giá trị GD],
(Table_ThuChiTC[Loại GD] = "THU") *
(Table_ThuChiTC[Nội dung GD] = "Cổ tức, lợi nhuận đã trả cho chú sở hữu") *
(Table_ThuChiTC[Ngày GD] &lt; DATE(J$1+1,1,1))
)),
0)</f>
        <v>0</v>
      </c>
      <c r="K115" s="359" cm="1">
        <f t="array" ref="K115" xml:space="preserve">
Table_BCTC[[#This Row],[Đầu kỳ]]+K116
-IFERROR(
SUM(
_xlfn._xlws.FILTER(Table_TonKho[Chi phí ghi nhận],
(Table_TonKho[Kỳ] &lt; DATE(K$1+1,1,1)) *
(NOT(ISBLANK(Table_TonKho[Chức năng])))
)),
0)
-IFERROR(
SUM(
_xlfn._xlws.FILTER(Table_ChiPhiKD[Giá trị],
(NOT(ISBLANK(Table_ChiPhiKD[Tháng])))*
(Table_ChiPhiKD[Kỳ] &lt; DATE(K$1+1,1,1))
)),
0)
-IFERROR(
SUM(
_xlfn._xlws.FILTER(Table_ChiPhiKD[Giá trị],
(ISBLANK(Table_ChiPhiKD[Tháng]))*
(Table_ChiPhiKD[Phân bổ đến] &lt; DATE(K$1,1,1))
)),
0)
-IFERROR(
SUMPRODUCT(
_xlfn._xlws.FILTER(Table_ChiPhiKD[Giá trị],
(ISBLANK(Table_ChiPhiKD[Tháng]))*
(Table_ChiPhiKD[Phân bổ từ] &lt; DATE(K$1+1,1,1))*
(Table_ChiPhiKD[Phân bổ đến] &gt;= DATE(K$1,1,1))
),
_xlfn._xlws.FILTER(
ROUND(
(IF(DATE(K$1+1,1,1)-1 &gt;Table_ChiPhiKD[Phân bổ đến],
Table_ChiPhiKD[Phân bổ đến],DATE(K$1+1,1,1)-1)
-IF(DATE(K$1,1,1) &gt;Table_ChiPhiKD[Phân bổ từ],
DATE(K$1,1,1),Table_ChiPhiKD[Phân bổ từ])
)/(365.25/12),
0),
(ISBLANK(Table_ChiPhiKD[Tháng]))*
(Table_ChiPhiKD[Phân bổ từ] &lt; DATE(K$1+1,1,1))*
(Table_ChiPhiKD[Phân bổ đến] &gt;= DATE(K$1,1,1))
),
1/_xlfn._xlws.FILTER(
ROUND(
(Table_ChiPhiKD[Phân bổ đến]-Table_ChiPhiKD[Phân bổ từ])
/(365.25/12),
0),
(ISBLANK(Table_ChiPhiKD[Tháng]))*
(Table_ChiPhiKD[Phân bổ từ] &lt; DATE(K$1+1,1,1))*
(Table_ChiPhiKD[Phân bổ đến] &gt;= DATE(K$1,1,1))
)),0)
-IFERROR(
SUM(
_xlfn._xlws.FILTER(Table_DonMua[Phụ phí]-Table_DonMua[Khuyến mãi],
(Table_DonMua[Ngày lập] &lt; DATE(K$1+1,1,1))
)),
0)
-IFERROR(
SUM(
_xlfn._xlws.FILTER(Table_TSCD_KhauHao[Khấu hao],
(Table_TSCD_KhauHao[Kỳ] &lt; DATE(K$1+1,1,1))
)),
0)
-IFERROR(
SUM(
_xlfn._xlws.FILTER(Table_Main[CK kênh],
(Table_Main[Ngày lên đơn] &lt; DATE(K$1+1,1,1))
)),
0)
-IFERROR(
SUM(
_xlfn._xlws.FILTER(Table_KPI[Thưởng KPI],
(NOT(ISBLANK(Table_KPI[Kênh]))) *
(NOT(ISBLANK(Table_KPI[Tháng]))) *
(Table_KPI[Kỳ] &lt; DATE(K$1+1,1,1))
)),
0)
-IFERROR(
SUM(
_xlfn._xlws.FILTER(Table_KPI[Thưởng KPI],
(NOT(ISBLANK(Table_KPI[Kênh]))) *
(ISBLANK(Table_KPI[Tháng])) *
(Table_KPI[Năm] &lt;= K$1)
)),
0)
-IFERROR(
SUM(
_xlfn._xlws.FILTER(Table_ChiPhiNV[Tổng chi phí],
(NOT(ISBLANK(Table_ChiPhiNV[Tháng])))*
(Table_ChiPhiNV[Kỳ] &lt; DATE(K$1+1,1,1))
)),
0)
-IFERROR(
SUM(
_xlfn._xlws.FILTER(Table_ChiPhiNV[Tổng chi phí],
(ISBLANK(Table_ChiPhiNV[Tháng]))*
(Table_ChiPhiNV[Phân bổ đến] &lt; DATE(K$1,1,1))
)),
0)
-IFERROR(
SUMPRODUCT(
_xlfn._xlws.FILTER(Table_ChiPhiNV[Tổng chi phí],
(ISBLANK(Table_ChiPhiNV[Tháng]))*
(Table_ChiPhiNV[Phân bổ từ] &lt; DATE(K$1+1,1,1))*
(Table_ChiPhiNV[Phân bổ đến] &gt;= DATE(K$1,1,1))
),
_xlfn._xlws.FILTER(
ROUND(
(IF(DATE(K$1+1,1,1)-1 &gt;Table_ChiPhiNV[Phân bổ đến],
Table_ChiPhiNV[Phân bổ đến],DATE(K$1+1,1,1)-1)
-IF(DATE(K$1,1,1) &gt;Table_ChiPhiNV[Phân bổ từ],
DATE(K$1,1,1),Table_ChiPhiNV[Phân bổ từ]))
/(365.25/12),
0),
(ISBLANK(Table_ChiPhiNV[Tháng]))*
(Table_ChiPhiNV[Phân bổ từ] &lt; DATE(K$1+1,1,1))*
(Table_ChiPhiNV[Phân bổ đến] &gt;= DATE(K$1,1,1))
),
1/_xlfn._xlws.FILTER(
ROUND(
(Table_ChiPhiNV[Phân bổ đến]-Table_ChiPhiNV[Phân bổ từ])
/(365.25/12),
0),
(ISBLANK(Table_ChiPhiNV[Tháng]))*
(Table_ChiPhiNV[Phân bổ từ] &lt; DATE(K$1+1,1,1))*
(Table_ChiPhiNV[Phân bổ đến] &gt;= DATE(K$1,1,1))
)
),
0)
-IFERROR(
SUM(
_xlfn._xlws.FILTER(Table_VanDon[Phí ship],
(Table_VanDon[Bên chịu phí] = "Bên bán") *
(Table_VanDon[Ngày lập] &lt; DATE(K$1+1,1,1))
)),
0)
-IFERROR(
SUM(
_xlfn._xlws.FILTER(Table_ThuChiKD[Phí GD],
(Table_ThuChiKD[Ngày GD] &lt; DATE(K$1+1,1,1))
)),
0)
-IFERROR(
SUM(
_xlfn._xlws.FILTER(Table_VayNo_LichTra[Lãi vay],
(Table_VayNo_LichTra[Kỳ] &lt; DATE(K$1+1,1,1))
)),
0)
+IFERROR(
SUM(
_xlfn._xlws.FILTER(Table_DauTu_LichThu[Nhận lãi],
(Table_DauTu_LichThu[Kỳ] &lt; DATE(K$1+1,1,1))
)),
0)
+IFERROR(
SUM(
_xlfn._xlws.FILTER(Table_LaiKhac[Giá trị],
(NOT(ISBLANK(Table_LaiKhac[Tháng])))*
(Table_LaiKhac[Kỳ] &lt; DATE(K$1+1,1,1))
)),
0)
+IFERROR(
SUM(
_xlfn._xlws.FILTER(Table_LaiKhac[Giá trị],
(ISBLANK(Table_LaiKhac[Tháng]))*
(Table_LaiKhac[Phân bổ đến] &lt; DATE(K$1,1,1))
)),
0)
+IFERROR(
SUMPRODUCT(
_xlfn._xlws.FILTER(Table_LaiKhac[Giá trị],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(ISBLANK(Table_LaiKhac[Tháng]))*
(Table_LaiKhac[Phân bổ từ] &lt; DATE(K$1+1,1,1))*
(Table_LaiKhac[Phân bổ đến] &gt;= DATE(K$1,1,1))
),
1/_xlfn._xlws.FILTER(
ROUND(
(Table_LaiKhac[Phân bổ đến]-Table_LaiKhac[Phân bổ từ])
/(365.25/12),
0),
(ISBLANK(Table_LaiKhac[Tháng]))*
(Table_LaiKhac[Phân bổ từ] &lt; DATE(K$1+1,1,1))*
(Table_LaiKhac[Phân bổ đến] &gt;= DATE(K$1,1,1))
)
),
0)
-IFERROR(
SUM(
_xlfn._xlws.FILTER(Table_LaiKhac[Giá trị VAT],
(Table_LaiKhac[Giá trị]&gt;0)*
(NOT(ISBLANK(Table_LaiKhac[Tháng])))*
(Table_LaiKhac[Kỳ] &lt; DATE(K$1+1,1,1))
)),
0)
-IFERROR(
SUM(_xlfn._xlws.FILTER(Table_LaiKhac[Giá trị VAT],
(Table_LaiKhac[Giá trị]&gt;0)*
(ISBLANK(Table_LaiKhac[Tháng]))*
(Table_LaiKhac[Phân bổ đến] &lt; DATE(K$1,1,1))
)),
0)
-IFERROR(
SUMPRODUCT(
_xlfn._xlws.FILTER(Table_LaiKhac[Giá trị VAT],
(Table_LaiKhac[Giá trị]&gt;0)*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(Table_LaiKhac[Giá trị]&gt;0)*
(ISBLANK(Table_LaiKhac[Tháng]))*
(Table_LaiKhac[Phân bổ từ] &lt; DATE(K$1+1,1,1))*
(Table_LaiKhac[Phân bổ đến] &gt;= DATE(K$1,1,1))
),
1/_xlfn._xlws.FILTER(
ROUND(
(Table_LaiKhac[Phân bổ đến]-Table_LaiKhac[Phân bổ từ])
/(365.25/12),
0),
(Table_LaiKhac[Giá trị]&gt;0)*
(ISBLANK(Table_LaiKhac[Tháng]))*
(Table_LaiKhac[Phân bổ từ] &lt; DATE(K$1+1,1,1))*
(Table_LaiKhac[Phân bổ đến] &gt;= DATE(K$1,1,1))
)
),
0)
-IFERROR(
SUM(
_xlfn._xlws.FILTER(Table_ThuChiTC[Giá trị GD],
(Table_ThuChiTC[Loại GD] = "CHI") *
(Table_ThuChiTC[Nội dung GD] = "Cổ tức, lợi nhuận đã trả cho chú sở hữu") *
(Table_ThuChiTC[Ngày GD] &lt; DATE(K$1+1,1,1))
)),
0)
+IFERROR(
SUM(
_xlfn._xlws.FILTER(Table_ThuChiTC[Giá trị GD],
(Table_ThuChiTC[Loại GD] = "THU") *
(Table_ThuChiTC[Nội dung GD] = "Cổ tức, lợi nhuận đã trả cho chú sở hữu") *
(Table_ThuChiTC[Ngày GD] &lt; DATE(K$1+1,1,1))
)),
0)</f>
        <v>0</v>
      </c>
      <c r="L115" s="240"/>
      <c r="M115" s="362">
        <v>420</v>
      </c>
      <c r="N115" s="72" t="s">
        <v>477</v>
      </c>
      <c r="O115" s="310" cm="1">
        <f t="array" ref="O115">Table_BCTC[[#This Row],[Đầu kỳ]]+O116
-IFERROR(
SUM(_xlfn._xlws.FILTER(Table_TonKho[Chi phí ghi nhận],
(Table_TonKho[Kỳ]&lt;DATE(YEAR(O$1),MONTH(O$1)+1,1))*
(NOT(ISBLANK(Table_TonKho[Chức năng])))
)),0)
-IFERROR(
SUM(_xlfn._xlws.FILTER(Table_ChiPhiKD[Giá trị],
(NOT(ISBLANK(Table_ChiPhiKD[Tháng])))*
(Table_ChiPhiKD[Kỳ]&lt;DATE(YEAR(O$1),MONTH(O$1)+1,1))
)),0)
-IFERROR(
SUM(_xlfn._xlws.FILTER(Table_ChiPhiKD[Giá trị],
(ISBLANK(Table_ChiPhiKD[Tháng]))*
(Table_ChiPhiKD[Phân bổ đến]&lt;O$1)
)),0)
-IFERROR(
SUMPRODUCT(
_xlfn._xlws.FILTER(Table_ChiPhiKD[Giá trị],
(ISBLANK(Table_ChiPhiKD[Tháng]))*
(Table_ChiPhiKD[Phân bổ từ]&lt;DATE(YEAR(O$1),MONTH(O$1)+1,1))*
(Table_ChiPhiKD[Phân bổ đến]&gt;=O$1)),
_xlfn._xlws.FILTER(
ROUND((DATE(YEAR(O$1),MONTH(O$1)+1,1)-1-Table_ChiPhiKD[Phân bổ từ])/(365.25/12),0),
(ISBLANK(Table_ChiPhiKD[Tháng]))*
(Table_ChiPhiKD[Phân bổ từ]&lt;DATE(YEAR(O$1),MONTH(O$1)+1,1))*
(Table_ChiPhiKD[Phân bổ đến]&gt;=O$1)),
1/_xlfn._xlws.FILTER(
ROUND((Table_ChiPhiKD[Phân bổ đến]-Table_ChiPhiKD[Phân bổ từ])/(365.25/12),0),
(ISBLANK(Table_ChiPhiKD[Tháng]))*
(Table_ChiPhiKD[Phân bổ từ]&lt;DATE(YEAR(O$1),MONTH(O$1)+1,1))*
(Table_ChiPhiKD[Phân bổ đến]&gt;=O$1)
)),0)
-IFERROR(
SUM(_xlfn._xlws.FILTER(Table_DonMua[Phụ phí]-Table_DonMua[Khuyến mãi],
(Table_DonMua[Ngày lập]&lt;DATE(YEAR(O$1),MONTH(O$1)+1,1))
)),0)
-IFERROR(
SUM(_xlfn._xlws.FILTER(Table_TSCD_KhauHao[Khấu hao],
(Table_TSCD_KhauHao[Kỳ]&lt;DATE(YEAR(O$1),MONTH(O$1)+1,1))
)),0)
-IFERROR(
SUM(_xlfn._xlws.FILTER(Table_Main[CK kênh],
(Table_Main[Ngày lên đơn]&lt;DATE(YEAR(O$1),MONTH(O$1)+1,1))
)),0)
-IFERROR(
SUM(_xlfn._xlws.FILTER(Table_KPI[Thưởng KPI],
(NOT(ISBLANK(Table_KPI[Kênh]))) *
(NOT(ISBLANK(Table_KPI[Tháng]))) *
(Table_KPI[Kỳ]&lt;DATE(YEAR(O$1),MONTH(O$1)+1, 1))
)),0)
-IFERROR(
SUM(
_xlfn._xlws.FILTER(Table_KPI[Thưởng KPI],
(NOT(ISBLANK(Table_KPI[Kênh]))) *
(ISBLANK(Table_KPI[Tháng])) *
(Table_KPI[Năm]&lt;YEAR(O$1))
)),0)
-IFERROR(
SUM(_xlfn._xlws.FILTER(Table_KPI[Thưởng KPI],
(NOT(ISBLANK(Table_KPI[Kênh]))) *
(ISBLANK(Table_KPI[Tháng])) *
(Table_KPI[Năm]=YEAR(O$1))
))*MONTH(O$1)/12,0)
-IFERROR(
SUM(_xlfn._xlws.FILTER(Table_ChiPhiNV[Tổng chi phí],
(NOT(ISBLANK(Table_ChiPhiNV[Tháng])))*
(Table_ChiPhiNV[Kỳ]&lt;DATE(YEAR(O$1),MONTH(O$1)+1,1))
)),0)
-IFERROR(
SUM(_xlfn._xlws.FILTER(Table_ChiPhiNV[Tổng chi phí],
(ISBLANK(Table_ChiPhiNV[Tháng]))*
(Table_ChiPhiNV[Phân bổ đến]&lt;O$1)
)),0)
-IFERROR(
SUMPRODUCT(
_xlfn._xlws.FILTER(Table_ChiPhiNV[Tổng chi phí],
(ISBLANK(Table_ChiPhiNV[Tháng]))*
(Table_ChiPhiNV[Phân bổ từ]&lt;DATE(YEAR(O$1),MONTH(O$1)+1,1))*
(Table_ChiPhiNV[Phân bổ đến]&gt;=O$1)),
_xlfn._xlws.FILTER(
ROUND((DATE(YEAR(O$1),MONTH(O$1)+1,1)-1-Table_ChiPhiNV[Phân bổ từ])
/(365.25/12),0),
(ISBLANK(Table_ChiPhiNV[Tháng]))*
(Table_ChiPhiNV[Phân bổ từ]&lt;DATE(YEAR(O$1),MONTH(O$1)+1,1))*
(Table_ChiPhiNV[Phân bổ đến]&gt;=O$1)),
1/_xlfn._xlws.FILTER(
ROUND((Table_ChiPhiNV[Phân bổ đến]-Table_ChiPhiNV[Phân bổ từ])/(365.25/12),0),
(ISBLANK(Table_ChiPhiNV[Tháng]))*
(Table_ChiPhiNV[Phân bổ từ]&lt;DATE(YEAR(O$1),MONTH(O$1)+1,1))*
(Table_ChiPhiNV[Phân bổ đến]&gt;=O$1)
)),0)
-IFERROR(
SUM(_xlfn._xlws.FILTER(Table_VanDon[Phí ship],
(Table_VanDon[Bên chịu phí]="Bên bán") *
(Table_VanDon[Ngày lập]&lt;DATE(YEAR(O$1),MONTH(O$1)+1,1))
)),0)
-IFERROR(
SUM(_xlfn._xlws.FILTER(Table_ThuChiKD[Phí GD],
(Table_ThuChiKD[Ngày GD]&lt;DATE(YEAR(O$1),MONTH(O$1)+1,1))
)),0)
-IFERROR(
SUM(_xlfn._xlws.FILTER(Table_VayNo_LichTra[Lãi vay],
(Table_VayNo_LichTra[Kỳ]&lt;DATE(YEAR(O$1),MONTH(O$1)+1,1))*
(NOT(ISBLANK(Table_VayNo_LichTra[Tháng])))
)),0)
-IFERROR(
SUM(_xlfn._xlws.FILTER(Table_VayNo_LichTra[Lãi vay],
(Table_VayNo_LichTra[Năm]&lt;YEAR(O$1))*
(ISBLANK(Table_VayNo_LichTra[Tháng]))
)),0)
-IFERROR(
SUMPRODUCT(
_xlfn._xlws.FILTER(Table_VayNo_LichTra[Lãi vay],
(Table_VayNo_LichTra[Năm]=YEAR(O$1))*
(ISBLANK(Table_VayNo_LichTra[Tháng]))
),
_xlfn._xlws.FILTER(
IF(VLOOKUP(Table_VayNo_LichTra[Khoản vay],
Table_VayNo[], COUNTA(Table_VayNo[[#Headers],[Mã khoản vay]:[Ngày vay]]),
0)&lt;DATE(YEAR(O$1),1,1),MONTH(O$1),
MONTH(O$1)-MONTH(VLOOKUP(Table_VayNo_LichTra[Khoản vay],
Table_VayNo[],COUNTA(Table_VayNo[[#Headers],[Mã khoản vay]:[Ngày vay]]),
0))),
(Table_VayNo_LichTra[Năm]=YEAR(O$1))*
(ISBLANK(Table_VayNo_LichTra[Tháng]))),
_xlfn._xlws.FILTER(
IF(VLOOKUP(Table_VayNo_LichTra[Khoản vay],Table_VayNo[],COUNTA(Table_VayNo[[#Headers],[Mã khoản vay]:[Kết thúc trả gốc]]),0)
&gt;=DATE(YEAR(O$1)+1,1,1),12,MONTH(VLOOKUP(Table_VayNo_LichTra[Khoản vay],
Table_VayNo[],COUNTA(Table_VayNo[[#Headers],[Mã khoản vay]:[Kết thúc trả gốc]]),0)))
-IF(VLOOKUP(Table_VayNo_LichTra[Khoản vay],
Table_VayNo[],COUNTA(Table_VayNo[[#Headers],[Mã khoản vay]:[Ngày vay]]),0) &lt;DATE(YEAR(O$1),1,1),0,
MONTH(VLOOKUP(Table_VayNo_LichTra[Khoản vay],
Table_VayNo[],COUNTA(Table_VayNo[[#Headers],[Mã khoản vay]:[Ngày vay]]),
0))),
(Table_VayNo_LichTra[Năm]=YEAR(O$1))*
(ISBLANK(Table_VayNo_LichTra[Tháng]))
)),0)
+IFERROR(
SUM(_xlfn._xlws.FILTER(Table_DauTu_LichThu[Nhận lãi],
(Table_DauTu_LichThu[Kỳ]&lt;DATE(YEAR(O$1),MONTH(O$1)+1,1))
)),0)
+IFERROR(
SUM(_xlfn._xlws.FILTER(Table_LaiKhac[Giá trị],
(NOT(ISBLANK(Table_LaiKhac[Tháng])))*
(Table_LaiKhac[Kỳ]&lt;DATE(YEAR(O$1),MONTH(O$1)+1,1))
)),0)
+IFERROR(
SUM(_xlfn._xlws.FILTER(Table_LaiKhac[Giá trị],
(ISBLANK(Table_LaiKhac[Tháng]))*
(Table_LaiKhac[Phân bổ đến]&lt;O$1)
)),0)
+IFERROR(
SUMPRODUCT(
_xlfn._xlws.FILTER(Table_LaiKhac[Giá trị],
(ISBLANK(Table_LaiKhac[Tháng]))*
(Table_LaiKhac[Phân bổ từ]&lt;DATE(YEAR(O$1),MONTH(O$1)+1,1))*
(Table_LaiKhac[Phân bổ đến]&gt;=O$1)
),
_xlfn._xlws.FILTER(
ROUND((DATE(YEAR(O$1),MONTH(O$1)+1,1)-1-Table_LaiKhac[Phân bổ từ])/(365.25/12),0),
(ISBLANK(Table_LaiKhac[Tháng]))*
(Table_LaiKhac[Phân bổ từ]&lt;DATE(YEAR(O$1),MONTH(O$1)+1,1))*
(Table_LaiKhac[Phân bổ đến]&gt;=O$1)
),
1/_xlfn._xlws.FILTER(
ROUND((Table_LaiKhac[Phân bổ đến]-Table_LaiKhac[Phân bổ từ])/(365.25/12),0),
(ISBLANK(Table_LaiKhac[Tháng]))*
(Table_LaiKhac[Phân bổ từ]&lt;DATE(YEAR(O$1),MONTH(O$1)+1,1))*
(Table_LaiKhac[Phân bổ đến]&gt;=O$1)
)),0)
-IFERROR(
SUM(_xlfn._xlws.FILTER(Table_LaiKhac[Giá trị VAT],
(Table_LaiKhac[Giá trị]&gt;0)*
(NOT(ISBLANK(Table_LaiKhac[Tháng])))*
(Table_LaiKhac[Kỳ]&lt;DATE(YEAR(O$1),MONTH(O$1)+1,1))
)),0)
-IFERROR(
SUM(_xlfn._xlws.FILTER(Table_LaiKhac[Giá trị VAT],
(Table_LaiKhac[Giá trị]&gt;0)*
(ISBLANK(Table_LaiKhac[Tháng]))*
(Table_LaiKhac[Phân bổ đến]&lt;O$1)
)),0)
-IFERROR(
SUMPRODUCT(
_xlfn._xlws.FILTER(Table_LaiKhac[Giá trị VAT],
(Table_LaiKhac[Giá trị]&gt;0)*
(ISBLANK(Table_LaiKhac[Tháng]))*
(Table_LaiKhac[Phân bổ từ]&lt;DATE(YEAR(O$1),MONTH(O$1)+1,1))*
(Table_LaiKhac[Phân bổ đến]&gt;=O$1)),
_xlfn._xlws.FILTER(
ROUND((DATE(YEAR(O$1),MONTH(O$1)+1,1)-1-Table_LaiKhac[Phân bổ từ])/(365.25/12),0),
(Table_LaiKhac[Giá trị]&gt;0)*
(ISBLANK(Table_LaiKhac[Tháng]))*
(Table_LaiKhac[Phân bổ từ]&lt;DATE(YEAR(O$1),MONTH(O$1)+1,1))*
(Table_LaiKhac[Phân bổ đến]&gt;=O$1)),
1/_xlfn._xlws.FILTER(
ROUND((Table_LaiKhac[Phân bổ đến]-Table_LaiKhac[Phân bổ từ])/(365.25/12),0),
(Table_LaiKhac[Giá trị]&gt;0)*
(ISBLANK(Table_LaiKhac[Tháng]))*
(Table_LaiKhac[Phân bổ từ]&lt;DATE(YEAR(O$1),MONTH(O$1)+1,1))*
(Table_LaiKhac[Phân bổ đến]&gt;=O$1)
)),0)
-IFERROR(
SUM(_xlfn._xlws.FILTER(Table_ThuChiTC[Giá trị GD],
(Table_ThuChiTC[Loại GD]="CHI") *
(Table_ThuChiTC[Nội dung GD]="Cổ tức, lợi nhuận đã trả cho chú sở hữu") *
(Table_ThuChiTC[Ngày GD]&lt;DATE(YEAR(O$1),MONTH(O$1)+1,1))
)),0)
+IFERROR(
SUM(_xlfn._xlws.FILTER(Table_ThuChiTC[Giá trị GD],
(Table_ThuChiTC[Loại GD]="THU")*
(Table_ThuChiTC[Nội dung GD]="Cổ tức, lợi nhuận đã trả cho chú sở hữu")*
(Table_ThuChiTC[Ngày GD]&lt;DATE(YEAR(O$1),MONTH(O$1)+1,1))
)),0)</f>
        <v>0</v>
      </c>
      <c r="P115" s="310" cm="1">
        <f t="array" ref="P115">Table_BCTC[[#This Row],[Đầu kỳ]]+P116
-IFERROR(
SUM(_xlfn._xlws.FILTER(Table_TonKho[Chi phí ghi nhận],
(Table_TonKho[Kỳ]&lt;DATE(YEAR(P$1),MONTH(P$1)+1,1))*
(NOT(ISBLANK(Table_TonKho[Chức năng])))
)),0)
-IFERROR(
SUM(_xlfn._xlws.FILTER(Table_ChiPhiKD[Giá trị],
(NOT(ISBLANK(Table_ChiPhiKD[Tháng])))*
(Table_ChiPhiKD[Kỳ]&lt;DATE(YEAR(P$1),MONTH(P$1)+1,1))
)),0)
-IFERROR(
SUM(_xlfn._xlws.FILTER(Table_ChiPhiKD[Giá trị],
(ISBLANK(Table_ChiPhiKD[Tháng]))*
(Table_ChiPhiKD[Phân bổ đến]&lt;P$1)
)),0)
-IFERROR(
SUMPRODUCT(
_xlfn._xlws.FILTER(Table_ChiPhiKD[Giá trị],
(ISBLANK(Table_ChiPhiKD[Tháng]))*
(Table_ChiPhiKD[Phân bổ từ]&lt;DATE(YEAR(P$1),MONTH(P$1)+1,1))*
(Table_ChiPhiKD[Phân bổ đến]&gt;=P$1)),
_xlfn._xlws.FILTER(
ROUND((DATE(YEAR(P$1),MONTH(P$1)+1,1)-1-Table_ChiPhiKD[Phân bổ từ])/(365.25/12),0),
(ISBLANK(Table_ChiPhiKD[Tháng]))*
(Table_ChiPhiKD[Phân bổ từ]&lt;DATE(YEAR(P$1),MONTH(P$1)+1,1))*
(Table_ChiPhiKD[Phân bổ đến]&gt;=P$1)),
1/_xlfn._xlws.FILTER(
ROUND((Table_ChiPhiKD[Phân bổ đến]-Table_ChiPhiKD[Phân bổ từ])/(365.25/12),0),
(ISBLANK(Table_ChiPhiKD[Tháng]))*
(Table_ChiPhiKD[Phân bổ từ]&lt;DATE(YEAR(P$1),MONTH(P$1)+1,1))*
(Table_ChiPhiKD[Phân bổ đến]&gt;=P$1)
)),0)
-IFERROR(
SUM(_xlfn._xlws.FILTER(Table_DonMua[Phụ phí]-Table_DonMua[Khuyến mãi],
(Table_DonMua[Ngày lập]&lt;DATE(YEAR(P$1),MONTH(P$1)+1,1))
)),0)
-IFERROR(
SUM(_xlfn._xlws.FILTER(Table_TSCD_KhauHao[Khấu hao],
(Table_TSCD_KhauHao[Kỳ]&lt;DATE(YEAR(P$1),MONTH(P$1)+1,1))
)),0)
-IFERROR(
SUM(_xlfn._xlws.FILTER(Table_Main[CK kênh],
(Table_Main[Ngày lên đơn]&lt;DATE(YEAR(P$1),MONTH(P$1)+1,1))
)),0)
-IFERROR(
SUM(_xlfn._xlws.FILTER(Table_KPI[Thưởng KPI],
(NOT(ISBLANK(Table_KPI[Kênh]))) *
(NOT(ISBLANK(Table_KPI[Tháng]))) *
(Table_KPI[Kỳ]&lt;DATE(YEAR(P$1),MONTH(P$1)+1, 1))
)),0)
-IFERROR(
SUM(
_xlfn._xlws.FILTER(Table_KPI[Thưởng KPI],
(NOT(ISBLANK(Table_KPI[Kênh]))) *
(ISBLANK(Table_KPI[Tháng])) *
(Table_KPI[Năm]&lt;YEAR(P$1))
)),0)
-IFERROR(
SUM(_xlfn._xlws.FILTER(Table_KPI[Thưởng KPI],
(NOT(ISBLANK(Table_KPI[Kênh]))) *
(ISBLANK(Table_KPI[Tháng])) *
(Table_KPI[Năm]=YEAR(P$1))
))*MONTH(P$1)/12,0)
-IFERROR(
SUM(_xlfn._xlws.FILTER(Table_ChiPhiNV[Tổng chi phí],
(NOT(ISBLANK(Table_ChiPhiNV[Tháng])))*
(Table_ChiPhiNV[Kỳ]&lt;DATE(YEAR(P$1),MONTH(P$1)+1,1))
)),0)
-IFERROR(
SUM(_xlfn._xlws.FILTER(Table_ChiPhiNV[Tổng chi phí],
(ISBLANK(Table_ChiPhiNV[Tháng]))*
(Table_ChiPhiNV[Phân bổ đến]&lt;P$1)
)),0)
-IFERROR(
SUMPRODUCT(
_xlfn._xlws.FILTER(Table_ChiPhiNV[Tổng chi phí],
(ISBLANK(Table_ChiPhiNV[Tháng]))*
(Table_ChiPhiNV[Phân bổ từ]&lt;DATE(YEAR(P$1),MONTH(P$1)+1,1))*
(Table_ChiPhiNV[Phân bổ đến]&gt;=P$1)),
_xlfn._xlws.FILTER(
ROUND((DATE(YEAR(P$1),MONTH(P$1)+1,1)-1-Table_ChiPhiNV[Phân bổ từ])
/(365.25/12),0),
(ISBLANK(Table_ChiPhiNV[Tháng]))*
(Table_ChiPhiNV[Phân bổ từ]&lt;DATE(YEAR(P$1),MONTH(P$1)+1,1))*
(Table_ChiPhiNV[Phân bổ đến]&gt;=P$1)),
1/_xlfn._xlws.FILTER(
ROUND((Table_ChiPhiNV[Phân bổ đến]-Table_ChiPhiNV[Phân bổ từ])/(365.25/12),0),
(ISBLANK(Table_ChiPhiNV[Tháng]))*
(Table_ChiPhiNV[Phân bổ từ]&lt;DATE(YEAR(P$1),MONTH(P$1)+1,1))*
(Table_ChiPhiNV[Phân bổ đến]&gt;=P$1)
)),0)
-IFERROR(
SUM(_xlfn._xlws.FILTER(Table_VanDon[Phí ship],
(Table_VanDon[Bên chịu phí]="Bên bán") *
(Table_VanDon[Ngày lập]&lt;DATE(YEAR(P$1),MONTH(P$1)+1,1))
)),0)
-IFERROR(
SUM(_xlfn._xlws.FILTER(Table_ThuChiKD[Phí GD],
(Table_ThuChiKD[Ngày GD]&lt;DATE(YEAR(P$1),MONTH(P$1)+1,1))
)),0)
-IFERROR(
SUM(_xlfn._xlws.FILTER(Table_VayNo_LichTra[Lãi vay],
(Table_VayNo_LichTra[Kỳ]&lt;DATE(YEAR(P$1),MONTH(P$1)+1,1))*
(NOT(ISBLANK(Table_VayNo_LichTra[Tháng])))
)),0)
-IFERROR(
SUM(_xlfn._xlws.FILTER(Table_VayNo_LichTra[Lãi vay],
(Table_VayNo_LichTra[Năm]&lt;YEAR(P$1))*
(ISBLANK(Table_VayNo_LichTra[Tháng]))
)),0)
-IFERROR(
SUMPRODUCT(
_xlfn._xlws.FILTER(Table_VayNo_LichTra[Lãi vay],
(Table_VayNo_LichTra[Năm]=YEAR(P$1))*
(ISBLANK(Table_VayNo_LichTra[Tháng]))
),
_xlfn._xlws.FILTER(
IF(VLOOKUP(Table_VayNo_LichTra[Khoản vay],
Table_VayNo[], COUNTA(Table_VayNo[[#Headers],[Mã khoản vay]:[Ngày vay]]),
0)&lt;DATE(YEAR(P$1),1,1),MONTH(P$1),
MONTH(P$1)-MONTH(VLOOKUP(Table_VayNo_LichTra[Khoản vay],
Table_VayNo[],COUNTA(Table_VayNo[[#Headers],[Mã khoản vay]:[Ngày vay]]),
0))),
(Table_VayNo_LichTra[Năm]=YEAR(P$1))*
(ISBLANK(Table_VayNo_LichTra[Tháng]))),
_xlfn._xlws.FILTER(
IF(VLOOKUP(Table_VayNo_LichTra[Khoản vay],Table_VayNo[],COUNTA(Table_VayNo[[#Headers],[Mã khoản vay]:[Kết thúc trả gốc]]),0)
&gt;=DATE(YEAR(P$1)+1,1,1),12,MONTH(VLOOKUP(Table_VayNo_LichTra[Khoản vay],
Table_VayNo[],COUNTA(Table_VayNo[[#Headers],[Mã khoản vay]:[Kết thúc trả gốc]]),0)))
-IF(VLOOKUP(Table_VayNo_LichTra[Khoản vay],
Table_VayNo[],COUNTA(Table_VayNo[[#Headers],[Mã khoản vay]:[Ngày vay]]),0) &lt;DATE(YEAR(P$1),1,1),0,
MONTH(VLOOKUP(Table_VayNo_LichTra[Khoản vay],
Table_VayNo[],COUNTA(Table_VayNo[[#Headers],[Mã khoản vay]:[Ngày vay]]),
0))),
(Table_VayNo_LichTra[Năm]=YEAR(P$1))*
(ISBLANK(Table_VayNo_LichTra[Tháng]))
)),0)
+IFERROR(
SUM(_xlfn._xlws.FILTER(Table_DauTu_LichThu[Nhận lãi],
(Table_DauTu_LichThu[Kỳ]&lt;DATE(YEAR(P$1),MONTH(P$1)+1,1))
)),0)
+IFERROR(
SUM(_xlfn._xlws.FILTER(Table_LaiKhac[Giá trị],
(NOT(ISBLANK(Table_LaiKhac[Tháng])))*
(Table_LaiKhac[Kỳ]&lt;DATE(YEAR(P$1),MONTH(P$1)+1,1))
)),0)
+IFERROR(
SUM(_xlfn._xlws.FILTER(Table_LaiKhac[Giá trị],
(ISBLANK(Table_LaiKhac[Tháng]))*
(Table_LaiKhac[Phân bổ đến]&lt;P$1)
)),0)
+IFERROR(
SUMPRODUCT(
_xlfn._xlws.FILTER(Table_LaiKhac[Giá trị],
(ISBLANK(Table_LaiKhac[Tháng]))*
(Table_LaiKhac[Phân bổ từ]&lt;DATE(YEAR(P$1),MONTH(P$1)+1,1))*
(Table_LaiKhac[Phân bổ đến]&gt;=P$1)
),
_xlfn._xlws.FILTER(
ROUND((DATE(YEAR(P$1),MONTH(P$1)+1,1)-1-Table_LaiKhac[Phân bổ từ])/(365.25/12),0),
(ISBLANK(Table_LaiKhac[Tháng]))*
(Table_LaiKhac[Phân bổ từ]&lt;DATE(YEAR(P$1),MONTH(P$1)+1,1))*
(Table_LaiKhac[Phân bổ đến]&gt;=P$1)
),
1/_xlfn._xlws.FILTER(
ROUND((Table_LaiKhac[Phân bổ đến]-Table_LaiKhac[Phân bổ từ])/(365.25/12),0),
(ISBLANK(Table_LaiKhac[Tháng]))*
(Table_LaiKhac[Phân bổ từ]&lt;DATE(YEAR(P$1),MONTH(P$1)+1,1))*
(Table_LaiKhac[Phân bổ đến]&gt;=P$1)
)),0)
-IFERROR(
SUM(_xlfn._xlws.FILTER(Table_LaiKhac[Giá trị VAT],
(Table_LaiKhac[Giá trị]&gt;0)*
(NOT(ISBLANK(Table_LaiKhac[Tháng])))*
(Table_LaiKhac[Kỳ]&lt;DATE(YEAR(P$1),MONTH(P$1)+1,1))
)),0)
-IFERROR(
SUM(_xlfn._xlws.FILTER(Table_LaiKhac[Giá trị VAT],
(Table_LaiKhac[Giá trị]&gt;0)*
(ISBLANK(Table_LaiKhac[Tháng]))*
(Table_LaiKhac[Phân bổ đến]&lt;P$1)
)),0)
-IFERROR(
SUMPRODUCT(
_xlfn._xlws.FILTER(Table_LaiKhac[Giá trị VAT],
(Table_LaiKhac[Giá trị]&gt;0)*
(ISBLANK(Table_LaiKhac[Tháng]))*
(Table_LaiKhac[Phân bổ từ]&lt;DATE(YEAR(P$1),MONTH(P$1)+1,1))*
(Table_LaiKhac[Phân bổ đến]&gt;=P$1)),
_xlfn._xlws.FILTER(
ROUND((DATE(YEAR(P$1),MONTH(P$1)+1,1)-1-Table_LaiKhac[Phân bổ từ])/(365.25/12),0),
(Table_LaiKhac[Giá trị]&gt;0)*
(ISBLANK(Table_LaiKhac[Tháng]))*
(Table_LaiKhac[Phân bổ từ]&lt;DATE(YEAR(P$1),MONTH(P$1)+1,1))*
(Table_LaiKhac[Phân bổ đến]&gt;=P$1)),
1/_xlfn._xlws.FILTER(
ROUND((Table_LaiKhac[Phân bổ đến]-Table_LaiKhac[Phân bổ từ])/(365.25/12),0),
(Table_LaiKhac[Giá trị]&gt;0)*
(ISBLANK(Table_LaiKhac[Tháng]))*
(Table_LaiKhac[Phân bổ từ]&lt;DATE(YEAR(P$1),MONTH(P$1)+1,1))*
(Table_LaiKhac[Phân bổ đến]&gt;=P$1)
)),0)
-IFERROR(
SUM(_xlfn._xlws.FILTER(Table_ThuChiTC[Giá trị GD],
(Table_ThuChiTC[Loại GD]="CHI") *
(Table_ThuChiTC[Nội dung GD]="Cổ tức, lợi nhuận đã trả cho chú sở hữu") *
(Table_ThuChiTC[Ngày GD]&lt;DATE(YEAR(P$1),MONTH(P$1)+1,1))
)),0)
+IFERROR(
SUM(_xlfn._xlws.FILTER(Table_ThuChiTC[Giá trị GD],
(Table_ThuChiTC[Loại GD]="THU")*
(Table_ThuChiTC[Nội dung GD]="Cổ tức, lợi nhuận đã trả cho chú sở hữu")*
(Table_ThuChiTC[Ngày GD]&lt;DATE(YEAR(P$1),MONTH(P$1)+1,1))
)),0)</f>
        <v>0</v>
      </c>
      <c r="Q115" s="263"/>
      <c r="R115" s="262"/>
      <c r="S115" s="263"/>
      <c r="T115" s="263"/>
      <c r="U115" s="263"/>
      <c r="V115" s="263"/>
      <c r="W115" s="263"/>
      <c r="X115" s="263"/>
      <c r="Y115" s="263"/>
      <c r="Z115" s="263"/>
      <c r="AA115" s="263"/>
      <c r="AB115" s="263"/>
      <c r="AC115" s="263"/>
      <c r="AD115" s="263"/>
      <c r="AE115" s="263"/>
      <c r="AF115" s="263"/>
      <c r="AG115" s="263"/>
      <c r="AH115" s="263"/>
      <c r="AI115" s="263"/>
      <c r="AJ115" s="263"/>
      <c r="AK115" s="263"/>
      <c r="AL115" s="263"/>
      <c r="AM115" s="242"/>
    </row>
    <row r="116" spans="1:39" ht="18" customHeight="1" outlineLevel="4" x14ac:dyDescent="0.15">
      <c r="A116" s="240">
        <f t="shared" si="1"/>
        <v>113</v>
      </c>
      <c r="B116" s="257"/>
      <c r="C116" s="72" t="s">
        <v>1266</v>
      </c>
      <c r="D116" s="359"/>
      <c r="E116" s="310" cm="1">
        <f t="array" ref="E116">+IFERROR(
SUM(
_xlfn._xlws.FILTER(Table_DonBan[Doanh thu ròng],
(ISBLANK(Table_DonBan[Phân bổ đến]))*
(Table_DonBan[Ngày lập] &lt; DATE(BCTC_Nam,Table_BCTC_Thang[], 1))
)),0)
+IFERROR(
SUM(
_xlfn._xlws.FILTER(Table_DonBan[Doanh thu ròng],
(NOT(ISBLANK(Table_DonBan[Phân bổ đến])))*
(Table_DonBan[Phân bổ đến] &lt; DATE(BCTC_Nam,Table_BCTC_Thang[], 1))
)),0)
+IFERROR(
SUMPRODUCT(
_xlfn._xlws.FILTER(Table_DonBan[Doanh thu ròng],
(NOT(ISBLANK(Table_DonBan[Phân bổ đến])))*
(Table_DonBan[Phân bổ từ] &lt; DATE(BCTC_Nam,Table_BCTC_Thang[], 1))*
(Table_DonBan[Phân bổ đến] &gt;= DATE(BCTC_Nam,Table_BCTC_Thang[]-1, 1))
),
_xlfn._xlws.FILTER(
ROUND(
(IF(DATE(BCTC_Nam,Table_BCTC_Thang[], 1)-1 &gt;Table_DonBan[Phân bổ đến],
Table_DonBan[Phân bổ đến],DATE(BCTC_Nam,Table_BCTC_Thang[], 1)-1)
-IF(DATE(BCTC_Nam,Table_BCTC_Thang[]-1, 1) &gt;Table_DonBan[Phân bổ từ],
DATE(BCTC_Nam,Table_BCTC_Thang[]-1, 1),Table_DonBan[Phân bổ từ])
) /(365.25/12),0),
(NOT(ISBLANK(Table_DonBan[Phân bổ đến])))*
(Table_DonBan[Phân bổ từ] &lt; DATE(BCTC_Nam,Table_BCTC_Thang[], 1))*
(Table_DonBan[Phân bổ đến] &gt;= DATE(BCTC_Nam,Table_BCTC_Thang[]-1, 1))
),
1/_xlfn._xlws.FILTER(
ROUND((Table_DonBan[Phân bổ đến]-Table_DonBan[Phân bổ từ])/(365.25/12),0),
(NOT(ISBLANK(Table_DonBan[Phân bổ đến])))*
(Table_DonBan[Phân bổ từ] &lt; DATE(BCTC_Nam,Table_BCTC_Thang[], 1))*
(Table_DonBan[Phân bổ đến] &gt;= DATE(BCTC_Nam,Table_BCTC_Thang[]-1, 1))
)),0)</f>
        <v>0</v>
      </c>
      <c r="F116" s="310" cm="1">
        <f t="array" ref="F116">+IFERROR(
SUM(
_xlfn._xlws.FILTER(Table_DonBan[Doanh thu ròng],
(ISBLANK(Table_DonBan[Phân bổ đến]))*
(Table_DonBan[Ngày lập] &lt; DATE(BCTC_Nam,Table_BCTC_Thang[]+1, 1))
)),0)
+IFERROR(
SUM(
_xlfn._xlws.FILTER(Table_DonBan[Doanh thu ròng],
(NOT(ISBLANK(Table_DonBan[Phân bổ đến])))*
(Table_DonBan[Phân bổ đến] &lt; DATE(BCTC_Nam,Table_BCTC_Thang[]+1, 1))
)),0)
+IFERROR(
SUMPRODUCT(
_xlfn._xlws.FILTER(Table_DonBan[Doanh thu ròng],
(NOT(ISBLANK(Table_DonBan[Phân bổ đến])))*
(Table_DonBan[Phân bổ từ] &lt; DATE(BCTC_Nam,Table_BCTC_Thang[]+1, 1))*
(Table_DonBan[Phân bổ đến] &gt;= DATE(BCTC_Nam,Table_BCTC_Thang[], 1))
),
_xlfn._xlws.FILTER(
ROUND(
(IF(DATE(BCTC_Nam,Table_BCTC_Thang[]+1, 1)-1 &gt;Table_DonBan[Phân bổ đến],
Table_DonBan[Phân bổ đến],DATE(BCTC_Nam,Table_BCTC_Thang[]+1, 1)-1)
-IF(DATE(BCTC_Nam,Table_BCTC_Thang[], 1) &gt;Table_DonBan[Phân bổ từ],
DATE(BCTC_Nam,Table_BCTC_Thang[], 1),Table_DonBan[Phân bổ từ])
) /(365.25/12),0),
(NOT(ISBLANK(Table_DonBan[Phân bổ đến])))*
(Table_DonBan[Phân bổ từ] &lt; DATE(BCTC_Nam,Table_BCTC_Thang[]+1, 1))*
(Table_DonBan[Phân bổ đến] &gt;= DATE(BCTC_Nam,Table_BCTC_Thang[], 1))
),
1/_xlfn._xlws.FILTER(
ROUND((Table_DonBan[Phân bổ đến]-Table_DonBan[Phân bổ từ])/(365.25/12),0),
(NOT(ISBLANK(Table_DonBan[Phân bổ đến])))*
(Table_DonBan[Phân bổ từ] &lt; DATE(BCTC_Nam,Table_BCTC_Thang[]+1, 1))*
(Table_DonBan[Phân bổ đến] &gt;= DATE(BCTC_Nam,Table_BCTC_Thang[], 1))
)),0)</f>
        <v>0</v>
      </c>
      <c r="G116" s="240"/>
      <c r="H116" s="356"/>
      <c r="I116" s="72" t="s">
        <v>1266</v>
      </c>
      <c r="J116" s="310" cm="1">
        <f t="array" ref="J116">+IFERROR(
SUM(
_xlfn._xlws.FILTER(Table_DonBan[Doanh thu ròng],
(ISBLANK(Table_DonBan[Phân bổ đến]))*
(Table_DonBan[Ngày lập] &lt; DATE(J$1+1,1, 1))
)),0)
+IFERROR(
SUM(
_xlfn._xlws.FILTER(Table_DonBan[Doanh thu ròng],
(NOT(ISBLANK(Table_DonBan[Phân bổ đến])))*
(Table_DonBan[Phân bổ đến] &lt; DATE(J$1,1,1))
)),0)
+IFERROR(
SUMPRODUCT(
_xlfn._xlws.FILTER(Table_DonBan[Doanh thu ròng],
(NOT(ISBLANK(Table_DonBan[Phân bổ đến])))*
(Table_DonBan[Phân bổ từ] &lt; DATE(J$1+1,1,1))*
(Table_DonBan[Phân bổ đến] &gt;= DATE(J$1,1,1))
),
_xlfn._xlws.FILTER(
ROUND(
(IF(DATE(J$1+1,1,1)-1 &gt;Table_DonBan[Phân bổ đến],
Table_DonBan[Phân bổ đến],DATE(J$1+1,1,1)-1)
-IF(DATE(J$1,1,1) &gt;Table_DonBan[Phân bổ từ],
DATE(J$1,1,1),Table_DonBan[Phân bổ từ])
) /(365.25/12),0),
(NOT(ISBLANK(Table_DonBan[Phân bổ đến])))*
(Table_DonBan[Phân bổ từ] &lt; DATE(J$1+1,1,1))*
(Table_DonBan[Phân bổ đến] &gt;= DATE(J$1,1,1))
),
1/_xlfn._xlws.FILTER(
ROUND((Table_DonBan[Phân bổ đến]-Table_DonBan[Phân bổ từ])/(365.25/12),0),
(NOT(ISBLANK(Table_DonBan[Phân bổ đến])))*
(Table_DonBan[Phân bổ từ] &lt; DATE(J$1+1,1,1))*
(Table_DonBan[Phân bổ đến] &gt;= DATE(J$1,1,1))
)),0)</f>
        <v>0</v>
      </c>
      <c r="K116" s="310" cm="1">
        <f t="array" ref="K116">+IFERROR(
SUM(
_xlfn._xlws.FILTER(Table_DonBan[Doanh thu ròng],
(ISBLANK(Table_DonBan[Phân bổ đến]))*
(Table_DonBan[Ngày lập] &lt; DATE(K$1+1,1, 1))
)),0)
+IFERROR(
SUM(
_xlfn._xlws.FILTER(Table_DonBan[Doanh thu ròng],
(NOT(ISBLANK(Table_DonBan[Phân bổ đến])))*
(Table_DonBan[Phân bổ đến] &lt; DATE(K$1,1,1))
)),0)
+IFERROR(
SUMPRODUCT(
_xlfn._xlws.FILTER(Table_DonBan[Doanh thu ròng],
(NOT(ISBLANK(Table_DonBan[Phân bổ đến])))*
(Table_DonBan[Phân bổ từ] &lt; DATE(K$1+1,1,1))*
(Table_DonBan[Phân bổ đến] &gt;= DATE(K$1,1,1))
),
_xlfn._xlws.FILTER(
ROUND(
(IF(DATE(K$1+1,1,1)-1 &gt;Table_DonBan[Phân bổ đến],
Table_DonBan[Phân bổ đến],DATE(K$1+1,1,1)-1)
-IF(DATE(K$1,1,1) &gt;Table_DonBan[Phân bổ từ],
DATE(K$1,1,1),Table_DonBan[Phân bổ từ])
) /(365.25/12),0),
(NOT(ISBLANK(Table_DonBan[Phân bổ đến])))*
(Table_DonBan[Phân bổ từ] &lt; DATE(K$1+1,1,1))*
(Table_DonBan[Phân bổ đến] &gt;= DATE(K$1,1,1))
),
1/_xlfn._xlws.FILTER(
ROUND((Table_DonBan[Phân bổ đến]-Table_DonBan[Phân bổ từ])/(365.25/12),0),
(NOT(ISBLANK(Table_DonBan[Phân bổ đến])))*
(Table_DonBan[Phân bổ từ] &lt; DATE(K$1+1,1,1))*
(Table_DonBan[Phân bổ đến] &gt;= DATE(K$1,1,1))
)),0)</f>
        <v>0</v>
      </c>
      <c r="L116" s="240"/>
      <c r="M116" s="362"/>
      <c r="N116" s="72" t="s">
        <v>1266</v>
      </c>
      <c r="O116" s="310" cm="1">
        <f t="array" ref="O116">+IFERROR(
SUM(_xlfn._xlws.FILTER(Table_DonBan[Doanh thu ròng],
(ISBLANK(Table_DonBan[Phân bổ đến]))*
(Table_DonBan[Ngày lập]&lt;DATE(YEAR(O$1),MONTH(O$1)+1,1))
)),0)
+IFERROR(
SUM(_xlfn._xlws.FILTER(Table_DonBan[Doanh thu ròng],
(NOT(ISBLANK(Table_DonBan[Phân bổ đến])))*
(Table_DonBan[Phân bổ đến]&lt;DATE(YEAR(O$1),MONTH(O$1)+1,1))
)),0)
+IFERROR(
SUMPRODUCT(
_xlfn._xlws.FILTER(Table_DonBan[Doanh thu ròng],
(NOT(ISBLANK(Table_DonBan[Phân bổ đến])))*
(Table_DonBan[Phân bổ từ]&lt;DATE(YEAR(O$1),MONTH(O$1)+1,1))*
(Table_DonBan[Phân bổ đến]&gt;=O$1)),
_xlfn._xlws.FILTER(
ROUND((IF(DATE(YEAR(O$1),MONTH(O$1)+1,1)-1&gt;Table_DonBan[Phân bổ đến],
Table_DonBan[Phân bổ đến],DATE(YEAR(O$1),MONTH(O$1)+1,1)-1)
-IF(O$1&gt;Table_DonBan[Phân bổ từ],O$1,Table_DonBan[Phân bổ từ]))/(365.25/12),0),
(NOT(ISBLANK(Table_DonBan[Phân bổ đến])))*
(Table_DonBan[Phân bổ từ]&lt;DATE(YEAR(O$1),MONTH(O$1)+1,1))*
(Table_DonBan[Phân bổ đến]&gt;=O$1)),
1/_xlfn._xlws.FILTER(
ROUND((Table_DonBan[Phân bổ đến]-Table_DonBan[Phân bổ từ])/(365.25/12),0),
(NOT(ISBLANK(Table_DonBan[Phân bổ đến])))*
(Table_DonBan[Phân bổ từ]&lt;DATE(YEAR(O$1),MONTH(O$1)+1,1))*
(Table_DonBan[Phân bổ đến]&gt;=O$1)
)),0)</f>
        <v>0</v>
      </c>
      <c r="P116" s="310" cm="1">
        <f t="array" ref="P116">+IFERROR(
SUM(_xlfn._xlws.FILTER(Table_DonBan[Doanh thu ròng],
(ISBLANK(Table_DonBan[Phân bổ đến]))*
(Table_DonBan[Ngày lập]&lt;DATE(YEAR(P$1),MONTH(P$1)+1,1))
)),0)
+IFERROR(
SUM(_xlfn._xlws.FILTER(Table_DonBan[Doanh thu ròng],
(NOT(ISBLANK(Table_DonBan[Phân bổ đến])))*
(Table_DonBan[Phân bổ đến]&lt;DATE(YEAR(P$1),MONTH(P$1)+1,1))
)),0)
+IFERROR(
SUMPRODUCT(
_xlfn._xlws.FILTER(Table_DonBan[Doanh thu ròng],
(NOT(ISBLANK(Table_DonBan[Phân bổ đến])))*
(Table_DonBan[Phân bổ từ]&lt;DATE(YEAR(P$1),MONTH(P$1)+1,1))*
(Table_DonBan[Phân bổ đến]&gt;=P$1)),
_xlfn._xlws.FILTER(
ROUND((IF(DATE(YEAR(P$1),MONTH(P$1)+1,1)-1&gt;Table_DonBan[Phân bổ đến],
Table_DonBan[Phân bổ đến],DATE(YEAR(P$1),MONTH(P$1)+1,1)-1)
-IF(P$1&gt;Table_DonBan[Phân bổ từ],P$1,Table_DonBan[Phân bổ từ]))/(365.25/12),0),
(NOT(ISBLANK(Table_DonBan[Phân bổ đến])))*
(Table_DonBan[Phân bổ từ]&lt;DATE(YEAR(P$1),MONTH(P$1)+1,1))*
(Table_DonBan[Phân bổ đến]&gt;=P$1)),
1/_xlfn._xlws.FILTER(
ROUND((Table_DonBan[Phân bổ đến]-Table_DonBan[Phân bổ từ])/(365.25/12),0),
(NOT(ISBLANK(Table_DonBan[Phân bổ đến])))*
(Table_DonBan[Phân bổ từ]&lt;DATE(YEAR(P$1),MONTH(P$1)+1,1))*
(Table_DonBan[Phân bổ đến]&gt;=P$1)
)),0)</f>
        <v>0</v>
      </c>
      <c r="Q116" s="263"/>
      <c r="R116" s="263"/>
      <c r="S116" s="263"/>
      <c r="T116" s="263"/>
      <c r="U116" s="263"/>
      <c r="V116" s="263"/>
      <c r="W116" s="263"/>
      <c r="X116" s="263"/>
      <c r="Y116" s="263"/>
      <c r="Z116" s="263"/>
      <c r="AA116" s="263"/>
      <c r="AB116" s="263"/>
      <c r="AC116" s="263"/>
      <c r="AD116" s="263"/>
      <c r="AE116" s="263"/>
      <c r="AF116" s="263"/>
      <c r="AG116" s="263"/>
      <c r="AH116" s="263"/>
      <c r="AI116" s="263"/>
      <c r="AJ116" s="263"/>
      <c r="AK116" s="263"/>
      <c r="AL116" s="263"/>
      <c r="AM116" s="242"/>
    </row>
    <row r="117" spans="1:39" ht="18" customHeight="1" outlineLevel="2" x14ac:dyDescent="0.15">
      <c r="A117" s="240">
        <f t="shared" si="1"/>
        <v>114</v>
      </c>
      <c r="B117" s="257">
        <v>430</v>
      </c>
      <c r="C117" s="73" t="s">
        <v>478</v>
      </c>
      <c r="D117" s="242"/>
      <c r="E117" s="310"/>
      <c r="F117" s="242"/>
      <c r="G117" s="240"/>
      <c r="H117" s="257">
        <v>430</v>
      </c>
      <c r="I117" s="73" t="s">
        <v>478</v>
      </c>
      <c r="J117" s="310"/>
      <c r="K117" s="310"/>
      <c r="L117" s="240"/>
      <c r="M117" s="257">
        <v>430</v>
      </c>
      <c r="N117" s="73" t="s">
        <v>478</v>
      </c>
      <c r="O117" s="242"/>
      <c r="P117" s="242"/>
      <c r="Q117" s="263"/>
      <c r="R117" s="263"/>
      <c r="S117" s="263"/>
      <c r="T117" s="263"/>
      <c r="U117" s="263"/>
      <c r="V117" s="263"/>
      <c r="W117" s="263"/>
      <c r="X117" s="263"/>
      <c r="Y117" s="263"/>
      <c r="Z117" s="263"/>
      <c r="AA117" s="263"/>
      <c r="AB117" s="263"/>
      <c r="AC117" s="263"/>
      <c r="AD117" s="263"/>
      <c r="AE117" s="263"/>
      <c r="AF117" s="263"/>
      <c r="AG117" s="263"/>
      <c r="AH117" s="263"/>
      <c r="AI117" s="263"/>
      <c r="AJ117" s="263"/>
      <c r="AK117" s="263"/>
      <c r="AL117" s="263"/>
      <c r="AM117" s="242"/>
    </row>
    <row r="118" spans="1:39" ht="18" customHeight="1" x14ac:dyDescent="0.15">
      <c r="A118" s="240">
        <f t="shared" si="1"/>
        <v>115</v>
      </c>
      <c r="B118" s="257"/>
      <c r="C118" s="365"/>
      <c r="D118" s="240"/>
      <c r="E118" s="355"/>
      <c r="F118" s="355"/>
      <c r="G118" s="240"/>
      <c r="H118" s="356"/>
      <c r="I118" s="365"/>
      <c r="J118" s="355"/>
      <c r="K118" s="355"/>
      <c r="L118" s="240"/>
      <c r="M118" s="362"/>
      <c r="N118" s="358"/>
      <c r="O118" s="355"/>
      <c r="P118" s="355"/>
      <c r="Q118" s="263"/>
      <c r="R118" s="263"/>
      <c r="S118" s="263"/>
      <c r="T118" s="263"/>
      <c r="U118" s="263"/>
      <c r="V118" s="263"/>
      <c r="W118" s="263"/>
      <c r="X118" s="263"/>
      <c r="Y118" s="263"/>
      <c r="Z118" s="263"/>
      <c r="AA118" s="263"/>
      <c r="AB118" s="263"/>
      <c r="AC118" s="263"/>
      <c r="AD118" s="263"/>
      <c r="AE118" s="263"/>
      <c r="AF118" s="263"/>
      <c r="AG118" s="263"/>
      <c r="AH118" s="263"/>
      <c r="AI118" s="263"/>
      <c r="AJ118" s="263"/>
      <c r="AK118" s="263"/>
      <c r="AL118" s="263"/>
      <c r="AM118" s="242"/>
    </row>
    <row r="119" spans="1:39" ht="18" customHeight="1" x14ac:dyDescent="0.15">
      <c r="A119" s="240">
        <f t="shared" si="1"/>
        <v>116</v>
      </c>
      <c r="B119" s="257"/>
      <c r="C119" s="74" t="s">
        <v>479</v>
      </c>
      <c r="D119" s="240"/>
      <c r="E119" s="355"/>
      <c r="F119" s="355"/>
      <c r="G119" s="240"/>
      <c r="H119" s="356"/>
      <c r="I119" s="74" t="s">
        <v>479</v>
      </c>
      <c r="J119" s="355"/>
      <c r="K119" s="355"/>
      <c r="L119" s="240"/>
      <c r="M119" s="362"/>
      <c r="N119" s="74" t="s">
        <v>479</v>
      </c>
      <c r="O119" s="355"/>
      <c r="P119" s="355"/>
      <c r="Q119" s="263"/>
      <c r="R119" s="263"/>
      <c r="S119" s="263"/>
      <c r="T119" s="263"/>
      <c r="U119" s="263"/>
      <c r="V119" s="263"/>
      <c r="W119" s="263"/>
      <c r="X119" s="263"/>
      <c r="Y119" s="263"/>
      <c r="Z119" s="263"/>
      <c r="AA119" s="263"/>
      <c r="AB119" s="263"/>
      <c r="AC119" s="263"/>
      <c r="AD119" s="263"/>
      <c r="AE119" s="263"/>
      <c r="AF119" s="263"/>
      <c r="AG119" s="263"/>
      <c r="AH119" s="263"/>
      <c r="AI119" s="263"/>
      <c r="AJ119" s="263"/>
      <c r="AK119" s="263"/>
      <c r="AL119" s="263"/>
      <c r="AM119" s="242"/>
    </row>
    <row r="120" spans="1:39" ht="18" customHeight="1" outlineLevel="1" x14ac:dyDescent="0.15">
      <c r="A120" s="240">
        <f t="shared" si="1"/>
        <v>117</v>
      </c>
      <c r="B120" s="356"/>
      <c r="C120" s="79" t="s">
        <v>480</v>
      </c>
      <c r="D120" s="263"/>
      <c r="E120" s="355"/>
      <c r="F120" s="355"/>
      <c r="G120" s="240"/>
      <c r="H120" s="356"/>
      <c r="I120" s="79" t="s">
        <v>480</v>
      </c>
      <c r="J120" s="355"/>
      <c r="K120" s="355"/>
      <c r="L120" s="240"/>
      <c r="M120" s="356"/>
      <c r="N120" s="79" t="s">
        <v>480</v>
      </c>
      <c r="O120" s="355"/>
      <c r="P120" s="355"/>
      <c r="Q120" s="263"/>
      <c r="R120" s="263"/>
      <c r="S120" s="263"/>
      <c r="T120" s="263"/>
      <c r="U120" s="263"/>
      <c r="V120" s="263"/>
      <c r="W120" s="263"/>
      <c r="X120" s="263"/>
      <c r="Y120" s="263"/>
      <c r="Z120" s="263"/>
      <c r="AA120" s="263"/>
      <c r="AB120" s="263"/>
      <c r="AC120" s="263"/>
      <c r="AD120" s="263"/>
      <c r="AE120" s="263"/>
      <c r="AF120" s="263"/>
      <c r="AG120" s="263"/>
      <c r="AH120" s="263"/>
      <c r="AI120" s="263"/>
      <c r="AJ120" s="263"/>
      <c r="AK120" s="263"/>
      <c r="AL120" s="263"/>
      <c r="AM120" s="242"/>
    </row>
    <row r="121" spans="1:39" ht="18" customHeight="1" outlineLevel="2" x14ac:dyDescent="0.15">
      <c r="A121" s="240">
        <f t="shared" si="1"/>
        <v>118</v>
      </c>
      <c r="B121" s="356"/>
      <c r="C121" s="78" t="s">
        <v>481</v>
      </c>
      <c r="D121" s="263"/>
      <c r="E121" s="80">
        <f>+IFERROR(E16/E7,0)</f>
        <v>0</v>
      </c>
      <c r="F121" s="80">
        <f>+IFERROR(F16/F7,0)</f>
        <v>0</v>
      </c>
      <c r="G121" s="240"/>
      <c r="H121" s="356"/>
      <c r="I121" s="78" t="s">
        <v>481</v>
      </c>
      <c r="J121" s="80">
        <f>+IFERROR(J16/J7,0)</f>
        <v>0</v>
      </c>
      <c r="K121" s="80">
        <f>+IFERROR(K16/K7,0)</f>
        <v>0</v>
      </c>
      <c r="L121" s="240"/>
      <c r="M121" s="356"/>
      <c r="N121" s="78" t="s">
        <v>481</v>
      </c>
      <c r="O121" s="80">
        <f>+IFERROR(O16/O7,0)</f>
        <v>0</v>
      </c>
      <c r="P121" s="80">
        <f>+IFERROR(P16/P7,0)</f>
        <v>0</v>
      </c>
      <c r="Q121" s="263"/>
      <c r="R121" s="263"/>
      <c r="S121" s="263"/>
      <c r="T121" s="263"/>
      <c r="U121" s="263"/>
      <c r="V121" s="263"/>
      <c r="W121" s="263"/>
      <c r="X121" s="263"/>
      <c r="Y121" s="263"/>
      <c r="Z121" s="263"/>
      <c r="AA121" s="263"/>
      <c r="AB121" s="263"/>
      <c r="AC121" s="263"/>
      <c r="AD121" s="263"/>
      <c r="AE121" s="263"/>
      <c r="AF121" s="263"/>
      <c r="AG121" s="263"/>
      <c r="AH121" s="263"/>
      <c r="AI121" s="263"/>
      <c r="AJ121" s="263"/>
      <c r="AK121" s="263"/>
      <c r="AL121" s="263"/>
      <c r="AM121" s="242"/>
    </row>
    <row r="122" spans="1:39" ht="18" customHeight="1" outlineLevel="2" x14ac:dyDescent="0.15">
      <c r="A122" s="240">
        <f t="shared" si="1"/>
        <v>119</v>
      </c>
      <c r="B122" s="356"/>
      <c r="C122" s="78" t="s">
        <v>482</v>
      </c>
      <c r="D122" s="263"/>
      <c r="E122" s="80">
        <f>+IFERROR(E36/E7,0)</f>
        <v>0</v>
      </c>
      <c r="F122" s="80">
        <f>+IFERROR(F36/F7,0)</f>
        <v>0</v>
      </c>
      <c r="G122" s="240"/>
      <c r="H122" s="356"/>
      <c r="I122" s="78" t="s">
        <v>482</v>
      </c>
      <c r="J122" s="80">
        <f>+IFERROR(J36/J7,0)</f>
        <v>0</v>
      </c>
      <c r="K122" s="80">
        <f>+IFERROR(K36/K7,0)</f>
        <v>0</v>
      </c>
      <c r="L122" s="240"/>
      <c r="M122" s="356"/>
      <c r="N122" s="78" t="s">
        <v>482</v>
      </c>
      <c r="O122" s="80">
        <f>+IFERROR(O36/O7,0)</f>
        <v>0</v>
      </c>
      <c r="P122" s="80">
        <f>+IFERROR(P36/P7,0)</f>
        <v>0</v>
      </c>
      <c r="Q122" s="263"/>
      <c r="R122" s="263"/>
      <c r="S122" s="263"/>
      <c r="T122" s="263"/>
      <c r="U122" s="263"/>
      <c r="V122" s="263"/>
      <c r="W122" s="263"/>
      <c r="X122" s="263"/>
      <c r="Y122" s="263"/>
      <c r="Z122" s="263"/>
      <c r="AA122" s="263"/>
      <c r="AB122" s="263"/>
      <c r="AC122" s="263"/>
      <c r="AD122" s="263"/>
      <c r="AE122" s="263"/>
      <c r="AF122" s="263"/>
      <c r="AG122" s="263"/>
      <c r="AH122" s="263"/>
      <c r="AI122" s="263"/>
      <c r="AJ122" s="263"/>
      <c r="AK122" s="263"/>
      <c r="AL122" s="263"/>
      <c r="AM122" s="242"/>
    </row>
    <row r="123" spans="1:39" ht="18" customHeight="1" outlineLevel="2" x14ac:dyDescent="0.15">
      <c r="A123" s="240">
        <f t="shared" si="1"/>
        <v>120</v>
      </c>
      <c r="B123" s="356"/>
      <c r="C123" s="78" t="s">
        <v>483</v>
      </c>
      <c r="D123" s="263"/>
      <c r="E123" s="80">
        <f>+IFERROR(E46/E7,0)</f>
        <v>0</v>
      </c>
      <c r="F123" s="80">
        <f>+IFERROR(F46/F7,0)</f>
        <v>0</v>
      </c>
      <c r="G123" s="240"/>
      <c r="H123" s="356"/>
      <c r="I123" s="78" t="s">
        <v>483</v>
      </c>
      <c r="J123" s="80">
        <f>+IFERROR(J46/J7,0)</f>
        <v>0</v>
      </c>
      <c r="K123" s="80">
        <f>+IFERROR(K46/K7,0)</f>
        <v>0</v>
      </c>
      <c r="L123" s="240"/>
      <c r="M123" s="356"/>
      <c r="N123" s="78" t="s">
        <v>483</v>
      </c>
      <c r="O123" s="80">
        <f>+IFERROR(O46/O7,0)</f>
        <v>0</v>
      </c>
      <c r="P123" s="80">
        <f>+IFERROR(P46/P7,0)</f>
        <v>0</v>
      </c>
      <c r="Q123" s="263"/>
      <c r="R123" s="263"/>
      <c r="S123" s="263"/>
      <c r="T123" s="263"/>
      <c r="U123" s="263"/>
      <c r="V123" s="263"/>
      <c r="W123" s="263"/>
      <c r="X123" s="263"/>
      <c r="Y123" s="263"/>
      <c r="Z123" s="263"/>
      <c r="AA123" s="263"/>
      <c r="AB123" s="263"/>
      <c r="AC123" s="263"/>
      <c r="AD123" s="263"/>
      <c r="AE123" s="263"/>
      <c r="AF123" s="263"/>
      <c r="AG123" s="263"/>
      <c r="AH123" s="263"/>
      <c r="AI123" s="263"/>
      <c r="AJ123" s="263"/>
      <c r="AK123" s="263"/>
      <c r="AL123" s="263"/>
      <c r="AM123" s="242"/>
    </row>
    <row r="124" spans="1:39" ht="18" customHeight="1" outlineLevel="2" x14ac:dyDescent="0.15">
      <c r="A124" s="240">
        <f t="shared" si="1"/>
        <v>121</v>
      </c>
      <c r="B124" s="356"/>
      <c r="C124" s="78" t="s">
        <v>484</v>
      </c>
      <c r="D124" s="263"/>
      <c r="E124" s="80">
        <f xml:space="preserve">
IFERROR(
E46/
((E73+E86
+ IFERROR(HLOOKUP(E$1-1,Table_BCTC_Nam[],$A$73,0),$D$73)
+ IFERROR(HLOOKUP(E$1-1,Table_BCTC_Nam[],$A$86,0),$D$86)
)/2),0)</f>
        <v>0</v>
      </c>
      <c r="F124" s="80">
        <f>IFERROR(F46/
((F73+F86
+ IFERROR(
HLOOKUP(DATE(YEAR(F$1),MONTH(F$1)-1,1),Table_BCTC_Thang[],$A$73,0),
$D$73)
+ IFERROR(HLOOKUP(DATE(YEAR(F$1),MONTH(F$1)-1,1),Table_BCTC_Thang[],$A$86,0),
$D$86)
)/2),0)</f>
        <v>0</v>
      </c>
      <c r="G124" s="240"/>
      <c r="H124" s="356"/>
      <c r="I124" s="78" t="s">
        <v>484</v>
      </c>
      <c r="J124" s="80">
        <f xml:space="preserve">
IFERROR(
J46/
((J73+J86
+ IFERROR(HLOOKUP(J$1-1,Table_BCTC_Nam[],$A$73,0),$D$73)
+ IFERROR(HLOOKUP(J$1-1,Table_BCTC_Nam[],$A$86,0),$D$86)
)/2),0)</f>
        <v>0</v>
      </c>
      <c r="K124" s="80">
        <f xml:space="preserve">
IFERROR(
K46/
((K73+K86
+ IFERROR(HLOOKUP(K$1-1,Table_BCTC_Nam[],$A$73,0),$D$73)
+ IFERROR(HLOOKUP(K$1-1,Table_BCTC_Nam[],$A$86,0),$D$86)
)/2),0)</f>
        <v>0</v>
      </c>
      <c r="L124" s="240"/>
      <c r="M124" s="356"/>
      <c r="N124" s="78" t="s">
        <v>484</v>
      </c>
      <c r="O124" s="80">
        <f ca="1">IFERROR(O46/
((O73+O86
+ IFERROR(
HLOOKUP(DATE(YEAR(O$1),MONTH(O$1)-1,1),Table_BCTC_Thang[],$A$73,0),
$D$73)
+ IFERROR(HLOOKUP(DATE(YEAR(O$1),MONTH(O$1)-1,1),Table_BCTC_Thang[],$A$86,0),
$D$86)
)/2),0)</f>
        <v>0</v>
      </c>
      <c r="P124" s="80">
        <f ca="1">IFERROR(P46/
((P73+P86
+ IFERROR(
HLOOKUP(DATE(YEAR(P$1),MONTH(P$1)-1,1),Table_BCTC_Thang[],$A$73,0),
$D$73)
+ IFERROR(HLOOKUP(DATE(YEAR(P$1),MONTH(P$1)-1,1),Table_BCTC_Thang[],$A$86,0),
$D$86)
)/2),0)</f>
        <v>0</v>
      </c>
      <c r="Q124" s="263"/>
      <c r="R124" s="263"/>
      <c r="S124" s="263"/>
      <c r="T124" s="263"/>
      <c r="U124" s="263"/>
      <c r="V124" s="263"/>
      <c r="W124" s="263"/>
      <c r="X124" s="263"/>
      <c r="Y124" s="263"/>
      <c r="Z124" s="263"/>
      <c r="AA124" s="263"/>
      <c r="AB124" s="263"/>
      <c r="AC124" s="263"/>
      <c r="AD124" s="263"/>
      <c r="AE124" s="263"/>
      <c r="AF124" s="263"/>
      <c r="AG124" s="263"/>
      <c r="AH124" s="263"/>
      <c r="AI124" s="263"/>
      <c r="AJ124" s="263"/>
      <c r="AK124" s="263"/>
      <c r="AL124" s="263"/>
      <c r="AM124" s="242"/>
    </row>
    <row r="125" spans="1:39" ht="18" customHeight="1" outlineLevel="2" x14ac:dyDescent="0.15">
      <c r="A125" s="240">
        <f t="shared" si="1"/>
        <v>122</v>
      </c>
      <c r="B125" s="356"/>
      <c r="C125" s="78" t="s">
        <v>485</v>
      </c>
      <c r="D125" s="263"/>
      <c r="E125" s="80">
        <f>IFERROR(E46/
((E111
+ IFERROR(HLOOKUP(E$1-1,Table_BCTC_Nam[],$A$111,0),$D$111)
)/2),0)</f>
        <v>0</v>
      </c>
      <c r="F125" s="80" t="e">
        <f>F46/
((F111
+ IFERROR(
HLOOKUP(DATE(YEAR(F$1),MONTH(F$1)-1,1),Table_BCTC_Thang[],$A$111,0),
$D$111)
)/2)</f>
        <v>#DIV/0!</v>
      </c>
      <c r="G125" s="240"/>
      <c r="H125" s="356"/>
      <c r="I125" s="78" t="s">
        <v>485</v>
      </c>
      <c r="J125" s="80">
        <f>IFERROR(J46/
((J111
+ IFERROR(HLOOKUP(J$1-1,Table_BCTC_Nam[],$A$111,0),$D$111)
)/2),0)</f>
        <v>0</v>
      </c>
      <c r="K125" s="80">
        <f>IFERROR(K46/
((K111
+ IFERROR(HLOOKUP(K$1-1,Table_BCTC_Nam[],$A$111,0),$D$111)
)/2),0)</f>
        <v>0</v>
      </c>
      <c r="L125" s="240"/>
      <c r="M125" s="356"/>
      <c r="N125" s="78" t="s">
        <v>485</v>
      </c>
      <c r="O125" s="80" t="e">
        <f>O46/
((O111
+ IFERROR(
HLOOKUP(DATE(YEAR(O$1),MONTH(O$1)-1,1),Table_BCTC_Thang[],$A$111,0),
$D$111)
)/2)</f>
        <v>#DIV/0!</v>
      </c>
      <c r="P125" s="80" t="e">
        <f>P46/
((P111
+ IFERROR(
HLOOKUP(DATE(YEAR(P$1),MONTH(P$1)-1,1),Table_BCTC_Thang[],$A$111,0),
$D$111)
)/2)</f>
        <v>#DIV/0!</v>
      </c>
      <c r="Q125" s="263"/>
      <c r="R125" s="263"/>
      <c r="S125" s="263"/>
      <c r="T125" s="263"/>
      <c r="U125" s="263"/>
      <c r="V125" s="263"/>
      <c r="W125" s="263"/>
      <c r="X125" s="263"/>
      <c r="Y125" s="263"/>
      <c r="Z125" s="263"/>
      <c r="AA125" s="263"/>
      <c r="AB125" s="263"/>
      <c r="AC125" s="263"/>
      <c r="AD125" s="263"/>
      <c r="AE125" s="263"/>
      <c r="AF125" s="263"/>
      <c r="AG125" s="263"/>
      <c r="AH125" s="263"/>
      <c r="AI125" s="263"/>
      <c r="AJ125" s="263"/>
      <c r="AK125" s="263"/>
      <c r="AL125" s="263"/>
      <c r="AM125" s="242"/>
    </row>
    <row r="126" spans="1:39" ht="18" customHeight="1" outlineLevel="2" x14ac:dyDescent="0.15">
      <c r="A126" s="240">
        <f t="shared" si="1"/>
        <v>123</v>
      </c>
      <c r="B126" s="356"/>
      <c r="C126" s="78" t="s">
        <v>486</v>
      </c>
      <c r="D126" s="263"/>
      <c r="E126" s="80">
        <f xml:space="preserve">
IFERROR(
(E$36-E$33-E$26-E$14)/
((E$92+E$83+E$77+E$78+E$79+E$88+E$89+E$90
+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)/2),0)</f>
        <v>0</v>
      </c>
      <c r="F126" s="219">
        <f>(F$36-F$33-F$26-F$14)/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26" s="240"/>
      <c r="H126" s="356"/>
      <c r="I126" s="78" t="s">
        <v>486</v>
      </c>
      <c r="J126" s="80">
        <f xml:space="preserve">
IFERROR(
(J$36-J$33-J$26-J$14)/
((J$92+J$83+J$77+J$78+J$79+J$88+J$89+J$90
+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)/2),0)</f>
        <v>0</v>
      </c>
      <c r="K126" s="80">
        <f xml:space="preserve">
IFERROR(
(K$36-K$33-K$26-K$14)/
((K$92+K$83+K$77+K$78+K$79+K$88+K$89+K$90
+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)/2),0)</f>
        <v>0</v>
      </c>
      <c r="L126" s="240"/>
      <c r="M126" s="356"/>
      <c r="N126" s="78" t="s">
        <v>486</v>
      </c>
      <c r="O126" s="219">
        <f>(O$36-O$33-O$26-O$14)/
((O92+O83+O77+O78+O79+O88+O89+O90
+ IFERROR(HLOOKUP(DATE(YEAR(O$1),MONTH(O$1)-1,1),Table_BCTC_Thang[],$A$92,0),
$D$92)
+ IFERROR(HLOOKUP(DATE(YEAR(O$1),MONTH(O$1)-1,1),Table_BCTC_Thang[],$A$83,0),
$D$83)
+ IFERROR(HLOOKUP(DATE(YEAR(O$1),MONTH(O$1)-1,1),Table_BCTC_Thang[],$A$77,0),
$D$77)
+ IFERROR(HLOOKUP(DATE(YEAR(O$1),MONTH(O$1)-1,1),Table_BCTC_Thang[],$A$78,0),
$D$78)
+ IFERROR(HLOOKUP(DATE(YEAR(O$1),MONTH(O$1)-1,1),Table_BCTC_Thang[],$A$79,0),
$D$79)
+ IFERROR(HLOOKUP(DATE(YEAR(O$1),MONTH(O$1)-1,1),Table_BCTC_Thang[],$A$88,0),
$D$88)
+ IFERROR(HLOOKUP(DATE(YEAR(O$1),MONTH(O$1)-1,1),Table_BCTC_Thang[],$A$89,0),
$D$89)
+ IFERROR(HLOOKUP(DATE(YEAR(O$1),MONTH(O$1)-1,1),Table_BCTC_Thang[],$A$90,0),
$D$90)
)/2)</f>
        <v>0</v>
      </c>
      <c r="P126" s="219">
        <f>(P$36-P$33-P$26-P$14)/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26" s="263"/>
      <c r="R126" s="263"/>
      <c r="S126" s="263"/>
      <c r="T126" s="263"/>
      <c r="U126" s="263"/>
      <c r="V126" s="263"/>
      <c r="W126" s="263"/>
      <c r="X126" s="263"/>
      <c r="Y126" s="263"/>
      <c r="Z126" s="263"/>
      <c r="AA126" s="263"/>
      <c r="AB126" s="263"/>
      <c r="AC126" s="263"/>
      <c r="AD126" s="263"/>
      <c r="AE126" s="263"/>
      <c r="AF126" s="263"/>
      <c r="AG126" s="263"/>
      <c r="AH126" s="263"/>
      <c r="AI126" s="263"/>
      <c r="AJ126" s="263"/>
      <c r="AK126" s="263"/>
      <c r="AL126" s="263"/>
      <c r="AM126" s="242"/>
    </row>
    <row r="127" spans="1:39" ht="18" customHeight="1" outlineLevel="2" x14ac:dyDescent="0.15">
      <c r="A127" s="240">
        <f t="shared" si="1"/>
        <v>124</v>
      </c>
      <c r="B127" s="356"/>
      <c r="C127" s="78" t="s">
        <v>487</v>
      </c>
      <c r="D127" s="263"/>
      <c r="E127" s="80" t="e">
        <f>(E36-E33-E26-E14)/-(E8+E17+E28-E33-E26-E14-E19-E23-E21+E38)</f>
        <v>#DIV/0!</v>
      </c>
      <c r="F127" s="80" t="e">
        <f>(F36-F33-F26-F14)/-(F8+F17+F28-F33-F26-F14-F19-F23-F21+F38)</f>
        <v>#DIV/0!</v>
      </c>
      <c r="G127" s="240"/>
      <c r="H127" s="356"/>
      <c r="I127" s="78" t="s">
        <v>487</v>
      </c>
      <c r="J127" s="80" t="e">
        <f>(J36-J33-J26-J14)/-(J8+J17+J28-J33-J26-J14-J19-J23-J21+J38)</f>
        <v>#DIV/0!</v>
      </c>
      <c r="K127" s="80" t="e">
        <f>(K36-K33-K26-K14)/-(K8+K17+K28-K33-K26-K14-K19-K23-K21+K38)</f>
        <v>#DIV/0!</v>
      </c>
      <c r="L127" s="240"/>
      <c r="M127" s="356"/>
      <c r="N127" s="78" t="s">
        <v>487</v>
      </c>
      <c r="O127" s="80" t="e">
        <f>(O36-O33-O26-O14)/-(O8+O17+O28-O33-O26-O14-O19-O23-O21+O38)</f>
        <v>#DIV/0!</v>
      </c>
      <c r="P127" s="80" t="e">
        <f>(P36-P33-P26-P14)/-(P8+P17+P28-P33-P26-P14-P19-P23-P21+P38)</f>
        <v>#DIV/0!</v>
      </c>
      <c r="Q127" s="263"/>
      <c r="R127" s="263"/>
      <c r="S127" s="263"/>
      <c r="T127" s="263"/>
      <c r="U127" s="263"/>
      <c r="V127" s="263"/>
      <c r="W127" s="263"/>
      <c r="X127" s="263"/>
      <c r="Y127" s="263"/>
      <c r="Z127" s="263"/>
      <c r="AA127" s="263"/>
      <c r="AB127" s="263"/>
      <c r="AC127" s="263"/>
      <c r="AD127" s="263"/>
      <c r="AE127" s="263"/>
      <c r="AF127" s="263"/>
      <c r="AG127" s="263"/>
      <c r="AH127" s="263"/>
      <c r="AI127" s="263"/>
      <c r="AJ127" s="263"/>
      <c r="AK127" s="263"/>
      <c r="AL127" s="263"/>
      <c r="AM127" s="242"/>
    </row>
    <row r="128" spans="1:39" ht="18" customHeight="1" outlineLevel="2" x14ac:dyDescent="0.15">
      <c r="A128" s="240">
        <f t="shared" si="1"/>
        <v>125</v>
      </c>
      <c r="B128" s="356"/>
      <c r="C128" s="78" t="s">
        <v>488</v>
      </c>
      <c r="D128" s="263"/>
      <c r="E128" s="80">
        <f>IFERROR((E36-E33-E26-E14)/
(
-(E8+E17+E28-E33-E26-E14-E19-E23-E21+E38)
+((E$92+E$83+E$77+E$78+E$79+E$88+E$89+E$90
+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
),0)</f>
        <v>0</v>
      </c>
      <c r="F128" s="219">
        <f>(F36-F33-F26-F14)/
(-(F8+F17+F28-F33-F26-F14-F19-F23-F21+F38)+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28" s="240"/>
      <c r="H128" s="356"/>
      <c r="I128" s="78" t="s">
        <v>488</v>
      </c>
      <c r="J128" s="80">
        <f>IFERROR((J36-J33-J26-J14)/
(
-(J8+J17+J28-J33-J26-J14-J19-J23-J21+J38)
+((J$92+J$83+J$77+J$78+J$79+J$88+J$89+J$90
+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
),0)</f>
        <v>0</v>
      </c>
      <c r="K128" s="80">
        <f>IFERROR((K36-K33-K26-K14)/
(
-(K8+K17+K28-K33-K26-K14-K19-K23-K21+K38)
+((K$92+K$83+K$77+K$78+K$79+K$88+K$89+K$90
+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
),0)</f>
        <v>0</v>
      </c>
      <c r="L128" s="240"/>
      <c r="M128" s="356"/>
      <c r="N128" s="78" t="s">
        <v>488</v>
      </c>
      <c r="O128" s="219">
        <f>(O36-O33-O26-O14)/
(-(O8+O17+O28-O33-O26-O14-O19-O23-O21+O38)+
((O92+O83+O77+O78+O79+O88+O89+O90
+ IFERROR(HLOOKUP(DATE(YEAR(O$1),MONTH(O$1)-1,1),Table_BCTC_Thang[],$A$92,0),
$D$92)
+ IFERROR(HLOOKUP(DATE(YEAR(O$1),MONTH(O$1)-1,1),Table_BCTC_Thang[],$A$83,0),
$D$83)
+ IFERROR(HLOOKUP(DATE(YEAR(O$1),MONTH(O$1)-1,1),Table_BCTC_Thang[],$A$77,0),
$D$77)
+ IFERROR(HLOOKUP(DATE(YEAR(O$1),MONTH(O$1)-1,1),Table_BCTC_Thang[],$A$78,0),
$D$78)
+ IFERROR(HLOOKUP(DATE(YEAR(O$1),MONTH(O$1)-1,1),Table_BCTC_Thang[],$A$79,0),
$D$79)
+ IFERROR(HLOOKUP(DATE(YEAR(O$1),MONTH(O$1)-1,1),Table_BCTC_Thang[],$A$88,0),
$D$88)
+ IFERROR(HLOOKUP(DATE(YEAR(O$1),MONTH(O$1)-1,1),Table_BCTC_Thang[],$A$89,0),
$D$89)
+ IFERROR(HLOOKUP(DATE(YEAR(O$1),MONTH(O$1)-1,1),Table_BCTC_Thang[],$A$90,0),
$D$90)
)/2))</f>
        <v>0</v>
      </c>
      <c r="P128" s="219">
        <f>(P36-P33-P26-P14)/
(-(P8+P17+P28-P33-P26-P14-P19-P23-P21+P38)+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28" s="263"/>
      <c r="R128" s="263"/>
      <c r="S128" s="263"/>
      <c r="T128" s="263"/>
      <c r="U128" s="263"/>
      <c r="V128" s="263"/>
      <c r="W128" s="263"/>
      <c r="X128" s="263"/>
      <c r="Y128" s="263"/>
      <c r="Z128" s="263"/>
      <c r="AA128" s="263"/>
      <c r="AB128" s="263"/>
      <c r="AC128" s="263"/>
      <c r="AD128" s="263"/>
      <c r="AE128" s="263"/>
      <c r="AF128" s="263"/>
      <c r="AG128" s="263"/>
      <c r="AH128" s="263"/>
      <c r="AI128" s="263"/>
      <c r="AJ128" s="263"/>
      <c r="AK128" s="263"/>
      <c r="AL128" s="263"/>
      <c r="AM128" s="242"/>
    </row>
    <row r="129" spans="1:39" ht="18" customHeight="1" outlineLevel="1" x14ac:dyDescent="0.15">
      <c r="A129" s="240">
        <f t="shared" si="1"/>
        <v>126</v>
      </c>
      <c r="B129" s="356"/>
      <c r="C129" s="79" t="s">
        <v>489</v>
      </c>
      <c r="D129" s="263"/>
      <c r="E129" s="355"/>
      <c r="F129" s="240"/>
      <c r="G129" s="240"/>
      <c r="H129" s="356"/>
      <c r="I129" s="79" t="s">
        <v>489</v>
      </c>
      <c r="J129" s="355"/>
      <c r="K129" s="355"/>
      <c r="L129" s="240"/>
      <c r="M129" s="356"/>
      <c r="N129" s="79" t="s">
        <v>489</v>
      </c>
      <c r="O129" s="240"/>
      <c r="P129" s="240"/>
      <c r="Q129" s="263"/>
      <c r="R129" s="263"/>
      <c r="S129" s="263"/>
      <c r="T129" s="263"/>
      <c r="U129" s="263"/>
      <c r="V129" s="263"/>
      <c r="W129" s="263"/>
      <c r="X129" s="263"/>
      <c r="Y129" s="263"/>
      <c r="Z129" s="263"/>
      <c r="AA129" s="263"/>
      <c r="AB129" s="263"/>
      <c r="AC129" s="263"/>
      <c r="AD129" s="263"/>
      <c r="AE129" s="263"/>
      <c r="AF129" s="263"/>
      <c r="AG129" s="263"/>
      <c r="AH129" s="263"/>
      <c r="AI129" s="263"/>
      <c r="AJ129" s="263"/>
      <c r="AK129" s="263"/>
      <c r="AL129" s="263"/>
      <c r="AM129" s="242"/>
    </row>
    <row r="130" spans="1:39" ht="18" customHeight="1" outlineLevel="2" x14ac:dyDescent="0.15">
      <c r="A130" s="240">
        <f t="shared" si="1"/>
        <v>127</v>
      </c>
      <c r="B130" s="356"/>
      <c r="C130" s="78" t="s">
        <v>490</v>
      </c>
      <c r="D130" s="263"/>
      <c r="E130" s="80" t="e">
        <f>E49/E7</f>
        <v>#DIV/0!</v>
      </c>
      <c r="F130" s="80" t="e">
        <f>F49/F7</f>
        <v>#DIV/0!</v>
      </c>
      <c r="G130" s="240"/>
      <c r="H130" s="356"/>
      <c r="I130" s="78" t="s">
        <v>490</v>
      </c>
      <c r="J130" s="80" t="e">
        <f>J49/J7</f>
        <v>#DIV/0!</v>
      </c>
      <c r="K130" s="80" t="e">
        <f>K49/K7</f>
        <v>#DIV/0!</v>
      </c>
      <c r="L130" s="240"/>
      <c r="M130" s="356"/>
      <c r="N130" s="78" t="s">
        <v>490</v>
      </c>
      <c r="O130" s="80" t="e">
        <f>O49/O7</f>
        <v>#DIV/0!</v>
      </c>
      <c r="P130" s="80" t="e">
        <f>P49/P7</f>
        <v>#DIV/0!</v>
      </c>
      <c r="Q130" s="263"/>
      <c r="R130" s="263"/>
      <c r="S130" s="263"/>
      <c r="T130" s="263"/>
      <c r="U130" s="263"/>
      <c r="V130" s="263"/>
      <c r="W130" s="263"/>
      <c r="X130" s="263"/>
      <c r="Y130" s="263"/>
      <c r="Z130" s="263"/>
      <c r="AA130" s="263"/>
      <c r="AB130" s="263"/>
      <c r="AC130" s="263"/>
      <c r="AD130" s="263"/>
      <c r="AE130" s="263"/>
      <c r="AF130" s="263"/>
      <c r="AG130" s="263"/>
      <c r="AH130" s="263"/>
      <c r="AI130" s="263"/>
      <c r="AJ130" s="263"/>
      <c r="AK130" s="263"/>
      <c r="AL130" s="263"/>
      <c r="AM130" s="242"/>
    </row>
    <row r="131" spans="1:39" ht="18" customHeight="1" outlineLevel="2" x14ac:dyDescent="0.15">
      <c r="A131" s="240">
        <f t="shared" si="1"/>
        <v>128</v>
      </c>
      <c r="B131" s="356"/>
      <c r="C131" s="78" t="s">
        <v>491</v>
      </c>
      <c r="D131" s="263"/>
      <c r="E131" s="81" t="e">
        <f>E49/E36</f>
        <v>#DIV/0!</v>
      </c>
      <c r="F131" s="81" t="e">
        <f>F49/F36</f>
        <v>#DIV/0!</v>
      </c>
      <c r="G131" s="240"/>
      <c r="H131" s="356"/>
      <c r="I131" s="78" t="s">
        <v>491</v>
      </c>
      <c r="J131" s="81" t="e">
        <f>J49/J36</f>
        <v>#DIV/0!</v>
      </c>
      <c r="K131" s="81" t="e">
        <f>K49/K36</f>
        <v>#DIV/0!</v>
      </c>
      <c r="L131" s="240"/>
      <c r="M131" s="356"/>
      <c r="N131" s="78" t="s">
        <v>491</v>
      </c>
      <c r="O131" s="81" t="e">
        <f>O49/O36</f>
        <v>#DIV/0!</v>
      </c>
      <c r="P131" s="81" t="e">
        <f>P49/P36</f>
        <v>#DIV/0!</v>
      </c>
      <c r="Q131" s="263"/>
      <c r="R131" s="263"/>
      <c r="S131" s="263"/>
      <c r="T131" s="263"/>
      <c r="U131" s="263"/>
      <c r="V131" s="263"/>
      <c r="W131" s="263"/>
      <c r="X131" s="263"/>
      <c r="Y131" s="263"/>
      <c r="Z131" s="263"/>
      <c r="AA131" s="263"/>
      <c r="AB131" s="263"/>
      <c r="AC131" s="263"/>
      <c r="AD131" s="263"/>
      <c r="AE131" s="263"/>
      <c r="AF131" s="263"/>
      <c r="AG131" s="263"/>
      <c r="AH131" s="263"/>
      <c r="AI131" s="263"/>
      <c r="AJ131" s="263"/>
      <c r="AK131" s="263"/>
      <c r="AL131" s="263"/>
      <c r="AM131" s="242"/>
    </row>
    <row r="132" spans="1:39" ht="18" customHeight="1" outlineLevel="2" x14ac:dyDescent="0.15">
      <c r="A132" s="240">
        <f t="shared" si="1"/>
        <v>129</v>
      </c>
      <c r="B132" s="356"/>
      <c r="C132" s="78" t="s">
        <v>492</v>
      </c>
      <c r="D132" s="263"/>
      <c r="E132" s="81" t="e">
        <f>E49/(E36-E33-E26-E14)</f>
        <v>#DIV/0!</v>
      </c>
      <c r="F132" s="81" t="e">
        <f>F49/(F36-F33-F26-F14)</f>
        <v>#DIV/0!</v>
      </c>
      <c r="G132" s="240"/>
      <c r="H132" s="356"/>
      <c r="I132" s="78" t="s">
        <v>492</v>
      </c>
      <c r="J132" s="81" t="e">
        <f>J49/(J36-J33-J26-J14)</f>
        <v>#DIV/0!</v>
      </c>
      <c r="K132" s="81" t="e">
        <f>K49/(K36-K33-K26-K14)</f>
        <v>#DIV/0!</v>
      </c>
      <c r="L132" s="240"/>
      <c r="M132" s="356"/>
      <c r="N132" s="78" t="s">
        <v>492</v>
      </c>
      <c r="O132" s="81" t="e">
        <f>O49/(O36-O33-O26-O14)</f>
        <v>#DIV/0!</v>
      </c>
      <c r="P132" s="81" t="e">
        <f>P49/(P36-P33-P26-P14)</f>
        <v>#DIV/0!</v>
      </c>
      <c r="Q132" s="263"/>
      <c r="R132" s="263"/>
      <c r="S132" s="263"/>
      <c r="T132" s="263"/>
      <c r="U132" s="263"/>
      <c r="V132" s="263"/>
      <c r="W132" s="263"/>
      <c r="X132" s="263"/>
      <c r="Y132" s="263"/>
      <c r="Z132" s="263"/>
      <c r="AA132" s="263"/>
      <c r="AB132" s="263"/>
      <c r="AC132" s="263"/>
      <c r="AD132" s="263"/>
      <c r="AE132" s="263"/>
      <c r="AF132" s="263"/>
      <c r="AG132" s="263"/>
      <c r="AH132" s="263"/>
      <c r="AI132" s="263"/>
      <c r="AJ132" s="263"/>
      <c r="AK132" s="263"/>
      <c r="AL132" s="263"/>
      <c r="AM132" s="242"/>
    </row>
    <row r="133" spans="1:39" ht="18" customHeight="1" outlineLevel="2" x14ac:dyDescent="0.15">
      <c r="A133" s="240">
        <f t="shared" ref="A133:A166" si="2">+A132+1</f>
        <v>130</v>
      </c>
      <c r="B133" s="356"/>
      <c r="C133" s="78" t="s">
        <v>493</v>
      </c>
      <c r="D133" s="263"/>
      <c r="E133" s="80">
        <f xml:space="preserve">
IFERROR(E49/
((E73+E86
+ IFERROR(HLOOKUP(E$1-1,Table_BCTC_Nam[],$A$73,0),$D$73)
+ IFERROR(HLOOKUP(E$1-1,Table_BCTC_Nam[],$A$86,0),$D$86)
)/2),0)</f>
        <v>0</v>
      </c>
      <c r="F133" s="80">
        <f>F49/
((F73+F86
+ IFERROR(HLOOKUP(DATE(YEAR(F$1),MONTH(F$1)-1,1),Table_BCTC_Thang[],$A$73,0),
$D$73)
+ IFERROR(HLOOKUP(DATE(YEAR(F$1),MONTH(F$1)-1,1),Table_BCTC_Thang[],$A$86,0),
$D$86)
)/2)</f>
        <v>0</v>
      </c>
      <c r="G133" s="240"/>
      <c r="H133" s="356"/>
      <c r="I133" s="78" t="s">
        <v>493</v>
      </c>
      <c r="J133" s="80">
        <f xml:space="preserve">
IFERROR(J49/
((J73+J86
+ IFERROR(HLOOKUP(J$1-1,Table_BCTC_Nam[],$A$73,0),$D$73)
+ IFERROR(HLOOKUP(J$1-1,Table_BCTC_Nam[],$A$86,0),$D$86)
)/2),0)</f>
        <v>0</v>
      </c>
      <c r="K133" s="80">
        <f xml:space="preserve">
IFERROR(K49/
((K73+K86
+ IFERROR(HLOOKUP(K$1-1,Table_BCTC_Nam[],$A$73,0),$D$73)
+ IFERROR(HLOOKUP(K$1-1,Table_BCTC_Nam[],$A$86,0),$D$86)
)/2),0)</f>
        <v>0</v>
      </c>
      <c r="L133" s="240"/>
      <c r="M133" s="356"/>
      <c r="N133" s="78" t="s">
        <v>493</v>
      </c>
      <c r="O133" s="80">
        <f ca="1">O49/
((O73+O86
+ IFERROR(HLOOKUP(DATE(YEAR(O$1),MONTH(O$1)-1,1),Table_BCTC_Thang[],$A$73,0),
$D$73)
+ IFERROR(HLOOKUP(DATE(YEAR(O$1),MONTH(O$1)-1,1),Table_BCTC_Thang[],$A$86,0),
$D$86)
)/2)</f>
        <v>0</v>
      </c>
      <c r="P133" s="80">
        <f ca="1">P49/
((P73+P86
+ IFERROR(HLOOKUP(DATE(YEAR(P$1),MONTH(P$1)-1,1),Table_BCTC_Thang[],$A$73,0),
$D$73)
+ IFERROR(HLOOKUP(DATE(YEAR(P$1),MONTH(P$1)-1,1),Table_BCTC_Thang[],$A$86,0),
$D$86)
)/2)</f>
        <v>0</v>
      </c>
      <c r="Q133" s="263"/>
      <c r="R133" s="263"/>
      <c r="S133" s="263"/>
      <c r="T133" s="263"/>
      <c r="U133" s="263"/>
      <c r="V133" s="263"/>
      <c r="W133" s="263"/>
      <c r="X133" s="263"/>
      <c r="Y133" s="263"/>
      <c r="Z133" s="263"/>
      <c r="AA133" s="263"/>
      <c r="AB133" s="263"/>
      <c r="AC133" s="263"/>
      <c r="AD133" s="263"/>
      <c r="AE133" s="263"/>
      <c r="AF133" s="263"/>
      <c r="AG133" s="263"/>
      <c r="AH133" s="263"/>
      <c r="AI133" s="263"/>
      <c r="AJ133" s="263"/>
      <c r="AK133" s="263"/>
      <c r="AL133" s="263"/>
      <c r="AM133" s="242"/>
    </row>
    <row r="134" spans="1:39" ht="18" customHeight="1" outlineLevel="2" x14ac:dyDescent="0.15">
      <c r="A134" s="240">
        <f t="shared" si="2"/>
        <v>131</v>
      </c>
      <c r="B134" s="356"/>
      <c r="C134" s="78" t="s">
        <v>494</v>
      </c>
      <c r="D134" s="263"/>
      <c r="E134" s="80">
        <f>IFERROR(E49/
((E111
+ IFERROR(HLOOKUP(E$1-1,Table_BCTC_Nam[],$A$111,0),$D$111)
)/2),0)</f>
        <v>0</v>
      </c>
      <c r="F134" s="80" t="e">
        <f>F49/
((F111
+ IFERROR(HLOOKUP(DATE(YEAR(F$1),MONTH(F$1)-1,1),Table_BCTC_Thang[],$A$111,0),
$D$111)
)/2)</f>
        <v>#DIV/0!</v>
      </c>
      <c r="G134" s="240"/>
      <c r="H134" s="356"/>
      <c r="I134" s="78" t="s">
        <v>494</v>
      </c>
      <c r="J134" s="80">
        <f>IFERROR(J49/
((J111
+ IFERROR(HLOOKUP(J$1-1,Table_BCTC_Nam[],$A$111,0),$D$111)
)/2),0)</f>
        <v>0</v>
      </c>
      <c r="K134" s="80">
        <f>IFERROR(K49/
((K111
+ IFERROR(HLOOKUP(K$1-1,Table_BCTC_Nam[],$A$111,0),$D$111)
)/2),0)</f>
        <v>0</v>
      </c>
      <c r="L134" s="240"/>
      <c r="M134" s="356"/>
      <c r="N134" s="78" t="s">
        <v>494</v>
      </c>
      <c r="O134" s="80" t="e">
        <f>O49/
((O111
+ IFERROR(HLOOKUP(DATE(YEAR(O$1),MONTH(O$1)-1,1),Table_BCTC_Thang[],$A$111,0),
$D$111)
)/2)</f>
        <v>#DIV/0!</v>
      </c>
      <c r="P134" s="80" t="e">
        <f>P49/
((P111
+ IFERROR(HLOOKUP(DATE(YEAR(P$1),MONTH(P$1)-1,1),Table_BCTC_Thang[],$A$111,0),
$D$111)
)/2)</f>
        <v>#DIV/0!</v>
      </c>
      <c r="Q134" s="263"/>
      <c r="R134" s="263"/>
      <c r="S134" s="263"/>
      <c r="T134" s="263"/>
      <c r="U134" s="263"/>
      <c r="V134" s="263"/>
      <c r="W134" s="263"/>
      <c r="X134" s="263"/>
      <c r="Y134" s="263"/>
      <c r="Z134" s="263"/>
      <c r="AA134" s="263"/>
      <c r="AB134" s="263"/>
      <c r="AC134" s="263"/>
      <c r="AD134" s="263"/>
      <c r="AE134" s="263"/>
      <c r="AF134" s="263"/>
      <c r="AG134" s="263"/>
      <c r="AH134" s="263"/>
      <c r="AI134" s="263"/>
      <c r="AJ134" s="263"/>
      <c r="AK134" s="263"/>
      <c r="AL134" s="263"/>
      <c r="AM134" s="242"/>
    </row>
    <row r="135" spans="1:39" ht="18" customHeight="1" outlineLevel="2" x14ac:dyDescent="0.15">
      <c r="A135" s="240">
        <f t="shared" si="2"/>
        <v>132</v>
      </c>
      <c r="B135" s="356"/>
      <c r="C135" s="78" t="s">
        <v>495</v>
      </c>
      <c r="D135" s="263"/>
      <c r="E135" s="80">
        <f>IFERROR(E49/
((E$92+E$83+E$77+E$78+E$79+E$88+E$89+E$90+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)/2),0)</f>
        <v>0</v>
      </c>
      <c r="F135" s="219">
        <f>F49/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35" s="240"/>
      <c r="H135" s="356"/>
      <c r="I135" s="78" t="s">
        <v>495</v>
      </c>
      <c r="J135" s="80">
        <f>IFERROR(J49/
((J$92+J$83+J$77+J$78+J$79+J$88+J$89+J$90+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)/2),0)</f>
        <v>0</v>
      </c>
      <c r="K135" s="80">
        <f>IFERROR(K49/
((K$92+K$83+K$77+K$78+K$79+K$88+K$89+K$90+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)/2),0)</f>
        <v>0</v>
      </c>
      <c r="L135" s="240"/>
      <c r="M135" s="356"/>
      <c r="N135" s="78" t="s">
        <v>495</v>
      </c>
      <c r="O135" s="219">
        <f ca="1">O49/
((O73+O86-O75-O95-O74-O94-O93
+IFERROR(HLOOKUP(DATE(YEAR(O$1),MONTH(O$1)-1,1),Table_BCTC_Thang[],$A$73,0),
$D$73)
+IFERROR(HLOOKUP(DATE(YEAR(O$1),MONTH(O$1)-1,1),Table_BCTC_Thang[],$A$86,0),
$D$86)
-IFERROR(HLOOKUP(DATE(YEAR(O$1),MONTH(O$1)-1,1),Table_BCTC_Thang[],$A$75,0),
$D$75)
-IFERROR(HLOOKUP(DATE(YEAR(O$1),MONTH(O$1)-1,1),Table_BCTC_Thang[],$A$95,0),
$D$95)
-IFERROR(HLOOKUP(DATE(YEAR(O$1),MONTH(O$1)-1,1),Table_BCTC_Thang[],$A$74,0),
$D$74)
-IFERROR(HLOOKUP(DATE(YEAR(O$1),MONTH(O$1)-1,1),Table_BCTC_Thang[],$A$94,0),
$D$94)
-IFERROR(HLOOKUP(DATE(YEAR(O$1),MONTH(O$1)-1,1),Table_BCTC_Thang[],$A$93,0),
$D$93)
)/2)</f>
        <v>0</v>
      </c>
      <c r="P135" s="219">
        <f>P49/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35" s="263"/>
      <c r="R135" s="263"/>
      <c r="S135" s="263"/>
      <c r="T135" s="263"/>
      <c r="U135" s="263"/>
      <c r="V135" s="263"/>
      <c r="W135" s="263"/>
      <c r="X135" s="263"/>
      <c r="Y135" s="263"/>
      <c r="Z135" s="263"/>
      <c r="AA135" s="263"/>
      <c r="AB135" s="263"/>
      <c r="AC135" s="263"/>
      <c r="AD135" s="263"/>
      <c r="AE135" s="263"/>
      <c r="AF135" s="263"/>
      <c r="AG135" s="263"/>
      <c r="AH135" s="263"/>
      <c r="AI135" s="263"/>
      <c r="AJ135" s="263"/>
      <c r="AK135" s="263"/>
      <c r="AL135" s="263"/>
      <c r="AM135" s="242"/>
    </row>
    <row r="136" spans="1:39" ht="18" customHeight="1" outlineLevel="2" x14ac:dyDescent="0.15">
      <c r="A136" s="240">
        <f t="shared" si="2"/>
        <v>133</v>
      </c>
      <c r="B136" s="356"/>
      <c r="C136" s="78" t="s">
        <v>893</v>
      </c>
      <c r="D136" s="263"/>
      <c r="E136" s="80" t="e">
        <f>(E49)/
(-(E51+E57+E58+E69))</f>
        <v>#DIV/0!</v>
      </c>
      <c r="F136" s="80" t="e">
        <f>(F49)/
(-(F51+F57+F58+F69))</f>
        <v>#DIV/0!</v>
      </c>
      <c r="G136" s="240"/>
      <c r="H136" s="356"/>
      <c r="I136" s="78" t="s">
        <v>893</v>
      </c>
      <c r="J136" s="80" t="e">
        <f>(J49)/
(-(J51+J57+J58+J69))</f>
        <v>#DIV/0!</v>
      </c>
      <c r="K136" s="80" t="e">
        <f>(K49)/
(-(K51+K57+K58+K69))</f>
        <v>#DIV/0!</v>
      </c>
      <c r="L136" s="240"/>
      <c r="M136" s="356"/>
      <c r="N136" s="78" t="s">
        <v>893</v>
      </c>
      <c r="O136" s="80" t="e">
        <f>(O49)/
(-(O51+O57+O58+O69))</f>
        <v>#DIV/0!</v>
      </c>
      <c r="P136" s="80" t="e">
        <f>(P49)/
(-(P51+P57+P58+P69))</f>
        <v>#DIV/0!</v>
      </c>
      <c r="Q136" s="263"/>
      <c r="R136" s="263"/>
      <c r="S136" s="263"/>
      <c r="T136" s="263"/>
      <c r="U136" s="263"/>
      <c r="V136" s="263"/>
      <c r="W136" s="263"/>
      <c r="X136" s="263"/>
      <c r="Y136" s="263"/>
      <c r="Z136" s="263"/>
      <c r="AA136" s="263"/>
      <c r="AB136" s="263"/>
      <c r="AC136" s="263"/>
      <c r="AD136" s="263"/>
      <c r="AE136" s="263"/>
      <c r="AF136" s="263"/>
      <c r="AG136" s="263"/>
      <c r="AH136" s="263"/>
      <c r="AI136" s="263"/>
      <c r="AJ136" s="263"/>
      <c r="AK136" s="263"/>
      <c r="AL136" s="263"/>
      <c r="AM136" s="242"/>
    </row>
    <row r="137" spans="1:39" ht="18" customHeight="1" outlineLevel="2" x14ac:dyDescent="0.15">
      <c r="A137" s="240">
        <f t="shared" si="2"/>
        <v>134</v>
      </c>
      <c r="B137" s="356"/>
      <c r="C137" s="78" t="s">
        <v>496</v>
      </c>
      <c r="D137" s="263"/>
      <c r="E137" s="80">
        <f>IFERROR(E49/
(
-(E51+E57+E58+E69)
+ ((E$92+E$83+E$77+E$78+E$79+E$88+E$89+E$90
+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
),0)</f>
        <v>0</v>
      </c>
      <c r="F137" s="219">
        <f>(F49)/
(-(F51+F57+F58+F69)+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37" s="240"/>
      <c r="H137" s="356"/>
      <c r="I137" s="78" t="s">
        <v>496</v>
      </c>
      <c r="J137" s="80">
        <f>IFERROR(J49/
(
-(J51+J57+J58+J69)
+ ((J$92+J$83+J$77+J$78+J$79+J$88+J$89+J$90
+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
),0)</f>
        <v>0</v>
      </c>
      <c r="K137" s="80">
        <f>IFERROR(K49/
(
-(K51+K57+K58+K69)
+ ((K$92+K$83+K$77+K$78+K$79+K$88+K$89+K$90
+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
),0)</f>
        <v>0</v>
      </c>
      <c r="L137" s="240"/>
      <c r="M137" s="356"/>
      <c r="N137" s="78" t="s">
        <v>496</v>
      </c>
      <c r="O137" s="219">
        <f ca="1">(O49)/
(-(O51+O57+O58+O69)+((O73+O86-O75-O95-O74-O94-O93
+IFERROR(HLOOKUP(DATE(YEAR(O$1),MONTH(O$1)-1,1),Table_BCTC_Thang[],$A$73,0),
$D$73)
+IFERROR(HLOOKUP(DATE(YEAR(O$1),MONTH(O$1)-1,1),Table_BCTC_Thang[],$A$86,0),
$D$86)
-IFERROR(HLOOKUP(DATE(YEAR(O$1),MONTH(O$1)-1,1),Table_BCTC_Thang[],$A$75,0),
$D$75)
-IFERROR(HLOOKUP(DATE(YEAR(O$1),MONTH(O$1)-1,1),Table_BCTC_Thang[],$A$95,0),
$D$95)
-IFERROR(HLOOKUP(DATE(YEAR(O$1),MONTH(O$1)-1,1),Table_BCTC_Thang[],$A$74,0),
$D$74)
-IFERROR(HLOOKUP(DATE(YEAR(O$1),MONTH(O$1)-1,1),Table_BCTC_Thang[],$A$94,0),
$D$94)
-IFERROR(HLOOKUP(DATE(YEAR(O$1),MONTH(O$1)-1,1),Table_BCTC_Thang[],$A$93,0),
$D$93)
)/2))</f>
        <v>0</v>
      </c>
      <c r="P137" s="219">
        <f>(P49)/
(-(P51+P57+P58+P69)+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37" s="263"/>
      <c r="R137" s="263"/>
      <c r="S137" s="263"/>
      <c r="T137" s="263"/>
      <c r="U137" s="263"/>
      <c r="V137" s="263"/>
      <c r="W137" s="263"/>
      <c r="X137" s="263"/>
      <c r="Y137" s="263"/>
      <c r="Z137" s="263"/>
      <c r="AA137" s="263"/>
      <c r="AB137" s="263"/>
      <c r="AC137" s="263"/>
      <c r="AD137" s="263"/>
      <c r="AE137" s="263"/>
      <c r="AF137" s="263"/>
      <c r="AG137" s="263"/>
      <c r="AH137" s="263"/>
      <c r="AI137" s="263"/>
      <c r="AJ137" s="263"/>
      <c r="AK137" s="263"/>
      <c r="AL137" s="263"/>
      <c r="AM137" s="242"/>
    </row>
    <row r="138" spans="1:39" ht="18" customHeight="1" outlineLevel="1" x14ac:dyDescent="0.15">
      <c r="A138" s="240">
        <f t="shared" si="2"/>
        <v>135</v>
      </c>
      <c r="B138" s="257"/>
      <c r="C138" s="79" t="s">
        <v>497</v>
      </c>
      <c r="D138" s="263"/>
      <c r="E138" s="355"/>
      <c r="F138" s="240"/>
      <c r="G138" s="240"/>
      <c r="H138" s="356"/>
      <c r="I138" s="79" t="s">
        <v>497</v>
      </c>
      <c r="J138" s="355"/>
      <c r="K138" s="355"/>
      <c r="L138" s="240"/>
      <c r="M138" s="362"/>
      <c r="N138" s="79" t="s">
        <v>497</v>
      </c>
      <c r="O138" s="240"/>
      <c r="P138" s="240"/>
      <c r="Q138" s="263"/>
      <c r="R138" s="263"/>
      <c r="S138" s="263"/>
      <c r="T138" s="263"/>
      <c r="U138" s="263"/>
      <c r="V138" s="263"/>
      <c r="W138" s="263"/>
      <c r="X138" s="263"/>
      <c r="Y138" s="263"/>
      <c r="Z138" s="263"/>
      <c r="AA138" s="263"/>
      <c r="AB138" s="263"/>
      <c r="AC138" s="263"/>
      <c r="AD138" s="263"/>
      <c r="AE138" s="263"/>
      <c r="AF138" s="263"/>
      <c r="AG138" s="263"/>
      <c r="AH138" s="263"/>
      <c r="AI138" s="263"/>
      <c r="AJ138" s="263"/>
      <c r="AK138" s="263"/>
      <c r="AL138" s="263"/>
      <c r="AM138" s="242"/>
    </row>
    <row r="139" spans="1:39" ht="18" customHeight="1" outlineLevel="2" x14ac:dyDescent="0.15">
      <c r="A139" s="240">
        <f t="shared" si="2"/>
        <v>136</v>
      </c>
      <c r="B139" s="356"/>
      <c r="C139" s="78" t="s">
        <v>498</v>
      </c>
      <c r="D139" s="263"/>
      <c r="E139" s="32">
        <f xml:space="preserve">
IFERROR(
-(E9+E11+E20+E30)/
((E82
+ IFERROR(HLOOKUP(E$1-1,Table_BCTC_Nam[],$A$82,0),$D$82)
)/2),0)</f>
        <v>0</v>
      </c>
      <c r="F139" s="219" t="e">
        <f>-(F9+F11+F20+F30)/
((F82
+ IFERROR(HLOOKUP(DATE(YEAR(F$1),MONTH(F$1)-1,1),Table_BCTC_Thang[],$A$82,0),
$D$82)
)/2)</f>
        <v>#DIV/0!</v>
      </c>
      <c r="G139" s="240"/>
      <c r="H139" s="356"/>
      <c r="I139" s="78" t="s">
        <v>498</v>
      </c>
      <c r="J139" s="32">
        <f xml:space="preserve">
IFERROR(
-(J9+J11+J20+J30)/
((J82
+ IFERROR(HLOOKUP(J$1-1,Table_BCTC_Nam[],$A$82,0),$D$82)
)/2),0)</f>
        <v>0</v>
      </c>
      <c r="K139" s="32">
        <f xml:space="preserve">
IFERROR(
-(K9+K11+K20+K30)/
((K82
+ IFERROR(HLOOKUP(K$1-1,Table_BCTC_Nam[],$A$82,0),$D$82)
)/2),0)</f>
        <v>0</v>
      </c>
      <c r="L139" s="240"/>
      <c r="M139" s="356"/>
      <c r="N139" s="78" t="s">
        <v>498</v>
      </c>
      <c r="O139" s="219" t="e">
        <f>-(O9+O11+O20+O30)/
((O82
+ IFERROR(HLOOKUP(DATE(YEAR(O$1),MONTH(O$1)-1,1),Table_BCTC_Thang[],$A$82,0),
$D$82)
)/2)</f>
        <v>#DIV/0!</v>
      </c>
      <c r="P139" s="219" t="e">
        <f>-(P9+P11+P20+P30)/
((P82
+ IFERROR(HLOOKUP(DATE(YEAR(P$1),MONTH(P$1)-1,1),Table_BCTC_Thang[],$A$82,0),
$D$82)
)/2)</f>
        <v>#DIV/0!</v>
      </c>
      <c r="Q139" s="263"/>
      <c r="R139" s="263"/>
      <c r="S139" s="263"/>
      <c r="T139" s="263"/>
      <c r="U139" s="263"/>
      <c r="V139" s="263"/>
      <c r="W139" s="263"/>
      <c r="X139" s="263"/>
      <c r="Y139" s="263"/>
      <c r="Z139" s="263"/>
      <c r="AA139" s="263"/>
      <c r="AB139" s="263"/>
      <c r="AC139" s="263"/>
      <c r="AD139" s="263"/>
      <c r="AE139" s="263"/>
      <c r="AF139" s="263"/>
      <c r="AG139" s="263"/>
      <c r="AH139" s="263"/>
      <c r="AI139" s="263"/>
      <c r="AJ139" s="263"/>
      <c r="AK139" s="263"/>
      <c r="AL139" s="263"/>
      <c r="AM139" s="242"/>
    </row>
    <row r="140" spans="1:39" ht="18" customHeight="1" outlineLevel="2" x14ac:dyDescent="0.15">
      <c r="A140" s="240">
        <f t="shared" si="2"/>
        <v>137</v>
      </c>
      <c r="B140" s="356"/>
      <c r="C140" s="78" t="s">
        <v>499</v>
      </c>
      <c r="D140" s="263"/>
      <c r="E140" s="32">
        <f>IFERROR(365/E139,0)</f>
        <v>0</v>
      </c>
      <c r="F140" s="81" t="e">
        <f>(365/12)/F139</f>
        <v>#DIV/0!</v>
      </c>
      <c r="G140" s="240"/>
      <c r="H140" s="356"/>
      <c r="I140" s="78" t="s">
        <v>499</v>
      </c>
      <c r="J140" s="32">
        <f>IFERROR(365/J139,0)</f>
        <v>0</v>
      </c>
      <c r="K140" s="32">
        <f>IFERROR(365/K139,0)</f>
        <v>0</v>
      </c>
      <c r="L140" s="240"/>
      <c r="M140" s="356"/>
      <c r="N140" s="78" t="s">
        <v>499</v>
      </c>
      <c r="O140" s="81" t="e">
        <f>(365/12)/O139</f>
        <v>#DIV/0!</v>
      </c>
      <c r="P140" s="81" t="e">
        <f>(365/12)/P139</f>
        <v>#DIV/0!</v>
      </c>
      <c r="Q140" s="263"/>
      <c r="R140" s="263"/>
      <c r="S140" s="263"/>
      <c r="T140" s="263"/>
      <c r="U140" s="263"/>
      <c r="V140" s="263"/>
      <c r="W140" s="263"/>
      <c r="X140" s="263"/>
      <c r="Y140" s="263"/>
      <c r="Z140" s="263"/>
      <c r="AA140" s="263"/>
      <c r="AB140" s="263"/>
      <c r="AC140" s="263"/>
      <c r="AD140" s="263"/>
      <c r="AE140" s="263"/>
      <c r="AF140" s="263"/>
      <c r="AG140" s="263"/>
      <c r="AH140" s="263"/>
      <c r="AI140" s="263"/>
      <c r="AJ140" s="263"/>
      <c r="AK140" s="263"/>
      <c r="AL140" s="263"/>
      <c r="AM140" s="242"/>
    </row>
    <row r="141" spans="1:39" ht="18" customHeight="1" outlineLevel="2" x14ac:dyDescent="0.15">
      <c r="A141" s="240">
        <f t="shared" si="2"/>
        <v>138</v>
      </c>
      <c r="B141" s="356"/>
      <c r="C141" s="78" t="s">
        <v>500</v>
      </c>
      <c r="D141" s="263"/>
      <c r="E141" s="32">
        <f>IFERROR(E7/
((E77+E88
+ IFERROR(HLOOKUP(E$1-1,Table_BCTC_Nam[],$A$77,0),$D$77)
+ IFERROR(HLOOKUP(E$1-1,Table_BCTC_Nam[],$A$88,0),$D$88)
)/2),0)</f>
        <v>0</v>
      </c>
      <c r="F141" s="81" t="e">
        <f>F7/
((F77 + F88
+ IFERROR(HLOOKUP(DATE(YEAR(F$1),MONTH(F$1)-1,1),Table_BCTC_Thang[],$A$77,0),
$D$77)
+ IFERROR(HLOOKUP(DATE(YEAR(F$1),MONTH(F$1)-1,1),Table_BCTC_Thang[],$A$88,0),
$D$88)
)/2)</f>
        <v>#DIV/0!</v>
      </c>
      <c r="G141" s="240"/>
      <c r="H141" s="356"/>
      <c r="I141" s="78" t="s">
        <v>500</v>
      </c>
      <c r="J141" s="32">
        <f>IFERROR(J7/
((J77+J88
+ IFERROR(HLOOKUP(J$1-1,Table_BCTC_Nam[],$A$77,0),$D$77)
+ IFERROR(HLOOKUP(J$1-1,Table_BCTC_Nam[],$A$88,0),$D$88)
)/2),0)</f>
        <v>0</v>
      </c>
      <c r="K141" s="32">
        <f>IFERROR(K7/
((K77+K88
+ IFERROR(HLOOKUP(K$1-1,Table_BCTC_Nam[],$A$77,0),$D$77)
+ IFERROR(HLOOKUP(K$1-1,Table_BCTC_Nam[],$A$88,0),$D$88)
)/2),0)</f>
        <v>0</v>
      </c>
      <c r="L141" s="240"/>
      <c r="M141" s="356"/>
      <c r="N141" s="78" t="s">
        <v>500</v>
      </c>
      <c r="O141" s="81" t="e">
        <f>O7/
((O77 + O88
+ IFERROR(HLOOKUP(DATE(YEAR(O$1),MONTH(O$1)-1,1),Table_BCTC_Thang[],$A$77,0),
$D$77)
+ IFERROR(HLOOKUP(DATE(YEAR(O$1),MONTH(O$1)-1,1),Table_BCTC_Thang[],$A$88,0),
$D$88)
)/2)</f>
        <v>#DIV/0!</v>
      </c>
      <c r="P141" s="81" t="e">
        <f>P7/
((P77 + P88
+ IFERROR(HLOOKUP(DATE(YEAR(P$1),MONTH(P$1)-1,1),Table_BCTC_Thang[],$A$77,0),
$D$77)
+ IFERROR(HLOOKUP(DATE(YEAR(P$1),MONTH(P$1)-1,1),Table_BCTC_Thang[],$A$88,0),
$D$88)
)/2)</f>
        <v>#DIV/0!</v>
      </c>
      <c r="Q141" s="263"/>
      <c r="R141" s="263"/>
      <c r="S141" s="263"/>
      <c r="T141" s="263"/>
      <c r="U141" s="263"/>
      <c r="V141" s="263"/>
      <c r="W141" s="263"/>
      <c r="X141" s="263"/>
      <c r="Y141" s="263"/>
      <c r="Z141" s="263"/>
      <c r="AA141" s="263"/>
      <c r="AB141" s="263"/>
      <c r="AC141" s="263"/>
      <c r="AD141" s="263"/>
      <c r="AE141" s="263"/>
      <c r="AF141" s="263"/>
      <c r="AG141" s="263"/>
      <c r="AH141" s="263"/>
      <c r="AI141" s="263"/>
      <c r="AJ141" s="263"/>
      <c r="AK141" s="263"/>
      <c r="AL141" s="263"/>
      <c r="AM141" s="242"/>
    </row>
    <row r="142" spans="1:39" ht="18" customHeight="1" outlineLevel="2" x14ac:dyDescent="0.15">
      <c r="A142" s="240">
        <f t="shared" si="2"/>
        <v>139</v>
      </c>
      <c r="B142" s="356"/>
      <c r="C142" s="78" t="s">
        <v>501</v>
      </c>
      <c r="D142" s="263"/>
      <c r="E142" s="32">
        <f>IFERROR(365/E141,0)</f>
        <v>0</v>
      </c>
      <c r="F142" s="81" t="e">
        <f>(365/12)/F141</f>
        <v>#DIV/0!</v>
      </c>
      <c r="G142" s="240"/>
      <c r="H142" s="356"/>
      <c r="I142" s="78" t="s">
        <v>501</v>
      </c>
      <c r="J142" s="32">
        <f>IFERROR(365/J141,0)</f>
        <v>0</v>
      </c>
      <c r="K142" s="32">
        <f>IFERROR(365/K141,0)</f>
        <v>0</v>
      </c>
      <c r="L142" s="240"/>
      <c r="M142" s="356"/>
      <c r="N142" s="78" t="s">
        <v>501</v>
      </c>
      <c r="O142" s="81" t="e">
        <f>(365/12)/O141</f>
        <v>#DIV/0!</v>
      </c>
      <c r="P142" s="81" t="e">
        <f>(365/12)/P141</f>
        <v>#DIV/0!</v>
      </c>
      <c r="Q142" s="263"/>
      <c r="R142" s="263"/>
      <c r="S142" s="263"/>
      <c r="T142" s="263"/>
      <c r="U142" s="263"/>
      <c r="V142" s="263"/>
      <c r="W142" s="263"/>
      <c r="X142" s="263"/>
      <c r="Y142" s="263"/>
      <c r="Z142" s="263"/>
      <c r="AA142" s="263"/>
      <c r="AB142" s="263"/>
      <c r="AC142" s="263"/>
      <c r="AD142" s="263"/>
      <c r="AE142" s="263"/>
      <c r="AF142" s="263"/>
      <c r="AG142" s="263"/>
      <c r="AH142" s="263"/>
      <c r="AI142" s="263"/>
      <c r="AJ142" s="263"/>
      <c r="AK142" s="263"/>
      <c r="AL142" s="263"/>
      <c r="AM142" s="242"/>
    </row>
    <row r="143" spans="1:39" ht="18" customHeight="1" outlineLevel="2" x14ac:dyDescent="0.15">
      <c r="A143" s="240">
        <f t="shared" si="2"/>
        <v>140</v>
      </c>
      <c r="B143" s="356"/>
      <c r="C143" s="78" t="s">
        <v>502</v>
      </c>
      <c r="D143" s="263"/>
      <c r="E143" s="32">
        <f xml:space="preserve">
IFERROR(
-(E8+E17+E28-E14-E26-E33-E34)/
((E99+E106+E102+E108
+ IFERROR(HLOOKUP(E$1-1,Table_BCTC_Nam[],$A$99,0),$D$99)
+ IFERROR(HLOOKUP(E$1-1,Table_BCTC_Nam[],$A$106,0),$D$106)
+ IFERROR(HLOOKUP(E$1-1,Table_BCTC_Nam[],$A$102,0),$D$102)
+ IFERROR(HLOOKUP(E$1-1,Table_BCTC_Nam[],$A$108,0),$D$108)
)/2),0)</f>
        <v>0</v>
      </c>
      <c r="F143" s="81" t="e">
        <f>-(F8+F17+F28-F14-F26-F33-F34)/
((F99 + F106 + F102 + F108
+ IFERROR(HLOOKUP(DATE(YEAR(F$1),MONTH(F$1)-1,1),Table_BCTC_Thang[],$A$99,0),
$D$99)
+ IFERROR(HLOOKUP(DATE(YEAR(F$1),MONTH(F$1)-1,1),Table_BCTC_Thang[],$A$106,0),
$D$106)
+ IFERROR(HLOOKUP(DATE(YEAR(F$1),MONTH(F$1)-1,1),Table_BCTC_Thang[],$A$102,0),
$D$102)
+ IFERROR(HLOOKUP(DATE(YEAR(F$1),MONTH(F$1)-1,1),Table_BCTC_Thang[],$A$108,0),
$D$108)
)/2)</f>
        <v>#DIV/0!</v>
      </c>
      <c r="G143" s="240"/>
      <c r="H143" s="356"/>
      <c r="I143" s="78" t="s">
        <v>502</v>
      </c>
      <c r="J143" s="32">
        <f xml:space="preserve">
IFERROR(
-(J8+J17+J28-J14-J26-J33-J34)/
((J99+J106+J102+J108
+ IFERROR(HLOOKUP(J$1-1,Table_BCTC_Nam[],$A$99,0),$D$99)
+ IFERROR(HLOOKUP(J$1-1,Table_BCTC_Nam[],$A$106,0),$D$106)
+ IFERROR(HLOOKUP(J$1-1,Table_BCTC_Nam[],$A$102,0),$D$102)
+ IFERROR(HLOOKUP(J$1-1,Table_BCTC_Nam[],$A$108,0),$D$108)
)/2),0)</f>
        <v>0</v>
      </c>
      <c r="K143" s="32">
        <f xml:space="preserve">
IFERROR(
-(K8+K17+K28-K14-K26-K33-K34)/
((K99+K106+K102+K108
+ IFERROR(HLOOKUP(K$1-1,Table_BCTC_Nam[],$A$99,0),$D$99)
+ IFERROR(HLOOKUP(K$1-1,Table_BCTC_Nam[],$A$106,0),$D$106)
+ IFERROR(HLOOKUP(K$1-1,Table_BCTC_Nam[],$A$102,0),$D$102)
+ IFERROR(HLOOKUP(K$1-1,Table_BCTC_Nam[],$A$108,0),$D$108)
)/2),0)</f>
        <v>0</v>
      </c>
      <c r="L143" s="240"/>
      <c r="M143" s="356"/>
      <c r="N143" s="78" t="s">
        <v>502</v>
      </c>
      <c r="O143" s="81" t="e">
        <f>-(O8+O17+O28-O14-O26-O33-O34)/
((O99 + O106 + O102 + O108
+ IFERROR(HLOOKUP(DATE(YEAR(O$1),MONTH(O$1)-1,1),Table_BCTC_Thang[],$A$99,0),
$D$99)
+ IFERROR(HLOOKUP(DATE(YEAR(O$1),MONTH(O$1)-1,1),Table_BCTC_Thang[],$A$106,0),
$D$106)
+ IFERROR(HLOOKUP(DATE(YEAR(O$1),MONTH(O$1)-1,1),Table_BCTC_Thang[],$A$102,0),
$D$102)
+ IFERROR(HLOOKUP(DATE(YEAR(O$1),MONTH(O$1)-1,1),Table_BCTC_Thang[],$A$108,0),
$D$108)
)/2)</f>
        <v>#DIV/0!</v>
      </c>
      <c r="P143" s="81" t="e">
        <f>-(P8+P17+P28-P14-P26-P33-P34)/
((P99 + P106 + P102 + P108
+ IFERROR(HLOOKUP(DATE(YEAR(P$1),MONTH(P$1)-1,1),Table_BCTC_Thang[],$A$99,0),
$D$99)
+ IFERROR(HLOOKUP(DATE(YEAR(P$1),MONTH(P$1)-1,1),Table_BCTC_Thang[],$A$106,0),
$D$106)
+ IFERROR(HLOOKUP(DATE(YEAR(P$1),MONTH(P$1)-1,1),Table_BCTC_Thang[],$A$102,0),
$D$102)
+ IFERROR(HLOOKUP(DATE(YEAR(P$1),MONTH(P$1)-1,1),Table_BCTC_Thang[],$A$108,0),
$D$108)
)/2)</f>
        <v>#DIV/0!</v>
      </c>
      <c r="Q143" s="263"/>
      <c r="R143" s="263"/>
      <c r="S143" s="263"/>
      <c r="T143" s="263"/>
      <c r="U143" s="263"/>
      <c r="V143" s="263"/>
      <c r="W143" s="263"/>
      <c r="X143" s="263"/>
      <c r="Y143" s="263"/>
      <c r="Z143" s="263"/>
      <c r="AA143" s="263"/>
      <c r="AB143" s="263"/>
      <c r="AC143" s="263"/>
      <c r="AD143" s="263"/>
      <c r="AE143" s="263"/>
      <c r="AF143" s="263"/>
      <c r="AG143" s="263"/>
      <c r="AH143" s="263"/>
      <c r="AI143" s="263"/>
      <c r="AJ143" s="263"/>
      <c r="AK143" s="263"/>
      <c r="AL143" s="263"/>
      <c r="AM143" s="242"/>
    </row>
    <row r="144" spans="1:39" ht="18" customHeight="1" outlineLevel="2" x14ac:dyDescent="0.15">
      <c r="A144" s="240">
        <f t="shared" si="2"/>
        <v>141</v>
      </c>
      <c r="B144" s="356"/>
      <c r="C144" s="78" t="s">
        <v>503</v>
      </c>
      <c r="D144" s="263"/>
      <c r="E144" s="32">
        <f>IFERROR(365/E143,0)</f>
        <v>0</v>
      </c>
      <c r="F144" s="81" t="e">
        <f>(365/12)/F143</f>
        <v>#DIV/0!</v>
      </c>
      <c r="G144" s="240"/>
      <c r="H144" s="356"/>
      <c r="I144" s="78" t="s">
        <v>503</v>
      </c>
      <c r="J144" s="32">
        <f>IFERROR(365/J143,0)</f>
        <v>0</v>
      </c>
      <c r="K144" s="32">
        <f>IFERROR(365/K143,0)</f>
        <v>0</v>
      </c>
      <c r="L144" s="240"/>
      <c r="M144" s="356"/>
      <c r="N144" s="78" t="s">
        <v>503</v>
      </c>
      <c r="O144" s="81" t="e">
        <f>(365/12)/O143</f>
        <v>#DIV/0!</v>
      </c>
      <c r="P144" s="81" t="e">
        <f>(365/12)/P143</f>
        <v>#DIV/0!</v>
      </c>
      <c r="Q144" s="263"/>
      <c r="R144" s="263"/>
      <c r="S144" s="263"/>
      <c r="T144" s="263"/>
      <c r="U144" s="263"/>
      <c r="V144" s="263"/>
      <c r="W144" s="263"/>
      <c r="X144" s="263"/>
      <c r="Y144" s="263"/>
      <c r="Z144" s="263"/>
      <c r="AA144" s="263"/>
      <c r="AB144" s="263"/>
      <c r="AC144" s="263"/>
      <c r="AD144" s="263"/>
      <c r="AE144" s="263"/>
      <c r="AF144" s="263"/>
      <c r="AG144" s="263"/>
      <c r="AH144" s="263"/>
      <c r="AI144" s="263"/>
      <c r="AJ144" s="263"/>
      <c r="AK144" s="263"/>
      <c r="AL144" s="263"/>
      <c r="AM144" s="242"/>
    </row>
    <row r="145" spans="1:39" ht="18" customHeight="1" outlineLevel="2" x14ac:dyDescent="0.15">
      <c r="A145" s="240">
        <f t="shared" si="2"/>
        <v>142</v>
      </c>
      <c r="B145" s="356"/>
      <c r="C145" s="78" t="s">
        <v>504</v>
      </c>
      <c r="D145" s="263"/>
      <c r="E145" s="32">
        <f>+E140+E142-E144</f>
        <v>0</v>
      </c>
      <c r="F145" s="81" t="e">
        <f>+F140+F142-F144</f>
        <v>#DIV/0!</v>
      </c>
      <c r="G145" s="240"/>
      <c r="H145" s="356"/>
      <c r="I145" s="78" t="s">
        <v>504</v>
      </c>
      <c r="J145" s="32">
        <f>+J140+J142-J144</f>
        <v>0</v>
      </c>
      <c r="K145" s="32">
        <f>+K140+K142-K144</f>
        <v>0</v>
      </c>
      <c r="L145" s="240"/>
      <c r="M145" s="356"/>
      <c r="N145" s="78" t="s">
        <v>504</v>
      </c>
      <c r="O145" s="81" t="e">
        <f>+O140+O142-O144</f>
        <v>#DIV/0!</v>
      </c>
      <c r="P145" s="81" t="e">
        <f>+P140+P142-P144</f>
        <v>#DIV/0!</v>
      </c>
      <c r="Q145" s="263"/>
      <c r="R145" s="263"/>
      <c r="S145" s="263"/>
      <c r="T145" s="263"/>
      <c r="U145" s="263"/>
      <c r="V145" s="263"/>
      <c r="W145" s="263"/>
      <c r="X145" s="263"/>
      <c r="Y145" s="263"/>
      <c r="Z145" s="263"/>
      <c r="AA145" s="263"/>
      <c r="AB145" s="263"/>
      <c r="AC145" s="263"/>
      <c r="AD145" s="263"/>
      <c r="AE145" s="263"/>
      <c r="AF145" s="263"/>
      <c r="AG145" s="263"/>
      <c r="AH145" s="263"/>
      <c r="AI145" s="263"/>
      <c r="AJ145" s="263"/>
      <c r="AK145" s="263"/>
      <c r="AL145" s="263"/>
      <c r="AM145" s="242"/>
    </row>
    <row r="146" spans="1:39" ht="18" customHeight="1" outlineLevel="1" x14ac:dyDescent="0.15">
      <c r="A146" s="240">
        <f t="shared" si="2"/>
        <v>143</v>
      </c>
      <c r="B146" s="356"/>
      <c r="C146" s="79" t="s">
        <v>505</v>
      </c>
      <c r="D146" s="263"/>
      <c r="E146" s="346"/>
      <c r="F146" s="240"/>
      <c r="G146" s="240"/>
      <c r="H146" s="356"/>
      <c r="I146" s="79" t="s">
        <v>505</v>
      </c>
      <c r="J146" s="346"/>
      <c r="K146" s="346"/>
      <c r="L146" s="240"/>
      <c r="M146" s="356"/>
      <c r="N146" s="79" t="s">
        <v>505</v>
      </c>
      <c r="O146" s="240"/>
      <c r="P146" s="240"/>
      <c r="Q146" s="263"/>
      <c r="R146" s="263"/>
      <c r="S146" s="263"/>
      <c r="T146" s="263"/>
      <c r="U146" s="263"/>
      <c r="V146" s="263"/>
      <c r="W146" s="263"/>
      <c r="X146" s="263"/>
      <c r="Y146" s="263"/>
      <c r="Z146" s="263"/>
      <c r="AA146" s="263"/>
      <c r="AB146" s="263"/>
      <c r="AC146" s="263"/>
      <c r="AD146" s="263"/>
      <c r="AE146" s="263"/>
      <c r="AF146" s="263"/>
      <c r="AG146" s="263"/>
      <c r="AH146" s="263"/>
      <c r="AI146" s="263"/>
      <c r="AJ146" s="263"/>
      <c r="AK146" s="263"/>
      <c r="AL146" s="263"/>
      <c r="AM146" s="242"/>
    </row>
    <row r="147" spans="1:39" ht="18" customHeight="1" outlineLevel="2" x14ac:dyDescent="0.15">
      <c r="A147" s="240">
        <f t="shared" si="2"/>
        <v>144</v>
      </c>
      <c r="B147" s="356"/>
      <c r="C147" s="78" t="s">
        <v>506</v>
      </c>
      <c r="D147" s="263"/>
      <c r="E147" s="32">
        <f>IFERROR(E74/E98,0)</f>
        <v>0</v>
      </c>
      <c r="F147" s="81">
        <f>F74/F98</f>
        <v>0</v>
      </c>
      <c r="G147" s="240"/>
      <c r="H147" s="356"/>
      <c r="I147" s="78" t="s">
        <v>506</v>
      </c>
      <c r="J147" s="32">
        <f>IFERROR(J74/J98,0)</f>
        <v>0</v>
      </c>
      <c r="K147" s="32">
        <f>IFERROR(K74/K98,0)</f>
        <v>0</v>
      </c>
      <c r="L147" s="240"/>
      <c r="M147" s="356"/>
      <c r="N147" s="78" t="s">
        <v>506</v>
      </c>
      <c r="O147" s="81">
        <f>O74/O98</f>
        <v>0</v>
      </c>
      <c r="P147" s="81">
        <f>P74/P98</f>
        <v>0</v>
      </c>
      <c r="Q147" s="263"/>
      <c r="R147" s="263"/>
      <c r="S147" s="263"/>
      <c r="T147" s="263"/>
      <c r="U147" s="263"/>
      <c r="V147" s="263"/>
      <c r="W147" s="263"/>
      <c r="X147" s="263"/>
      <c r="Y147" s="263"/>
      <c r="Z147" s="263"/>
      <c r="AA147" s="263"/>
      <c r="AB147" s="263"/>
      <c r="AC147" s="263"/>
      <c r="AD147" s="263"/>
      <c r="AE147" s="263"/>
      <c r="AF147" s="263"/>
      <c r="AG147" s="263"/>
      <c r="AH147" s="263"/>
      <c r="AI147" s="263"/>
      <c r="AJ147" s="263"/>
      <c r="AK147" s="263"/>
      <c r="AL147" s="263"/>
      <c r="AM147" s="242"/>
    </row>
    <row r="148" spans="1:39" ht="18" customHeight="1" outlineLevel="2" x14ac:dyDescent="0.15">
      <c r="A148" s="240">
        <f t="shared" si="2"/>
        <v>145</v>
      </c>
      <c r="B148" s="356"/>
      <c r="C148" s="78" t="s">
        <v>507</v>
      </c>
      <c r="D148" s="263"/>
      <c r="E148" s="32">
        <f>IFERROR((E73-E76-E82)/E98,0)</f>
        <v>0</v>
      </c>
      <c r="F148" s="81">
        <f>(F73-F76-F82)/F98</f>
        <v>0</v>
      </c>
      <c r="G148" s="240"/>
      <c r="H148" s="356"/>
      <c r="I148" s="78" t="s">
        <v>507</v>
      </c>
      <c r="J148" s="32">
        <f>IFERROR((J73-J76-J82)/J98,0)</f>
        <v>0</v>
      </c>
      <c r="K148" s="32">
        <f>IFERROR((K73-K76-K82)/K98,0)</f>
        <v>0</v>
      </c>
      <c r="L148" s="240"/>
      <c r="M148" s="356"/>
      <c r="N148" s="78" t="s">
        <v>507</v>
      </c>
      <c r="O148" s="81">
        <f ca="1">(O73-O76-O82)/O98</f>
        <v>0</v>
      </c>
      <c r="P148" s="81">
        <f ca="1">(P73-P76-P82)/P98</f>
        <v>0</v>
      </c>
      <c r="Q148" s="263"/>
      <c r="R148" s="263"/>
      <c r="S148" s="263"/>
      <c r="T148" s="263"/>
      <c r="U148" s="263"/>
      <c r="V148" s="263"/>
      <c r="W148" s="263"/>
      <c r="X148" s="263"/>
      <c r="Y148" s="263"/>
      <c r="Z148" s="263"/>
      <c r="AA148" s="263"/>
      <c r="AB148" s="263"/>
      <c r="AC148" s="263"/>
      <c r="AD148" s="263"/>
      <c r="AE148" s="263"/>
      <c r="AF148" s="263"/>
      <c r="AG148" s="263"/>
      <c r="AH148" s="263"/>
      <c r="AI148" s="263"/>
      <c r="AJ148" s="263"/>
      <c r="AK148" s="263"/>
      <c r="AL148" s="263"/>
      <c r="AM148" s="242"/>
    </row>
    <row r="149" spans="1:39" ht="18" customHeight="1" outlineLevel="2" x14ac:dyDescent="0.15">
      <c r="A149" s="240">
        <f t="shared" si="2"/>
        <v>146</v>
      </c>
      <c r="B149" s="356"/>
      <c r="C149" s="78" t="s">
        <v>508</v>
      </c>
      <c r="D149" s="263"/>
      <c r="E149" s="32">
        <f>IFERROR(E73/E98,0)</f>
        <v>0</v>
      </c>
      <c r="F149" s="81">
        <f>F73/F98</f>
        <v>0</v>
      </c>
      <c r="G149" s="240"/>
      <c r="H149" s="356"/>
      <c r="I149" s="78" t="s">
        <v>508</v>
      </c>
      <c r="J149" s="32">
        <f>IFERROR(J73/J98,0)</f>
        <v>7.4672783575185614E-2</v>
      </c>
      <c r="K149" s="32">
        <f>IFERROR(K73/K98,0)</f>
        <v>7.4672783575185614E-2</v>
      </c>
      <c r="L149" s="240"/>
      <c r="M149" s="356"/>
      <c r="N149" s="78" t="s">
        <v>508</v>
      </c>
      <c r="O149" s="81">
        <f ca="1">O73/O98</f>
        <v>0</v>
      </c>
      <c r="P149" s="81">
        <f ca="1">P73/P98</f>
        <v>0</v>
      </c>
      <c r="Q149" s="263"/>
      <c r="R149" s="263"/>
      <c r="S149" s="263"/>
      <c r="T149" s="263"/>
      <c r="U149" s="263"/>
      <c r="V149" s="263"/>
      <c r="W149" s="263"/>
      <c r="X149" s="263"/>
      <c r="Y149" s="263"/>
      <c r="Z149" s="263"/>
      <c r="AA149" s="263"/>
      <c r="AB149" s="263"/>
      <c r="AC149" s="263"/>
      <c r="AD149" s="263"/>
      <c r="AE149" s="263"/>
      <c r="AF149" s="263"/>
      <c r="AG149" s="263"/>
      <c r="AH149" s="263"/>
      <c r="AI149" s="263"/>
      <c r="AJ149" s="263"/>
      <c r="AK149" s="263"/>
      <c r="AL149" s="263"/>
      <c r="AM149" s="242"/>
    </row>
    <row r="150" spans="1:39" ht="18" customHeight="1" outlineLevel="2" x14ac:dyDescent="0.15">
      <c r="A150" s="240">
        <f t="shared" si="2"/>
        <v>147</v>
      </c>
      <c r="B150" s="356"/>
      <c r="C150" s="78" t="s">
        <v>509</v>
      </c>
      <c r="D150" s="263"/>
      <c r="E150" s="32">
        <f>IFERROR(E49/
((E98
+ IFERROR(HLOOKUP(E$1-1,Table_BCTC_Nam[],$A$98,0),$D$98)
)/2),0)</f>
        <v>0</v>
      </c>
      <c r="F150" s="219">
        <f>F49/
((F98
+ IFERROR(HLOOKUP(DATE(YEAR(F$1),MONTH(F$1)-1,1),Table_BCTC_Thang[],$A$98,0),
$D$98)
)/2)</f>
        <v>0</v>
      </c>
      <c r="G150" s="240"/>
      <c r="H150" s="356"/>
      <c r="I150" s="78" t="s">
        <v>509</v>
      </c>
      <c r="J150" s="32">
        <f>IFERROR(J49/
((J98
+ IFERROR(HLOOKUP(J$1-1,Table_BCTC_Nam[],$A$98,0),$D$98)
)/2),0)</f>
        <v>0</v>
      </c>
      <c r="K150" s="32">
        <f>IFERROR(K49/
((K98
+ IFERROR(HLOOKUP(K$1-1,Table_BCTC_Nam[],$A$98,0),$D$98)
)/2),0)</f>
        <v>0</v>
      </c>
      <c r="L150" s="240"/>
      <c r="M150" s="356"/>
      <c r="N150" s="78" t="s">
        <v>509</v>
      </c>
      <c r="O150" s="219">
        <f>O49/
((O98
+ IFERROR(HLOOKUP(DATE(YEAR(O$1),MONTH(O$1)-1,1),Table_BCTC_Thang[],$A$98,0),
$D$98)
)/2)</f>
        <v>0</v>
      </c>
      <c r="P150" s="219">
        <f>P49/
((P98
+ IFERROR(HLOOKUP(DATE(YEAR(P$1),MONTH(P$1)-1,1),Table_BCTC_Thang[],$A$98,0),
$D$98)
)/2)</f>
        <v>0</v>
      </c>
      <c r="Q150" s="263"/>
      <c r="R150" s="263"/>
      <c r="S150" s="263"/>
      <c r="T150" s="263"/>
      <c r="U150" s="263"/>
      <c r="V150" s="263"/>
      <c r="W150" s="263"/>
      <c r="X150" s="263"/>
      <c r="Y150" s="263"/>
      <c r="Z150" s="263"/>
      <c r="AA150" s="263"/>
      <c r="AB150" s="263"/>
      <c r="AC150" s="263"/>
      <c r="AD150" s="263"/>
      <c r="AE150" s="263"/>
      <c r="AF150" s="263"/>
      <c r="AG150" s="263"/>
      <c r="AH150" s="263"/>
      <c r="AI150" s="263"/>
      <c r="AJ150" s="263"/>
      <c r="AK150" s="263"/>
      <c r="AL150" s="263"/>
      <c r="AM150" s="242"/>
    </row>
    <row r="151" spans="1:39" ht="18" customHeight="1" outlineLevel="1" x14ac:dyDescent="0.15">
      <c r="A151" s="240">
        <f t="shared" si="2"/>
        <v>148</v>
      </c>
      <c r="B151" s="356"/>
      <c r="C151" s="79" t="s">
        <v>510</v>
      </c>
      <c r="D151" s="263"/>
      <c r="E151" s="355"/>
      <c r="F151" s="375"/>
      <c r="G151" s="240"/>
      <c r="H151" s="356"/>
      <c r="I151" s="79" t="s">
        <v>510</v>
      </c>
      <c r="J151" s="355"/>
      <c r="K151" s="355"/>
      <c r="L151" s="240"/>
      <c r="M151" s="356"/>
      <c r="N151" s="79" t="s">
        <v>510</v>
      </c>
      <c r="O151" s="375"/>
      <c r="P151" s="375"/>
      <c r="Q151" s="263"/>
      <c r="R151" s="263"/>
      <c r="S151" s="263"/>
      <c r="T151" s="263"/>
      <c r="U151" s="263"/>
      <c r="V151" s="263"/>
      <c r="W151" s="263"/>
      <c r="X151" s="263"/>
      <c r="Y151" s="263"/>
      <c r="Z151" s="263"/>
      <c r="AA151" s="263"/>
      <c r="AB151" s="263"/>
      <c r="AC151" s="263"/>
      <c r="AD151" s="263"/>
      <c r="AE151" s="263"/>
      <c r="AF151" s="263"/>
      <c r="AG151" s="263"/>
      <c r="AH151" s="263"/>
      <c r="AI151" s="263"/>
      <c r="AJ151" s="263"/>
      <c r="AK151" s="263"/>
      <c r="AL151" s="263"/>
      <c r="AM151" s="242"/>
    </row>
    <row r="152" spans="1:39" ht="18" customHeight="1" outlineLevel="2" x14ac:dyDescent="0.15">
      <c r="A152" s="240">
        <f t="shared" si="2"/>
        <v>149</v>
      </c>
      <c r="B152" s="356"/>
      <c r="C152" s="78" t="s">
        <v>511</v>
      </c>
      <c r="D152" s="263"/>
      <c r="E152" s="80">
        <f>IFERROR(E97/(E86+E73),0)</f>
        <v>0</v>
      </c>
      <c r="F152" s="80" t="e">
        <f>F97/(F86+F73)</f>
        <v>#DIV/0!</v>
      </c>
      <c r="G152" s="240"/>
      <c r="H152" s="356"/>
      <c r="I152" s="78" t="s">
        <v>511</v>
      </c>
      <c r="J152" s="80">
        <f>IFERROR(J97/(J86+J73),0)</f>
        <v>13.391760051279357</v>
      </c>
      <c r="K152" s="80">
        <f>IFERROR(K97/(K86+K73),0)</f>
        <v>13.391760051279357</v>
      </c>
      <c r="L152" s="240"/>
      <c r="M152" s="356"/>
      <c r="N152" s="78" t="s">
        <v>511</v>
      </c>
      <c r="O152" s="80" t="e">
        <f ca="1">O97/(O86+O73)</f>
        <v>#DIV/0!</v>
      </c>
      <c r="P152" s="80" t="e">
        <f ca="1">P97/(P86+P73)</f>
        <v>#DIV/0!</v>
      </c>
      <c r="Q152" s="263"/>
      <c r="R152" s="263"/>
      <c r="S152" s="263"/>
      <c r="T152" s="263"/>
      <c r="U152" s="263"/>
      <c r="V152" s="263"/>
      <c r="W152" s="263"/>
      <c r="X152" s="263"/>
      <c r="Y152" s="263"/>
      <c r="Z152" s="263"/>
      <c r="AA152" s="263"/>
      <c r="AB152" s="263"/>
      <c r="AC152" s="263"/>
      <c r="AD152" s="263"/>
      <c r="AE152" s="263"/>
      <c r="AF152" s="263"/>
      <c r="AG152" s="263"/>
      <c r="AH152" s="263"/>
      <c r="AI152" s="263"/>
      <c r="AJ152" s="263"/>
      <c r="AK152" s="263"/>
      <c r="AL152" s="263"/>
      <c r="AM152" s="242"/>
    </row>
    <row r="153" spans="1:39" ht="18" customHeight="1" outlineLevel="2" x14ac:dyDescent="0.15">
      <c r="A153" s="240">
        <f t="shared" si="2"/>
        <v>150</v>
      </c>
      <c r="B153" s="356"/>
      <c r="C153" s="78" t="s">
        <v>512</v>
      </c>
      <c r="D153" s="263"/>
      <c r="E153" s="80">
        <f>IFERROR((E110+E104)/(E86+E73),0)</f>
        <v>0</v>
      </c>
      <c r="F153" s="80" t="e">
        <f>(F110+F104)/(F86+F73)</f>
        <v>#DIV/0!</v>
      </c>
      <c r="G153" s="240"/>
      <c r="H153" s="356"/>
      <c r="I153" s="78" t="s">
        <v>512</v>
      </c>
      <c r="J153" s="80">
        <f>IFERROR((J110+J104)/(J86+J73),0)</f>
        <v>13.368812714323163</v>
      </c>
      <c r="K153" s="80">
        <f>IFERROR((K110+K104)/(K86+K73),0)</f>
        <v>13.368812714323163</v>
      </c>
      <c r="L153" s="240"/>
      <c r="M153" s="356"/>
      <c r="N153" s="78" t="s">
        <v>512</v>
      </c>
      <c r="O153" s="80" t="e">
        <f ca="1">(O110+O104)/(O86+O73)</f>
        <v>#DIV/0!</v>
      </c>
      <c r="P153" s="80" t="e">
        <f ca="1">(P110+P104)/(P86+P73)</f>
        <v>#DIV/0!</v>
      </c>
      <c r="Q153" s="263"/>
      <c r="R153" s="263"/>
      <c r="S153" s="263"/>
      <c r="T153" s="263"/>
      <c r="U153" s="263"/>
      <c r="V153" s="263"/>
      <c r="W153" s="263"/>
      <c r="X153" s="263"/>
      <c r="Y153" s="263"/>
      <c r="Z153" s="263"/>
      <c r="AA153" s="263"/>
      <c r="AB153" s="263"/>
      <c r="AC153" s="263"/>
      <c r="AD153" s="263"/>
      <c r="AE153" s="263"/>
      <c r="AF153" s="263"/>
      <c r="AG153" s="263"/>
      <c r="AH153" s="263"/>
      <c r="AI153" s="263"/>
      <c r="AJ153" s="263"/>
      <c r="AK153" s="263"/>
      <c r="AL153" s="263"/>
      <c r="AM153" s="242"/>
    </row>
    <row r="154" spans="1:39" ht="18" customHeight="1" outlineLevel="2" x14ac:dyDescent="0.15">
      <c r="A154" s="240">
        <f t="shared" si="2"/>
        <v>151</v>
      </c>
      <c r="B154" s="356"/>
      <c r="C154" s="78" t="s">
        <v>513</v>
      </c>
      <c r="D154" s="263"/>
      <c r="E154" s="80">
        <f>IFERROR((E110+E104)/E111,0)</f>
        <v>0</v>
      </c>
      <c r="F154" s="80" t="e">
        <f>(F110+F104)/F111</f>
        <v>#DIV/0!</v>
      </c>
      <c r="G154" s="240"/>
      <c r="H154" s="356"/>
      <c r="I154" s="78" t="s">
        <v>513</v>
      </c>
      <c r="J154" s="80">
        <f>IFERROR((J110+J104)/J111,0)</f>
        <v>0</v>
      </c>
      <c r="K154" s="80">
        <f>IFERROR((K110+K104)/K111,0)</f>
        <v>0</v>
      </c>
      <c r="L154" s="240"/>
      <c r="M154" s="356"/>
      <c r="N154" s="78" t="s">
        <v>513</v>
      </c>
      <c r="O154" s="80" t="e">
        <f>(O110+O104)/O111</f>
        <v>#DIV/0!</v>
      </c>
      <c r="P154" s="80" t="e">
        <f>(P110+P104)/P111</f>
        <v>#DIV/0!</v>
      </c>
      <c r="Q154" s="263"/>
      <c r="R154" s="263"/>
      <c r="S154" s="263"/>
      <c r="T154" s="263"/>
      <c r="U154" s="263"/>
      <c r="V154" s="263"/>
      <c r="W154" s="263"/>
      <c r="X154" s="263"/>
      <c r="Y154" s="263"/>
      <c r="Z154" s="263"/>
      <c r="AA154" s="263"/>
      <c r="AB154" s="263"/>
      <c r="AC154" s="263"/>
      <c r="AD154" s="263"/>
      <c r="AE154" s="263"/>
      <c r="AF154" s="263"/>
      <c r="AG154" s="263"/>
      <c r="AH154" s="263"/>
      <c r="AI154" s="263"/>
      <c r="AJ154" s="263"/>
      <c r="AK154" s="263"/>
      <c r="AL154" s="263"/>
      <c r="AM154" s="242"/>
    </row>
    <row r="155" spans="1:39" ht="18" customHeight="1" outlineLevel="2" x14ac:dyDescent="0.15">
      <c r="A155" s="240">
        <f t="shared" si="2"/>
        <v>152</v>
      </c>
      <c r="B155" s="356"/>
      <c r="C155" s="78" t="s">
        <v>514</v>
      </c>
      <c r="D155" s="263"/>
      <c r="E155" s="80">
        <f>IFERROR(E49/
((E97
+ IFERROR(HLOOKUP(E$1-1,Table_BCTC_Nam[],$A$97,0),$D$97)
)/2),0)</f>
        <v>0</v>
      </c>
      <c r="F155" s="219">
        <f>F49/
((F97
+  IFERROR(HLOOKUP(DATE(YEAR(F$1),MONTH(F$1)-1,1),Table_BCTC_Thang[],$A$97,0),
$D$97)
)/2)</f>
        <v>0</v>
      </c>
      <c r="G155" s="240"/>
      <c r="H155" s="356"/>
      <c r="I155" s="78" t="s">
        <v>514</v>
      </c>
      <c r="J155" s="80">
        <f>IFERROR(J49/
((J97
+ IFERROR(HLOOKUP(J$1-1,Table_BCTC_Nam[],$A$97,0),$D$97)
)/2),0)</f>
        <v>0</v>
      </c>
      <c r="K155" s="80">
        <f>IFERROR(K49/
((K97
+ IFERROR(HLOOKUP(K$1-1,Table_BCTC_Nam[],$A$97,0),$D$97)
)/2),0)</f>
        <v>0</v>
      </c>
      <c r="L155" s="240"/>
      <c r="M155" s="356"/>
      <c r="N155" s="78" t="s">
        <v>514</v>
      </c>
      <c r="O155" s="219">
        <f>O49/
((O97
+  IFERROR(HLOOKUP(DATE(YEAR(O$1),MONTH(O$1)-1,1),Table_BCTC_Thang[],$A$97,0),
$D$97)
)/2)</f>
        <v>0</v>
      </c>
      <c r="P155" s="219">
        <f>P49/
((P97
+  IFERROR(HLOOKUP(DATE(YEAR(P$1),MONTH(P$1)-1,1),Table_BCTC_Thang[],$A$97,0),
$D$97)
)/2)</f>
        <v>0</v>
      </c>
      <c r="Q155" s="263"/>
      <c r="R155" s="263"/>
      <c r="S155" s="263"/>
      <c r="T155" s="263"/>
      <c r="U155" s="263"/>
      <c r="V155" s="263"/>
      <c r="W155" s="263"/>
      <c r="X155" s="263"/>
      <c r="Y155" s="263"/>
      <c r="Z155" s="263"/>
      <c r="AA155" s="263"/>
      <c r="AB155" s="263"/>
      <c r="AC155" s="263"/>
      <c r="AD155" s="263"/>
      <c r="AE155" s="263"/>
      <c r="AF155" s="263"/>
      <c r="AG155" s="263"/>
      <c r="AH155" s="263"/>
      <c r="AI155" s="263"/>
      <c r="AJ155" s="263"/>
      <c r="AK155" s="263"/>
      <c r="AL155" s="263"/>
      <c r="AM155" s="242"/>
    </row>
    <row r="156" spans="1:39" ht="18" customHeight="1" outlineLevel="2" x14ac:dyDescent="0.15">
      <c r="A156" s="240">
        <f t="shared" si="2"/>
        <v>153</v>
      </c>
      <c r="B156" s="356"/>
      <c r="C156" s="78" t="s">
        <v>515</v>
      </c>
      <c r="D156" s="263"/>
      <c r="E156" s="80">
        <f>IFERROR(E49/
((E110+E104
+ IFERROR(HLOOKUP(E$1-1,Table_BCTC_Nam[],$A$110,0),$D$110)
+ IFERROR(HLOOKUP(E$1-1,Table_BCTC_Nam[],$A$104,0),$D$104)
)/2),0)</f>
        <v>0</v>
      </c>
      <c r="F156" s="80">
        <f>F49/
((F110+F104
+IFERROR(HLOOKUP(DATE(YEAR(F$1),MONTH(F$1)-1,1),Table_BCTC_Thang[],$A$110,0),
$D$110)
+IFERROR(HLOOKUP(DATE(YEAR(F$1),MONTH(F$1)-1,1),Table_BCTC_Thang[],$A$104,0),
$D$104)
)/2)</f>
        <v>0</v>
      </c>
      <c r="G156" s="240"/>
      <c r="H156" s="356"/>
      <c r="I156" s="78" t="s">
        <v>515</v>
      </c>
      <c r="J156" s="80">
        <f>IFERROR(J49/
((J110+J104
+ IFERROR(HLOOKUP(J$1-1,Table_BCTC_Nam[],$A$110,0),$D$110)
+ IFERROR(HLOOKUP(J$1-1,Table_BCTC_Nam[],$A$104,0),$D$104)
)/2),0)</f>
        <v>0</v>
      </c>
      <c r="K156" s="80">
        <f>IFERROR(K49/
((K110+K104
+ IFERROR(HLOOKUP(K$1-1,Table_BCTC_Nam[],$A$110,0),$D$110)
+ IFERROR(HLOOKUP(K$1-1,Table_BCTC_Nam[],$A$104,0),$D$104)
)/2),0)</f>
        <v>0</v>
      </c>
      <c r="L156" s="240"/>
      <c r="M156" s="356"/>
      <c r="N156" s="78" t="s">
        <v>515</v>
      </c>
      <c r="O156" s="80">
        <f>O49/
((O110+O104
+IFERROR(HLOOKUP(DATE(YEAR(O$1),MONTH(O$1)-1,1),Table_BCTC_Thang[],$A$110,0),
$D$110)
+IFERROR(HLOOKUP(DATE(YEAR(O$1),MONTH(O$1)-1,1),Table_BCTC_Thang[],$A$104,0),
$D$104)
)/2)</f>
        <v>0</v>
      </c>
      <c r="P156" s="80">
        <f>P49/
((P110+P104
+IFERROR(HLOOKUP(DATE(YEAR(P$1),MONTH(P$1)-1,1),Table_BCTC_Thang[],$A$110,0),
$D$110)
+IFERROR(HLOOKUP(DATE(YEAR(P$1),MONTH(P$1)-1,1),Table_BCTC_Thang[],$A$104,0),
$D$104)
)/2)</f>
        <v>0</v>
      </c>
      <c r="Q156" s="263"/>
      <c r="R156" s="263"/>
      <c r="S156" s="263"/>
      <c r="T156" s="263"/>
      <c r="U156" s="263"/>
      <c r="V156" s="263"/>
      <c r="W156" s="263"/>
      <c r="X156" s="263"/>
      <c r="Y156" s="263"/>
      <c r="Z156" s="263"/>
      <c r="AA156" s="263"/>
      <c r="AB156" s="263"/>
      <c r="AC156" s="263"/>
      <c r="AD156" s="263"/>
      <c r="AE156" s="263"/>
      <c r="AF156" s="263"/>
      <c r="AG156" s="263"/>
      <c r="AH156" s="263"/>
      <c r="AI156" s="263"/>
      <c r="AJ156" s="263"/>
      <c r="AK156" s="263"/>
      <c r="AL156" s="263"/>
      <c r="AM156" s="242"/>
    </row>
    <row r="157" spans="1:39" ht="18" customHeight="1" outlineLevel="1" x14ac:dyDescent="0.15">
      <c r="A157" s="240">
        <f t="shared" si="2"/>
        <v>154</v>
      </c>
      <c r="B157" s="356"/>
      <c r="C157" s="82" t="s">
        <v>516</v>
      </c>
      <c r="D157" s="263"/>
      <c r="E157" s="310"/>
      <c r="F157" s="240"/>
      <c r="G157" s="240"/>
      <c r="H157" s="356"/>
      <c r="I157" s="82" t="s">
        <v>516</v>
      </c>
      <c r="J157" s="310"/>
      <c r="K157" s="310"/>
      <c r="L157" s="240"/>
      <c r="M157" s="356"/>
      <c r="N157" s="82" t="s">
        <v>516</v>
      </c>
      <c r="O157" s="240"/>
      <c r="P157" s="240"/>
      <c r="Q157" s="263"/>
      <c r="R157" s="263"/>
      <c r="S157" s="263"/>
      <c r="T157" s="263"/>
      <c r="U157" s="263"/>
      <c r="V157" s="263"/>
      <c r="W157" s="263"/>
      <c r="X157" s="263"/>
      <c r="Y157" s="263"/>
      <c r="Z157" s="263"/>
      <c r="AA157" s="263"/>
      <c r="AB157" s="263"/>
      <c r="AC157" s="263"/>
      <c r="AD157" s="263"/>
      <c r="AE157" s="263"/>
      <c r="AF157" s="263"/>
      <c r="AG157" s="263"/>
      <c r="AH157" s="263"/>
      <c r="AI157" s="263"/>
      <c r="AJ157" s="263"/>
      <c r="AK157" s="263"/>
      <c r="AL157" s="263"/>
      <c r="AM157" s="242"/>
    </row>
    <row r="158" spans="1:39" ht="18" customHeight="1" outlineLevel="2" x14ac:dyDescent="0.15">
      <c r="A158" s="240">
        <f t="shared" si="2"/>
        <v>155</v>
      </c>
      <c r="B158" s="356"/>
      <c r="C158" s="78" t="s">
        <v>517</v>
      </c>
      <c r="D158" s="263"/>
      <c r="E158" s="80">
        <f xml:space="preserve">
IFERROR(E6/
HLOOKUP(
E$1 -1,Table_BCTC_Nam[],$A$6,0)-1,
0)</f>
        <v>0</v>
      </c>
      <c r="F158" s="80">
        <f xml:space="preserve">
IFERROR(
F6/
HLOOKUP(DATE(YEAR(F$1),MONTH(F$1)-1,1),Table_BCTC_Thang[],$A$6,0)
-1,
0)</f>
        <v>0</v>
      </c>
      <c r="G158" s="240"/>
      <c r="H158" s="356"/>
      <c r="I158" s="78" t="s">
        <v>517</v>
      </c>
      <c r="J158" s="80">
        <f xml:space="preserve">
IFERROR(J6/
HLOOKUP(
J$1 -1,Table_BCTC_Nam[],$A$6,0)-1,
0)</f>
        <v>0</v>
      </c>
      <c r="K158" s="80">
        <f xml:space="preserve">
IFERROR(K6/
HLOOKUP(
K$1 -1,Table_BCTC_Nam[],$A$6,0)-1,
0)</f>
        <v>0</v>
      </c>
      <c r="L158" s="240"/>
      <c r="M158" s="356"/>
      <c r="N158" s="78" t="s">
        <v>517</v>
      </c>
      <c r="O158" s="80">
        <f xml:space="preserve">
IFERROR(
O6/
HLOOKUP(DATE(YEAR(O$1),MONTH(O$1)-1,1),Table_BCTC_Thang[],$A$6,0)
-1,
0)</f>
        <v>0</v>
      </c>
      <c r="P158" s="80">
        <f xml:space="preserve">
IFERROR(
P6/
HLOOKUP(DATE(YEAR(P$1),MONTH(P$1)-1,1),Table_BCTC_Thang[],$A$6,0)
-1,
0)</f>
        <v>0</v>
      </c>
      <c r="Q158" s="263"/>
      <c r="R158" s="263"/>
      <c r="S158" s="263"/>
      <c r="T158" s="263"/>
      <c r="U158" s="263"/>
      <c r="V158" s="263"/>
      <c r="W158" s="263"/>
      <c r="X158" s="263"/>
      <c r="Y158" s="263"/>
      <c r="Z158" s="263"/>
      <c r="AA158" s="263"/>
      <c r="AB158" s="263"/>
      <c r="AC158" s="263"/>
      <c r="AD158" s="263"/>
      <c r="AE158" s="263"/>
      <c r="AF158" s="263"/>
      <c r="AG158" s="263"/>
      <c r="AH158" s="263"/>
      <c r="AI158" s="263"/>
      <c r="AJ158" s="263"/>
      <c r="AK158" s="263"/>
      <c r="AL158" s="263"/>
      <c r="AM158" s="242"/>
    </row>
    <row r="159" spans="1:39" ht="18" customHeight="1" outlineLevel="2" x14ac:dyDescent="0.15">
      <c r="A159" s="240">
        <f t="shared" si="2"/>
        <v>156</v>
      </c>
      <c r="B159" s="356"/>
      <c r="C159" s="78" t="s">
        <v>518</v>
      </c>
      <c r="D159" s="263"/>
      <c r="E159" s="80">
        <f xml:space="preserve">
IFERROR(E7/
HLOOKUP(
E$1 -1,Table_BCTC_Nam[],$A$7,0)-1,
0)</f>
        <v>0</v>
      </c>
      <c r="F159" s="80">
        <f xml:space="preserve">
IFERROR(
F7/
HLOOKUP(DATE(YEAR(F$1),MONTH(F$1)-1,1),Table_BCTC_Thang[],$A$7,0)-1,
0)</f>
        <v>0</v>
      </c>
      <c r="G159" s="240"/>
      <c r="H159" s="356"/>
      <c r="I159" s="78" t="s">
        <v>518</v>
      </c>
      <c r="J159" s="80">
        <f xml:space="preserve">
IFERROR(J7/
HLOOKUP(
J$1 -1,Table_BCTC_Nam[],$A$7,0)-1,
0)</f>
        <v>0</v>
      </c>
      <c r="K159" s="80">
        <f xml:space="preserve">
IFERROR(K7/
HLOOKUP(
K$1 -1,Table_BCTC_Nam[],$A$7,0)-1,
0)</f>
        <v>0</v>
      </c>
      <c r="L159" s="240"/>
      <c r="M159" s="356"/>
      <c r="N159" s="78" t="s">
        <v>518</v>
      </c>
      <c r="O159" s="80">
        <f xml:space="preserve">
IFERROR(
O7/
HLOOKUP(DATE(YEAR(O$1),MONTH(O$1)-1,1),Table_BCTC_Thang[],$A$7,0)-1,
0)</f>
        <v>0</v>
      </c>
      <c r="P159" s="80">
        <f xml:space="preserve">
IFERROR(
P7/
HLOOKUP(DATE(YEAR(P$1),MONTH(P$1)-1,1),Table_BCTC_Thang[],$A$7,0)-1,
0)</f>
        <v>0</v>
      </c>
      <c r="Q159" s="263"/>
      <c r="R159" s="263"/>
      <c r="S159" s="263"/>
      <c r="T159" s="263"/>
      <c r="U159" s="263"/>
      <c r="V159" s="263"/>
      <c r="W159" s="263"/>
      <c r="X159" s="263"/>
      <c r="Y159" s="263"/>
      <c r="Z159" s="263"/>
      <c r="AA159" s="263"/>
      <c r="AB159" s="263"/>
      <c r="AC159" s="263"/>
      <c r="AD159" s="263"/>
      <c r="AE159" s="263"/>
      <c r="AF159" s="263"/>
      <c r="AG159" s="263"/>
      <c r="AH159" s="263"/>
      <c r="AI159" s="263"/>
      <c r="AJ159" s="263"/>
      <c r="AK159" s="263"/>
      <c r="AL159" s="263"/>
      <c r="AM159" s="242"/>
    </row>
    <row r="160" spans="1:39" ht="18" customHeight="1" outlineLevel="2" x14ac:dyDescent="0.15">
      <c r="A160" s="240">
        <f t="shared" si="2"/>
        <v>157</v>
      </c>
      <c r="B160" s="356"/>
      <c r="C160" s="78" t="s">
        <v>519</v>
      </c>
      <c r="D160" s="263"/>
      <c r="E160" s="80">
        <f xml:space="preserve">
IFERROR(E16/
HLOOKUP(
E$1 -1,Table_BCTC_Nam[],$A$16,0)-1,
0)</f>
        <v>0</v>
      </c>
      <c r="F160" s="80">
        <f xml:space="preserve">
IFERROR(
F16/
HLOOKUP(DATE(YEAR(F$1),MONTH(F$1)-1,1),Table_BCTC_Thang[],$A$16,0)-1,
0)</f>
        <v>0</v>
      </c>
      <c r="G160" s="240"/>
      <c r="H160" s="356"/>
      <c r="I160" s="78" t="s">
        <v>519</v>
      </c>
      <c r="J160" s="80">
        <f xml:space="preserve">
IFERROR(J16/
HLOOKUP(
J$1 -1,Table_BCTC_Nam[],$A$16,0)-1,
0)</f>
        <v>0</v>
      </c>
      <c r="K160" s="80">
        <f xml:space="preserve">
IFERROR(K16/
HLOOKUP(
K$1 -1,Table_BCTC_Nam[],$A$16,0)-1,
0)</f>
        <v>0</v>
      </c>
      <c r="L160" s="240"/>
      <c r="M160" s="356"/>
      <c r="N160" s="78" t="s">
        <v>519</v>
      </c>
      <c r="O160" s="80">
        <f xml:space="preserve">
IFERROR(
O16/
HLOOKUP(DATE(YEAR(O$1),MONTH(O$1)-1,1),Table_BCTC_Thang[],$A$16,0)-1,
0)</f>
        <v>0</v>
      </c>
      <c r="P160" s="80">
        <f xml:space="preserve">
IFERROR(
P16/
HLOOKUP(DATE(YEAR(P$1),MONTH(P$1)-1,1),Table_BCTC_Thang[],$A$16,0)-1,
0)</f>
        <v>0</v>
      </c>
      <c r="Q160" s="263"/>
      <c r="R160" s="263"/>
      <c r="S160" s="263"/>
      <c r="T160" s="263"/>
      <c r="U160" s="263"/>
      <c r="V160" s="263"/>
      <c r="W160" s="263"/>
      <c r="X160" s="263"/>
      <c r="Y160" s="263"/>
      <c r="Z160" s="263"/>
      <c r="AA160" s="263"/>
      <c r="AB160" s="263"/>
      <c r="AC160" s="263"/>
      <c r="AD160" s="263"/>
      <c r="AE160" s="263"/>
      <c r="AF160" s="263"/>
      <c r="AG160" s="263"/>
      <c r="AH160" s="263"/>
      <c r="AI160" s="263"/>
      <c r="AJ160" s="263"/>
      <c r="AK160" s="263"/>
      <c r="AL160" s="263"/>
      <c r="AM160" s="242"/>
    </row>
    <row r="161" spans="1:39" ht="18" customHeight="1" outlineLevel="2" x14ac:dyDescent="0.15">
      <c r="A161" s="240">
        <f t="shared" si="2"/>
        <v>158</v>
      </c>
      <c r="B161" s="356"/>
      <c r="C161" s="78" t="s">
        <v>520</v>
      </c>
      <c r="D161" s="263"/>
      <c r="E161" s="80">
        <f xml:space="preserve">
IFERROR(E36/
HLOOKUP(
E$1 -1,Table_BCTC_Nam[],$A$36,0)-1,
0)</f>
        <v>0</v>
      </c>
      <c r="F161" s="80">
        <f xml:space="preserve">
IFERROR(
F36/
HLOOKUP(DATE(YEAR(F$1),MONTH(F$1)-1,1),Table_BCTC_Thang[],$A$36,0)-1,
0)</f>
        <v>0</v>
      </c>
      <c r="G161" s="240"/>
      <c r="H161" s="356"/>
      <c r="I161" s="78" t="s">
        <v>520</v>
      </c>
      <c r="J161" s="80">
        <f xml:space="preserve">
IFERROR(J36/
HLOOKUP(
J$1 -1,Table_BCTC_Nam[],$A$36,0)-1,
0)</f>
        <v>0</v>
      </c>
      <c r="K161" s="80">
        <f xml:space="preserve">
IFERROR(K36/
HLOOKUP(
K$1 -1,Table_BCTC_Nam[],$A$36,0)-1,
0)</f>
        <v>0</v>
      </c>
      <c r="L161" s="240"/>
      <c r="M161" s="356"/>
      <c r="N161" s="78" t="s">
        <v>520</v>
      </c>
      <c r="O161" s="80">
        <f xml:space="preserve">
IFERROR(
O36/
HLOOKUP(DATE(YEAR(O$1),MONTH(O$1)-1,1),Table_BCTC_Thang[],$A$36,0)-1,
0)</f>
        <v>0</v>
      </c>
      <c r="P161" s="80">
        <f xml:space="preserve">
IFERROR(
P36/
HLOOKUP(DATE(YEAR(P$1),MONTH(P$1)-1,1),Table_BCTC_Thang[],$A$36,0)-1,
0)</f>
        <v>0</v>
      </c>
      <c r="Q161" s="263"/>
      <c r="R161" s="263"/>
      <c r="S161" s="263"/>
      <c r="T161" s="263"/>
      <c r="U161" s="263"/>
      <c r="V161" s="263"/>
      <c r="W161" s="263"/>
      <c r="X161" s="263"/>
      <c r="Y161" s="263"/>
      <c r="Z161" s="263"/>
      <c r="AA161" s="263"/>
      <c r="AB161" s="263"/>
      <c r="AC161" s="263"/>
      <c r="AD161" s="263"/>
      <c r="AE161" s="263"/>
      <c r="AF161" s="263"/>
      <c r="AG161" s="263"/>
      <c r="AH161" s="263"/>
      <c r="AI161" s="263"/>
      <c r="AJ161" s="263"/>
      <c r="AK161" s="263"/>
      <c r="AL161" s="263"/>
      <c r="AM161" s="242"/>
    </row>
    <row r="162" spans="1:39" ht="18" customHeight="1" outlineLevel="2" x14ac:dyDescent="0.15">
      <c r="A162" s="240">
        <f t="shared" si="2"/>
        <v>159</v>
      </c>
      <c r="B162" s="356"/>
      <c r="C162" s="78" t="s">
        <v>521</v>
      </c>
      <c r="D162" s="263"/>
      <c r="E162" s="80">
        <f xml:space="preserve">
IFERROR(E46/
HLOOKUP(
E$1 -1,Table_BCTC_Nam[],$A$46,0)-1,
0)</f>
        <v>0</v>
      </c>
      <c r="F162" s="80">
        <f xml:space="preserve">
IFERROR(
F46/
HLOOKUP(DATE(YEAR(F$1),MONTH(F$1)-1,1),Table_BCTC_Thang[],$A$46,0)-1,
0)</f>
        <v>0</v>
      </c>
      <c r="G162" s="240"/>
      <c r="H162" s="356"/>
      <c r="I162" s="78" t="s">
        <v>521</v>
      </c>
      <c r="J162" s="80">
        <f xml:space="preserve">
IFERROR(J46/
HLOOKUP(
J$1 -1,Table_BCTC_Nam[],$A$46,0)-1,
0)</f>
        <v>0</v>
      </c>
      <c r="K162" s="80">
        <f xml:space="preserve">
IFERROR(K46/
HLOOKUP(
K$1 -1,Table_BCTC_Nam[],$A$46,0)-1,
0)</f>
        <v>0</v>
      </c>
      <c r="L162" s="240"/>
      <c r="M162" s="356"/>
      <c r="N162" s="78" t="s">
        <v>521</v>
      </c>
      <c r="O162" s="80">
        <f xml:space="preserve">
IFERROR(
O46/
HLOOKUP(DATE(YEAR(O$1),MONTH(O$1)-1,1),Table_BCTC_Thang[],$A$46,0)-1,
0)</f>
        <v>0</v>
      </c>
      <c r="P162" s="80">
        <f xml:space="preserve">
IFERROR(
P46/
HLOOKUP(DATE(YEAR(P$1),MONTH(P$1)-1,1),Table_BCTC_Thang[],$A$46,0)-1,
0)</f>
        <v>0</v>
      </c>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42"/>
    </row>
    <row r="163" spans="1:39" ht="18" customHeight="1" outlineLevel="2" x14ac:dyDescent="0.15">
      <c r="A163" s="240">
        <f t="shared" si="2"/>
        <v>160</v>
      </c>
      <c r="B163" s="356"/>
      <c r="C163" s="78" t="s">
        <v>522</v>
      </c>
      <c r="D163" s="263"/>
      <c r="E163" s="80">
        <f xml:space="preserve">
IFERROR(E49/
HLOOKUP(
E$1 -1,Table_BCTC_Nam[],$A$49,0)-1,
0)</f>
        <v>0</v>
      </c>
      <c r="F163" s="80">
        <f xml:space="preserve">
IFERROR(F49/
HLOOKUP(DATE(YEAR(F$1),MONTH(F$1)-1,1),Table_BCTC_Thang[],$A$49,0)-1,
0)</f>
        <v>0</v>
      </c>
      <c r="G163" s="242"/>
      <c r="H163" s="356"/>
      <c r="I163" s="78" t="s">
        <v>522</v>
      </c>
      <c r="J163" s="80">
        <f xml:space="preserve">
IFERROR(J49/
HLOOKUP(
J$1 -1,Table_BCTC_Nam[],$A$49,0)-1,
0)</f>
        <v>0</v>
      </c>
      <c r="K163" s="80">
        <f xml:space="preserve">
IFERROR(K49/
HLOOKUP(
K$1 -1,Table_BCTC_Nam[],$A$49,0)-1,
0)</f>
        <v>0</v>
      </c>
      <c r="L163" s="242"/>
      <c r="M163" s="356"/>
      <c r="N163" s="78" t="s">
        <v>522</v>
      </c>
      <c r="O163" s="80">
        <f xml:space="preserve">
IFERROR(O49/
HLOOKUP(DATE(YEAR(O$1),MONTH(O$1)-1,1),Table_BCTC_Thang[],$A$49,0)-1,
0)</f>
        <v>0</v>
      </c>
      <c r="P163" s="80">
        <f xml:space="preserve">
IFERROR(P49/
HLOOKUP(DATE(YEAR(P$1),MONTH(P$1)-1,1),Table_BCTC_Thang[],$A$49,0)-1,
0)</f>
        <v>0</v>
      </c>
      <c r="Q163" s="263"/>
      <c r="R163" s="263"/>
      <c r="S163" s="263"/>
      <c r="T163" s="263"/>
      <c r="U163" s="263"/>
      <c r="V163" s="263"/>
      <c r="W163" s="263"/>
      <c r="X163" s="263"/>
      <c r="Y163" s="263"/>
      <c r="Z163" s="263"/>
      <c r="AA163" s="263"/>
      <c r="AB163" s="263"/>
      <c r="AC163" s="263"/>
      <c r="AD163" s="263"/>
      <c r="AE163" s="263"/>
      <c r="AF163" s="263"/>
      <c r="AG163" s="263"/>
      <c r="AH163" s="263"/>
      <c r="AI163" s="263"/>
      <c r="AJ163" s="263"/>
      <c r="AK163" s="263"/>
      <c r="AL163" s="263"/>
      <c r="AM163" s="242"/>
    </row>
    <row r="164" spans="1:39" ht="18" customHeight="1" outlineLevel="2" x14ac:dyDescent="0.15">
      <c r="A164" s="240">
        <f t="shared" si="2"/>
        <v>161</v>
      </c>
      <c r="B164" s="356"/>
      <c r="C164" s="78" t="s">
        <v>523</v>
      </c>
      <c r="D164" s="263"/>
      <c r="E164" s="80">
        <f xml:space="preserve">
IFERROR(E70/
HLOOKUP(
E$1 -1,Table_BCTC_Nam[],$A$70,0)-1,
0)</f>
        <v>0</v>
      </c>
      <c r="F164" s="80">
        <f xml:space="preserve">
IFERROR(F70/
HLOOKUP(DATE(YEAR(F$1),MONTH(F$1)-1,1),Table_BCTC_Thang[],$A$70,0)-1,
0)</f>
        <v>0</v>
      </c>
      <c r="G164" s="242"/>
      <c r="H164" s="356"/>
      <c r="I164" s="78" t="s">
        <v>523</v>
      </c>
      <c r="J164" s="80">
        <f xml:space="preserve">
IFERROR(J70/
HLOOKUP(
J$1 -1,Table_BCTC_Nam[],$A$70,0)-1,
0)</f>
        <v>0</v>
      </c>
      <c r="K164" s="80">
        <f xml:space="preserve">
IFERROR(K70/
HLOOKUP(
K$1 -1,Table_BCTC_Nam[],$A$70,0)-1,
0)</f>
        <v>0</v>
      </c>
      <c r="L164" s="242"/>
      <c r="M164" s="356"/>
      <c r="N164" s="78" t="s">
        <v>523</v>
      </c>
      <c r="O164" s="80">
        <f xml:space="preserve">
IFERROR(O70/
HLOOKUP(DATE(YEAR(O$1),MONTH(O$1)-1,1),Table_BCTC_Thang[],$A$70,0)-1,
0)</f>
        <v>0</v>
      </c>
      <c r="P164" s="80">
        <f xml:space="preserve">
IFERROR(P70/
HLOOKUP(DATE(YEAR(P$1),MONTH(P$1)-1,1),Table_BCTC_Thang[],$A$70,0)-1,
0)</f>
        <v>0</v>
      </c>
      <c r="Q164" s="263"/>
      <c r="R164" s="263"/>
      <c r="S164" s="263"/>
      <c r="T164" s="263"/>
      <c r="U164" s="263"/>
      <c r="V164" s="263"/>
      <c r="W164" s="263"/>
      <c r="X164" s="263"/>
      <c r="Y164" s="263"/>
      <c r="Z164" s="263"/>
      <c r="AA164" s="263"/>
      <c r="AB164" s="263"/>
      <c r="AC164" s="263"/>
      <c r="AD164" s="263"/>
      <c r="AE164" s="263"/>
      <c r="AF164" s="263"/>
      <c r="AG164" s="263"/>
      <c r="AH164" s="263"/>
      <c r="AI164" s="263"/>
      <c r="AJ164" s="263"/>
      <c r="AK164" s="263"/>
      <c r="AL164" s="263"/>
      <c r="AM164" s="242"/>
    </row>
    <row r="165" spans="1:39" ht="18" customHeight="1" outlineLevel="2" x14ac:dyDescent="0.15">
      <c r="A165" s="240">
        <f t="shared" si="2"/>
        <v>162</v>
      </c>
      <c r="B165" s="356"/>
      <c r="C165" s="78" t="s">
        <v>524</v>
      </c>
      <c r="D165" s="263"/>
      <c r="E165" s="80">
        <f xml:space="preserve">
IFERROR(
(E73+E86)/
(HLOOKUP(E$1 -1,Table_BCTC_Nam[],$A$73,$D$73)
+ HLOOKUP(E$1 -1,Table_BCTC_Nam[],$A$86,$D$86))-1, 0)</f>
        <v>0</v>
      </c>
      <c r="F165" s="80">
        <f xml:space="preserve">
IFERROR(
(F73+F86)/
(
IFERROR(HLOOKUP(DATE(YEAR(F$1),MONTH(F$1)-1,1),Table_BCTC_Thang[],$A$73,0),
$D$73)
+ IFERROR(HLOOKUP(DATE(YEAR(F$1),MONTH(F$1)-1,1),Table_BCTC_Thang[],$A$86,0),
$D$86)
)-1,0)</f>
        <v>-1</v>
      </c>
      <c r="G165" s="242"/>
      <c r="H165" s="356"/>
      <c r="I165" s="78" t="s">
        <v>524</v>
      </c>
      <c r="J165" s="80">
        <f xml:space="preserve">
IFERROR(
(J73+J86)/
(HLOOKUP(J$1 -1,Table_BCTC_Nam[],$A$73,$D$73)
+ HLOOKUP(J$1 -1,Table_BCTC_Nam[],$A$86,$D$86))-1, 0)</f>
        <v>0</v>
      </c>
      <c r="K165" s="80">
        <f xml:space="preserve">
IFERROR(
(K73+K86)/
(HLOOKUP(K$1 -1,Table_BCTC_Nam[],$A$73,$D$73)
+ HLOOKUP(K$1 -1,Table_BCTC_Nam[],$A$86,$D$86))-1, 0)</f>
        <v>0</v>
      </c>
      <c r="L165" s="242"/>
      <c r="M165" s="356"/>
      <c r="N165" s="78" t="s">
        <v>524</v>
      </c>
      <c r="O165" s="80">
        <f ca="1" xml:space="preserve">
IFERROR(
(O73+O86)/
(
IFERROR(HLOOKUP(DATE(YEAR(O$1),MONTH(O$1)-1,1),Table_BCTC_Thang[],$A$73,0),
$D$73)
+ IFERROR(HLOOKUP(DATE(YEAR(O$1),MONTH(O$1)-1,1),Table_BCTC_Thang[],$A$86,0),
$D$86)
)-1,0)</f>
        <v>-1</v>
      </c>
      <c r="P165" s="80">
        <f ca="1" xml:space="preserve">
IFERROR(
(P73+P86)/
(
IFERROR(HLOOKUP(DATE(YEAR(P$1),MONTH(P$1)-1,1),Table_BCTC_Thang[],$A$73,0),
$D$73)
+ IFERROR(HLOOKUP(DATE(YEAR(P$1),MONTH(P$1)-1,1),Table_BCTC_Thang[],$A$86,0),
$D$86)
)-1,0)</f>
        <v>-1</v>
      </c>
      <c r="Q165" s="263"/>
      <c r="R165" s="263"/>
      <c r="S165" s="263"/>
      <c r="T165" s="263"/>
      <c r="U165" s="263"/>
      <c r="V165" s="263"/>
      <c r="W165" s="263"/>
      <c r="X165" s="263"/>
      <c r="Y165" s="263"/>
      <c r="Z165" s="263"/>
      <c r="AA165" s="263"/>
      <c r="AB165" s="263"/>
      <c r="AC165" s="263"/>
      <c r="AD165" s="263"/>
      <c r="AE165" s="263"/>
      <c r="AF165" s="263"/>
      <c r="AG165" s="263"/>
      <c r="AH165" s="263"/>
      <c r="AI165" s="263"/>
      <c r="AJ165" s="263"/>
      <c r="AK165" s="263"/>
      <c r="AL165" s="263"/>
      <c r="AM165" s="242"/>
    </row>
    <row r="166" spans="1:39" ht="18" customHeight="1" outlineLevel="2" x14ac:dyDescent="0.15">
      <c r="A166" s="240">
        <f t="shared" si="2"/>
        <v>163</v>
      </c>
      <c r="B166" s="356"/>
      <c r="C166" s="78" t="s">
        <v>525</v>
      </c>
      <c r="D166" s="263"/>
      <c r="E166" s="80">
        <f xml:space="preserve">
IFERROR(
E111/
+ HLOOKUP(E$1 -1,Table_BCTC_Nam[],$A$111,$D$111)-1, 0)</f>
        <v>0</v>
      </c>
      <c r="F166" s="80">
        <f xml:space="preserve">
IFERROR(F111/
IFERROR(HLOOKUP(DATE(YEAR(F$1),MONTH(F$1)-1,1),Table_BCTC_Thang[],$A$111,0),
$D$111)-1,0)</f>
        <v>0</v>
      </c>
      <c r="G166" s="242"/>
      <c r="H166" s="356"/>
      <c r="I166" s="78" t="s">
        <v>525</v>
      </c>
      <c r="J166" s="80">
        <f xml:space="preserve">
IFERROR(
J111/
+ HLOOKUP(J$1 -1,Table_BCTC_Nam[],$A$111,$D$111)-1, 0)</f>
        <v>0</v>
      </c>
      <c r="K166" s="80">
        <f xml:space="preserve">
IFERROR(
K111/
+ HLOOKUP(K$1 -1,Table_BCTC_Nam[],$A$111,$D$111)-1, 0)</f>
        <v>0</v>
      </c>
      <c r="L166" s="242"/>
      <c r="M166" s="356"/>
      <c r="N166" s="78" t="s">
        <v>525</v>
      </c>
      <c r="O166" s="80">
        <f xml:space="preserve">
IFERROR(O111/
IFERROR(HLOOKUP(DATE(YEAR(O$1),MONTH(O$1)-1,1),Table_BCTC_Thang[],$A$111,0),
$D$111)-1,0)</f>
        <v>0</v>
      </c>
      <c r="P166" s="80">
        <f xml:space="preserve">
IFERROR(P111/
IFERROR(HLOOKUP(DATE(YEAR(P$1),MONTH(P$1)-1,1),Table_BCTC_Thang[],$A$111,0),
$D$111)-1,0)</f>
        <v>0</v>
      </c>
      <c r="Q166" s="263"/>
      <c r="R166" s="263"/>
      <c r="S166" s="263"/>
      <c r="T166" s="263"/>
      <c r="U166" s="263"/>
      <c r="V166" s="263"/>
      <c r="W166" s="263"/>
      <c r="X166" s="263"/>
      <c r="Y166" s="263"/>
      <c r="Z166" s="263"/>
      <c r="AA166" s="263"/>
      <c r="AB166" s="263"/>
      <c r="AC166" s="263"/>
      <c r="AD166" s="263"/>
      <c r="AE166" s="263"/>
      <c r="AF166" s="263"/>
      <c r="AG166" s="263"/>
      <c r="AH166" s="263"/>
      <c r="AI166" s="263"/>
      <c r="AJ166" s="263"/>
      <c r="AK166" s="263"/>
      <c r="AL166" s="263"/>
      <c r="AM166" s="242"/>
    </row>
    <row r="167" spans="1:39" ht="18" customHeight="1" x14ac:dyDescent="0.15">
      <c r="A167" s="240"/>
      <c r="B167" s="242"/>
      <c r="C167" s="240"/>
      <c r="D167" s="263"/>
      <c r="E167" s="242"/>
      <c r="F167" s="242"/>
      <c r="G167" s="242"/>
      <c r="H167" s="240"/>
      <c r="I167" s="263"/>
      <c r="J167" s="263"/>
      <c r="K167" s="263"/>
      <c r="L167" s="242"/>
      <c r="M167" s="242"/>
      <c r="N167" s="240"/>
      <c r="O167" s="240"/>
      <c r="P167" s="240"/>
      <c r="Q167" s="263"/>
      <c r="R167" s="263"/>
      <c r="S167" s="263"/>
      <c r="T167" s="263"/>
      <c r="U167" s="263"/>
      <c r="V167" s="263"/>
      <c r="W167" s="263"/>
      <c r="X167" s="263"/>
      <c r="Y167" s="263"/>
      <c r="Z167" s="263"/>
      <c r="AA167" s="263"/>
      <c r="AB167" s="263"/>
      <c r="AC167" s="263"/>
      <c r="AD167" s="263"/>
      <c r="AE167" s="263"/>
      <c r="AF167" s="263"/>
      <c r="AG167" s="263"/>
      <c r="AH167" s="263"/>
      <c r="AI167" s="263"/>
      <c r="AJ167" s="263"/>
      <c r="AK167" s="263"/>
      <c r="AL167" s="263"/>
      <c r="AM167" s="242"/>
    </row>
    <row r="168" spans="1:39" ht="18" customHeight="1" x14ac:dyDescent="0.15">
      <c r="A168" s="240"/>
      <c r="B168" s="242"/>
      <c r="C168" s="240"/>
      <c r="D168" s="263"/>
      <c r="E168" s="242"/>
      <c r="F168" s="242"/>
      <c r="G168" s="242"/>
      <c r="L168" s="242"/>
      <c r="M168" s="240"/>
      <c r="N168" s="263"/>
      <c r="O168" s="263"/>
      <c r="P168" s="263"/>
      <c r="Q168" s="263"/>
      <c r="R168" s="263"/>
      <c r="S168" s="263"/>
      <c r="T168" s="263"/>
      <c r="U168" s="263"/>
      <c r="V168" s="263"/>
      <c r="W168" s="263"/>
      <c r="X168" s="263"/>
      <c r="Y168" s="263"/>
      <c r="Z168" s="263"/>
      <c r="AA168" s="263"/>
      <c r="AB168" s="263"/>
      <c r="AC168" s="263"/>
      <c r="AD168" s="263"/>
      <c r="AE168" s="263"/>
      <c r="AF168" s="263"/>
      <c r="AG168" s="263"/>
      <c r="AH168" s="263"/>
      <c r="AI168" s="263"/>
      <c r="AJ168" s="263"/>
      <c r="AK168" s="263"/>
      <c r="AL168" s="263"/>
      <c r="AM168" s="242"/>
    </row>
    <row r="169" spans="1:39" ht="18" customHeight="1" x14ac:dyDescent="0.15">
      <c r="A169" s="240"/>
      <c r="B169" s="242"/>
      <c r="C169" s="240"/>
      <c r="D169" s="263"/>
      <c r="E169" s="242"/>
      <c r="F169" s="242"/>
      <c r="G169" s="242"/>
      <c r="L169" s="242"/>
      <c r="M169" s="240"/>
      <c r="N169" s="263"/>
      <c r="O169" s="263"/>
      <c r="P169" s="263"/>
      <c r="Q169" s="263"/>
      <c r="R169" s="263"/>
      <c r="S169" s="263"/>
      <c r="T169" s="263"/>
      <c r="U169" s="263"/>
      <c r="V169" s="263"/>
      <c r="W169" s="263"/>
      <c r="X169" s="263"/>
      <c r="Y169" s="263"/>
      <c r="Z169" s="263"/>
      <c r="AA169" s="263"/>
      <c r="AB169" s="263"/>
      <c r="AC169" s="263"/>
      <c r="AD169" s="263"/>
      <c r="AE169" s="263"/>
      <c r="AF169" s="263"/>
      <c r="AG169" s="263"/>
      <c r="AH169" s="263"/>
      <c r="AI169" s="263"/>
      <c r="AJ169" s="263"/>
      <c r="AK169" s="263"/>
      <c r="AL169" s="263"/>
      <c r="AM169" s="242"/>
    </row>
    <row r="170" spans="1:39" ht="18" customHeight="1" x14ac:dyDescent="0.15">
      <c r="A170" s="240"/>
      <c r="B170" s="242"/>
      <c r="C170" s="240"/>
      <c r="D170" s="263"/>
      <c r="E170" s="242"/>
      <c r="F170" s="242"/>
      <c r="G170" s="242"/>
      <c r="L170" s="242"/>
      <c r="M170" s="240"/>
      <c r="N170" s="263"/>
      <c r="O170" s="263"/>
      <c r="P170" s="263"/>
      <c r="Q170" s="263"/>
      <c r="R170" s="263"/>
      <c r="S170" s="263"/>
      <c r="T170" s="263"/>
      <c r="U170" s="263"/>
      <c r="V170" s="263"/>
      <c r="W170" s="263"/>
      <c r="X170" s="263"/>
      <c r="Y170" s="263"/>
      <c r="Z170" s="263"/>
      <c r="AA170" s="263"/>
      <c r="AB170" s="263"/>
      <c r="AC170" s="263"/>
      <c r="AD170" s="263"/>
      <c r="AE170" s="263"/>
      <c r="AF170" s="263"/>
      <c r="AG170" s="263"/>
      <c r="AH170" s="263"/>
      <c r="AI170" s="263"/>
      <c r="AJ170" s="263"/>
      <c r="AK170" s="263"/>
      <c r="AL170" s="263"/>
      <c r="AM170" s="242"/>
    </row>
    <row r="171" spans="1:39" ht="18" customHeight="1" x14ac:dyDescent="0.15">
      <c r="A171" s="240"/>
      <c r="B171" s="242"/>
      <c r="C171" s="240"/>
      <c r="D171" s="263"/>
      <c r="E171" s="242"/>
      <c r="F171" s="242"/>
      <c r="G171" s="242"/>
      <c r="L171" s="242"/>
      <c r="M171" s="240"/>
      <c r="N171" s="263"/>
      <c r="O171" s="263"/>
      <c r="P171" s="263"/>
      <c r="Q171" s="263"/>
      <c r="R171" s="263"/>
      <c r="S171" s="263"/>
      <c r="T171" s="263"/>
      <c r="U171" s="263"/>
      <c r="V171" s="263"/>
      <c r="W171" s="263"/>
      <c r="X171" s="263"/>
      <c r="Y171" s="263"/>
      <c r="Z171" s="263"/>
      <c r="AA171" s="263"/>
      <c r="AB171" s="263"/>
      <c r="AC171" s="263"/>
      <c r="AD171" s="263"/>
      <c r="AE171" s="263"/>
      <c r="AF171" s="263"/>
      <c r="AG171" s="263"/>
      <c r="AH171" s="263"/>
      <c r="AI171" s="263"/>
      <c r="AJ171" s="263"/>
      <c r="AK171" s="263"/>
      <c r="AL171" s="263"/>
      <c r="AM171" s="242"/>
    </row>
    <row r="172" spans="1:39" ht="18" customHeight="1" x14ac:dyDescent="0.15">
      <c r="A172" s="240"/>
      <c r="B172" s="242"/>
      <c r="C172" s="240"/>
      <c r="D172" s="263"/>
      <c r="E172" s="242"/>
      <c r="F172" s="242"/>
      <c r="G172" s="242"/>
      <c r="L172" s="242"/>
      <c r="M172" s="240"/>
      <c r="N172" s="263"/>
      <c r="O172" s="263"/>
      <c r="P172" s="263"/>
      <c r="Q172" s="263"/>
      <c r="R172" s="263"/>
      <c r="S172" s="263"/>
      <c r="T172" s="263"/>
      <c r="U172" s="263"/>
      <c r="V172" s="263"/>
      <c r="W172" s="263"/>
      <c r="X172" s="263"/>
      <c r="Y172" s="263"/>
      <c r="Z172" s="263"/>
      <c r="AA172" s="263"/>
      <c r="AB172" s="263"/>
      <c r="AC172" s="263"/>
      <c r="AD172" s="263"/>
      <c r="AE172" s="263"/>
      <c r="AF172" s="263"/>
      <c r="AG172" s="263"/>
      <c r="AH172" s="263"/>
      <c r="AI172" s="263"/>
      <c r="AJ172" s="263"/>
      <c r="AK172" s="263"/>
      <c r="AL172" s="263"/>
      <c r="AM172" s="242"/>
    </row>
    <row r="173" spans="1:39" ht="18" customHeight="1" x14ac:dyDescent="0.15">
      <c r="A173" s="263"/>
      <c r="B173" s="242"/>
      <c r="C173" s="240"/>
      <c r="D173" s="263"/>
      <c r="E173" s="242"/>
      <c r="F173" s="242"/>
      <c r="G173" s="242"/>
      <c r="L173" s="242"/>
      <c r="M173" s="240"/>
      <c r="N173" s="263"/>
      <c r="O173" s="263"/>
      <c r="P173" s="263"/>
      <c r="Q173" s="263"/>
      <c r="R173" s="263"/>
      <c r="S173" s="263"/>
      <c r="T173" s="263"/>
      <c r="U173" s="263"/>
      <c r="V173" s="263"/>
      <c r="W173" s="263"/>
      <c r="X173" s="263"/>
      <c r="Y173" s="263"/>
      <c r="Z173" s="263"/>
      <c r="AA173" s="263"/>
      <c r="AB173" s="263"/>
      <c r="AC173" s="263"/>
      <c r="AD173" s="263"/>
      <c r="AE173" s="263"/>
      <c r="AF173" s="263"/>
      <c r="AG173" s="263"/>
      <c r="AH173" s="263"/>
      <c r="AI173" s="263"/>
      <c r="AJ173" s="263"/>
      <c r="AK173" s="263"/>
      <c r="AL173" s="263"/>
      <c r="AM173" s="242"/>
    </row>
    <row r="174" spans="1:39" ht="18" customHeight="1" x14ac:dyDescent="0.15">
      <c r="A174" s="240"/>
      <c r="B174" s="242"/>
      <c r="C174" s="240"/>
      <c r="D174" s="263"/>
      <c r="E174" s="242"/>
      <c r="F174" s="242"/>
      <c r="G174" s="242"/>
      <c r="L174" s="242"/>
      <c r="M174" s="240"/>
      <c r="N174" s="263"/>
      <c r="O174" s="263"/>
      <c r="P174" s="263"/>
      <c r="Q174" s="263"/>
      <c r="R174" s="263"/>
      <c r="S174" s="263"/>
      <c r="T174" s="263"/>
      <c r="U174" s="263"/>
      <c r="V174" s="263"/>
      <c r="W174" s="263"/>
      <c r="X174" s="263"/>
      <c r="Y174" s="263"/>
      <c r="Z174" s="263"/>
      <c r="AA174" s="263"/>
      <c r="AB174" s="263"/>
      <c r="AC174" s="263"/>
      <c r="AD174" s="263"/>
      <c r="AE174" s="263"/>
      <c r="AF174" s="263"/>
      <c r="AG174" s="263"/>
      <c r="AH174" s="263"/>
      <c r="AI174" s="263"/>
      <c r="AJ174" s="263"/>
      <c r="AK174" s="263"/>
      <c r="AL174" s="263"/>
      <c r="AM174" s="242"/>
    </row>
    <row r="175" spans="1:39" ht="18" customHeight="1" x14ac:dyDescent="0.15">
      <c r="A175" s="240"/>
      <c r="B175" s="242"/>
      <c r="C175" s="240"/>
      <c r="D175" s="263"/>
      <c r="E175" s="242"/>
      <c r="F175" s="242"/>
      <c r="G175" s="242"/>
      <c r="L175" s="242"/>
      <c r="M175" s="240"/>
      <c r="N175" s="263"/>
      <c r="O175" s="263"/>
      <c r="P175" s="263"/>
      <c r="Q175" s="263"/>
      <c r="R175" s="263"/>
      <c r="S175" s="263"/>
      <c r="T175" s="263"/>
      <c r="U175" s="263"/>
      <c r="V175" s="263"/>
      <c r="W175" s="263"/>
      <c r="X175" s="263"/>
      <c r="Y175" s="263"/>
      <c r="Z175" s="263"/>
      <c r="AA175" s="263"/>
      <c r="AB175" s="263"/>
      <c r="AC175" s="263"/>
      <c r="AD175" s="263"/>
      <c r="AE175" s="263"/>
      <c r="AF175" s="263"/>
      <c r="AG175" s="263"/>
      <c r="AH175" s="263"/>
      <c r="AI175" s="263"/>
      <c r="AJ175" s="263"/>
      <c r="AK175" s="263"/>
      <c r="AL175" s="263"/>
      <c r="AM175" s="242"/>
    </row>
    <row r="176" spans="1:39" ht="18" customHeight="1" x14ac:dyDescent="0.15">
      <c r="A176" s="240"/>
      <c r="B176" s="242"/>
      <c r="C176" s="240"/>
      <c r="D176" s="263"/>
      <c r="E176" s="242"/>
      <c r="F176" s="242"/>
      <c r="G176" s="242"/>
      <c r="L176" s="242"/>
      <c r="M176" s="240"/>
      <c r="N176" s="263"/>
      <c r="O176" s="263"/>
      <c r="P176" s="263"/>
      <c r="Q176" s="263"/>
      <c r="R176" s="263"/>
      <c r="S176" s="263"/>
      <c r="T176" s="263"/>
      <c r="U176" s="263"/>
      <c r="V176" s="263"/>
      <c r="W176" s="263"/>
      <c r="X176" s="263"/>
      <c r="Y176" s="263"/>
      <c r="Z176" s="263"/>
      <c r="AA176" s="263"/>
      <c r="AB176" s="263"/>
      <c r="AC176" s="263"/>
      <c r="AD176" s="263"/>
      <c r="AE176" s="263"/>
      <c r="AF176" s="263"/>
      <c r="AG176" s="263"/>
      <c r="AH176" s="263"/>
      <c r="AI176" s="263"/>
      <c r="AJ176" s="263"/>
      <c r="AK176" s="263"/>
      <c r="AL176" s="263"/>
      <c r="AM176" s="242"/>
    </row>
    <row r="177" spans="1:39" ht="18" customHeight="1" x14ac:dyDescent="0.15">
      <c r="A177" s="240"/>
      <c r="B177" s="242"/>
      <c r="C177" s="240"/>
      <c r="D177" s="263"/>
      <c r="E177" s="242"/>
      <c r="F177" s="242"/>
      <c r="G177" s="242"/>
      <c r="L177" s="242"/>
      <c r="M177" s="240"/>
      <c r="N177" s="263"/>
      <c r="O177" s="263"/>
      <c r="P177" s="263"/>
      <c r="Q177" s="263"/>
      <c r="R177" s="263"/>
      <c r="S177" s="263"/>
      <c r="T177" s="263"/>
      <c r="U177" s="263"/>
      <c r="V177" s="263"/>
      <c r="W177" s="263"/>
      <c r="X177" s="263"/>
      <c r="Y177" s="263"/>
      <c r="Z177" s="263"/>
      <c r="AA177" s="263"/>
      <c r="AB177" s="263"/>
      <c r="AC177" s="263"/>
      <c r="AD177" s="263"/>
      <c r="AE177" s="263"/>
      <c r="AF177" s="263"/>
      <c r="AG177" s="263"/>
      <c r="AH177" s="263"/>
      <c r="AI177" s="263"/>
      <c r="AJ177" s="263"/>
      <c r="AK177" s="263"/>
      <c r="AL177" s="263"/>
      <c r="AM177" s="242"/>
    </row>
    <row r="178" spans="1:39" ht="18" customHeight="1" x14ac:dyDescent="0.15">
      <c r="A178" s="240"/>
      <c r="B178" s="242"/>
      <c r="C178" s="240"/>
      <c r="D178" s="263"/>
      <c r="E178" s="242"/>
      <c r="F178" s="242"/>
      <c r="G178" s="242"/>
      <c r="L178" s="242"/>
      <c r="M178" s="240"/>
      <c r="N178" s="263"/>
      <c r="O178" s="263"/>
      <c r="P178" s="263"/>
      <c r="Q178" s="263"/>
      <c r="R178" s="263"/>
      <c r="S178" s="263"/>
      <c r="T178" s="263"/>
      <c r="U178" s="263"/>
      <c r="V178" s="263"/>
      <c r="W178" s="263"/>
      <c r="X178" s="263"/>
      <c r="Y178" s="263"/>
      <c r="Z178" s="263"/>
      <c r="AA178" s="263"/>
      <c r="AB178" s="263"/>
      <c r="AC178" s="263"/>
      <c r="AD178" s="263"/>
      <c r="AE178" s="263"/>
      <c r="AF178" s="263"/>
      <c r="AG178" s="263"/>
      <c r="AH178" s="263"/>
      <c r="AI178" s="263"/>
      <c r="AJ178" s="263"/>
      <c r="AK178" s="263"/>
      <c r="AL178" s="263"/>
      <c r="AM178" s="242"/>
    </row>
    <row r="179" spans="1:39" ht="18" customHeight="1" x14ac:dyDescent="0.15">
      <c r="A179" s="240"/>
      <c r="B179" s="242"/>
      <c r="C179" s="240"/>
      <c r="D179" s="263"/>
      <c r="E179" s="242"/>
      <c r="F179" s="242"/>
      <c r="G179" s="242"/>
      <c r="L179" s="242"/>
      <c r="M179" s="240"/>
      <c r="N179" s="263"/>
      <c r="O179" s="263"/>
      <c r="P179" s="263"/>
      <c r="Q179" s="263"/>
      <c r="R179" s="263"/>
      <c r="S179" s="263"/>
      <c r="T179" s="263"/>
      <c r="U179" s="263"/>
      <c r="V179" s="263"/>
      <c r="W179" s="263"/>
      <c r="X179" s="263"/>
      <c r="Y179" s="263"/>
      <c r="Z179" s="263"/>
      <c r="AA179" s="263"/>
      <c r="AB179" s="263"/>
      <c r="AC179" s="263"/>
      <c r="AD179" s="263"/>
      <c r="AE179" s="263"/>
      <c r="AF179" s="263"/>
      <c r="AG179" s="263"/>
      <c r="AH179" s="263"/>
      <c r="AI179" s="263"/>
      <c r="AJ179" s="263"/>
      <c r="AK179" s="263"/>
      <c r="AL179" s="263"/>
      <c r="AM179" s="242"/>
    </row>
    <row r="180" spans="1:39" ht="18" customHeight="1" x14ac:dyDescent="0.15">
      <c r="A180" s="240"/>
      <c r="B180" s="242"/>
      <c r="C180" s="240"/>
      <c r="D180" s="263"/>
      <c r="E180" s="242"/>
      <c r="F180" s="242"/>
      <c r="G180" s="242"/>
      <c r="L180" s="242"/>
      <c r="M180" s="240"/>
      <c r="N180" s="263"/>
      <c r="O180" s="263"/>
      <c r="P180" s="263"/>
      <c r="Q180" s="263"/>
      <c r="R180" s="263"/>
      <c r="S180" s="263"/>
      <c r="T180" s="263"/>
      <c r="U180" s="263"/>
      <c r="V180" s="263"/>
      <c r="W180" s="263"/>
      <c r="X180" s="263"/>
      <c r="Y180" s="263"/>
      <c r="Z180" s="263"/>
      <c r="AA180" s="263"/>
      <c r="AB180" s="263"/>
      <c r="AC180" s="263"/>
      <c r="AD180" s="263"/>
      <c r="AE180" s="263"/>
      <c r="AF180" s="263"/>
      <c r="AG180" s="263"/>
      <c r="AH180" s="263"/>
      <c r="AI180" s="263"/>
      <c r="AJ180" s="263"/>
      <c r="AK180" s="263"/>
      <c r="AL180" s="263"/>
      <c r="AM180" s="242"/>
    </row>
    <row r="181" spans="1:39" ht="18" customHeight="1" x14ac:dyDescent="0.15">
      <c r="A181" s="240"/>
      <c r="B181" s="242"/>
      <c r="C181" s="240"/>
      <c r="D181" s="263"/>
      <c r="E181" s="242"/>
      <c r="F181" s="242"/>
      <c r="G181" s="242"/>
      <c r="L181" s="242"/>
      <c r="M181" s="240"/>
      <c r="N181" s="263"/>
      <c r="O181" s="263"/>
      <c r="P181" s="263"/>
      <c r="Q181" s="263"/>
      <c r="R181" s="263"/>
      <c r="S181" s="263"/>
      <c r="T181" s="263"/>
      <c r="U181" s="263"/>
      <c r="V181" s="263"/>
      <c r="W181" s="263"/>
      <c r="X181" s="263"/>
      <c r="Y181" s="263"/>
      <c r="Z181" s="263"/>
      <c r="AA181" s="263"/>
      <c r="AB181" s="263"/>
      <c r="AC181" s="263"/>
      <c r="AD181" s="263"/>
      <c r="AE181" s="263"/>
      <c r="AF181" s="263"/>
      <c r="AG181" s="263"/>
      <c r="AH181" s="263"/>
      <c r="AI181" s="263"/>
      <c r="AJ181" s="263"/>
      <c r="AK181" s="263"/>
      <c r="AL181" s="263"/>
      <c r="AM181" s="242"/>
    </row>
    <row r="182" spans="1:39" ht="18" customHeight="1" x14ac:dyDescent="0.15">
      <c r="A182" s="240"/>
      <c r="B182" s="242"/>
      <c r="C182" s="240"/>
      <c r="D182" s="263"/>
      <c r="E182" s="242"/>
      <c r="F182" s="242"/>
      <c r="G182" s="242"/>
      <c r="L182" s="242"/>
      <c r="M182" s="240"/>
      <c r="N182" s="263"/>
      <c r="O182" s="263"/>
      <c r="P182" s="263"/>
      <c r="Q182" s="263"/>
      <c r="R182" s="263"/>
      <c r="S182" s="263"/>
      <c r="T182" s="263"/>
      <c r="U182" s="263"/>
      <c r="V182" s="263"/>
      <c r="W182" s="263"/>
      <c r="X182" s="263"/>
      <c r="Y182" s="263"/>
      <c r="Z182" s="263"/>
      <c r="AA182" s="263"/>
      <c r="AB182" s="263"/>
      <c r="AC182" s="263"/>
      <c r="AD182" s="263"/>
      <c r="AE182" s="263"/>
      <c r="AF182" s="263"/>
      <c r="AG182" s="263"/>
      <c r="AH182" s="263"/>
      <c r="AI182" s="263"/>
      <c r="AJ182" s="263"/>
      <c r="AK182" s="263"/>
      <c r="AL182" s="263"/>
      <c r="AM182" s="242"/>
    </row>
    <row r="183" spans="1:39" ht="18" customHeight="1" x14ac:dyDescent="0.15">
      <c r="A183" s="240"/>
      <c r="B183" s="242"/>
      <c r="C183" s="240"/>
      <c r="D183" s="263"/>
      <c r="E183" s="242"/>
      <c r="F183" s="242"/>
      <c r="G183" s="242"/>
      <c r="L183" s="242"/>
      <c r="M183" s="240"/>
      <c r="N183" s="263"/>
      <c r="O183" s="263"/>
      <c r="P183" s="263"/>
      <c r="Q183" s="263"/>
      <c r="R183" s="263"/>
      <c r="S183" s="263"/>
      <c r="T183" s="263"/>
      <c r="U183" s="263"/>
      <c r="V183" s="263"/>
      <c r="W183" s="263"/>
      <c r="X183" s="263"/>
      <c r="Y183" s="263"/>
      <c r="Z183" s="263"/>
      <c r="AA183" s="263"/>
      <c r="AB183" s="263"/>
      <c r="AC183" s="263"/>
      <c r="AD183" s="263"/>
      <c r="AE183" s="263"/>
      <c r="AF183" s="263"/>
      <c r="AG183" s="263"/>
      <c r="AH183" s="263"/>
      <c r="AI183" s="263"/>
      <c r="AJ183" s="263"/>
      <c r="AK183" s="263"/>
      <c r="AL183" s="263"/>
      <c r="AM183" s="242"/>
    </row>
    <row r="184" spans="1:39" ht="18" customHeight="1" x14ac:dyDescent="0.15">
      <c r="A184" s="240"/>
      <c r="B184" s="242"/>
      <c r="C184" s="240"/>
      <c r="D184" s="263"/>
      <c r="E184" s="242"/>
      <c r="F184" s="242"/>
      <c r="G184" s="242"/>
      <c r="L184" s="242"/>
      <c r="M184" s="240"/>
      <c r="N184" s="263"/>
      <c r="O184" s="263"/>
      <c r="P184" s="263"/>
      <c r="Q184" s="263"/>
      <c r="R184" s="263"/>
      <c r="S184" s="263"/>
      <c r="T184" s="263"/>
      <c r="U184" s="263"/>
      <c r="V184" s="263"/>
      <c r="W184" s="263"/>
      <c r="X184" s="263"/>
      <c r="Y184" s="263"/>
      <c r="Z184" s="263"/>
      <c r="AA184" s="263"/>
      <c r="AB184" s="263"/>
      <c r="AC184" s="263"/>
      <c r="AD184" s="263"/>
      <c r="AE184" s="263"/>
      <c r="AF184" s="263"/>
      <c r="AG184" s="263"/>
      <c r="AH184" s="263"/>
      <c r="AI184" s="263"/>
      <c r="AJ184" s="263"/>
      <c r="AK184" s="263"/>
      <c r="AL184" s="263"/>
      <c r="AM184" s="242"/>
    </row>
    <row r="185" spans="1:39" ht="18" customHeight="1" x14ac:dyDescent="0.15">
      <c r="A185" s="240"/>
      <c r="B185" s="242"/>
      <c r="C185" s="240"/>
      <c r="D185" s="263"/>
      <c r="E185" s="242"/>
      <c r="F185" s="242"/>
      <c r="G185" s="242"/>
      <c r="L185" s="242"/>
      <c r="M185" s="240"/>
      <c r="N185" s="263"/>
      <c r="O185" s="263"/>
      <c r="P185" s="263"/>
      <c r="Q185" s="263"/>
      <c r="R185" s="263"/>
      <c r="S185" s="263"/>
      <c r="T185" s="263"/>
      <c r="U185" s="263"/>
      <c r="V185" s="263"/>
      <c r="W185" s="263"/>
      <c r="X185" s="263"/>
      <c r="Y185" s="263"/>
      <c r="Z185" s="263"/>
      <c r="AA185" s="263"/>
      <c r="AB185" s="263"/>
      <c r="AC185" s="263"/>
      <c r="AD185" s="263"/>
      <c r="AE185" s="263"/>
      <c r="AF185" s="263"/>
      <c r="AG185" s="263"/>
      <c r="AH185" s="263"/>
      <c r="AI185" s="263"/>
      <c r="AJ185" s="263"/>
      <c r="AK185" s="263"/>
      <c r="AL185" s="263"/>
      <c r="AM185" s="242"/>
    </row>
    <row r="186" spans="1:39" ht="18" customHeight="1" x14ac:dyDescent="0.15">
      <c r="A186" s="240"/>
      <c r="B186" s="242"/>
      <c r="C186" s="240"/>
      <c r="D186" s="263"/>
      <c r="E186" s="242"/>
      <c r="F186" s="242"/>
      <c r="G186" s="242"/>
      <c r="L186" s="242"/>
      <c r="M186" s="240"/>
      <c r="N186" s="263"/>
      <c r="O186" s="263"/>
      <c r="P186" s="263"/>
      <c r="Q186" s="263"/>
      <c r="R186" s="263"/>
      <c r="S186" s="263"/>
      <c r="T186" s="263"/>
      <c r="U186" s="263"/>
      <c r="V186" s="263"/>
      <c r="W186" s="263"/>
      <c r="X186" s="263"/>
      <c r="Y186" s="263"/>
      <c r="Z186" s="263"/>
      <c r="AA186" s="263"/>
      <c r="AB186" s="263"/>
      <c r="AC186" s="263"/>
      <c r="AD186" s="263"/>
      <c r="AE186" s="263"/>
      <c r="AF186" s="263"/>
      <c r="AG186" s="263"/>
      <c r="AH186" s="263"/>
      <c r="AI186" s="263"/>
      <c r="AJ186" s="263"/>
      <c r="AK186" s="263"/>
      <c r="AL186" s="263"/>
      <c r="AM186" s="242"/>
    </row>
    <row r="187" spans="1:39" ht="18" customHeight="1" x14ac:dyDescent="0.15">
      <c r="A187" s="240"/>
      <c r="B187" s="242"/>
      <c r="C187" s="240"/>
      <c r="D187" s="263"/>
      <c r="E187" s="242"/>
      <c r="F187" s="242"/>
      <c r="G187" s="242"/>
      <c r="L187" s="242"/>
      <c r="M187" s="240"/>
      <c r="N187" s="263"/>
      <c r="O187" s="263"/>
      <c r="P187" s="263"/>
      <c r="Q187" s="263"/>
      <c r="R187" s="263"/>
      <c r="S187" s="263"/>
      <c r="T187" s="263"/>
      <c r="U187" s="263"/>
      <c r="V187" s="263"/>
      <c r="W187" s="263"/>
      <c r="X187" s="263"/>
      <c r="Y187" s="263"/>
      <c r="Z187" s="263"/>
      <c r="AA187" s="263"/>
      <c r="AB187" s="263"/>
      <c r="AC187" s="263"/>
      <c r="AD187" s="263"/>
      <c r="AE187" s="263"/>
      <c r="AF187" s="263"/>
      <c r="AG187" s="263"/>
      <c r="AH187" s="263"/>
      <c r="AI187" s="263"/>
      <c r="AJ187" s="263"/>
      <c r="AK187" s="263"/>
      <c r="AL187" s="263"/>
      <c r="AM187" s="242"/>
    </row>
    <row r="188" spans="1:39" ht="18" customHeight="1" x14ac:dyDescent="0.15">
      <c r="A188" s="240"/>
      <c r="B188" s="242"/>
      <c r="C188" s="240"/>
      <c r="D188" s="263"/>
      <c r="E188" s="242"/>
      <c r="F188" s="242"/>
      <c r="G188" s="242"/>
      <c r="L188" s="242"/>
      <c r="M188" s="240"/>
      <c r="N188" s="263"/>
      <c r="O188" s="263"/>
      <c r="P188" s="263"/>
      <c r="Q188" s="263"/>
      <c r="R188" s="263"/>
      <c r="S188" s="263"/>
      <c r="T188" s="263"/>
      <c r="U188" s="263"/>
      <c r="V188" s="263"/>
      <c r="W188" s="263"/>
      <c r="X188" s="263"/>
      <c r="Y188" s="263"/>
      <c r="Z188" s="263"/>
      <c r="AA188" s="263"/>
      <c r="AB188" s="263"/>
      <c r="AC188" s="263"/>
      <c r="AD188" s="263"/>
      <c r="AE188" s="263"/>
      <c r="AF188" s="263"/>
      <c r="AG188" s="263"/>
      <c r="AH188" s="263"/>
      <c r="AI188" s="263"/>
      <c r="AJ188" s="263"/>
      <c r="AK188" s="263"/>
      <c r="AL188" s="263"/>
      <c r="AM188" s="242"/>
    </row>
    <row r="189" spans="1:39" ht="18" customHeight="1" x14ac:dyDescent="0.15">
      <c r="A189" s="240"/>
      <c r="B189" s="242"/>
      <c r="C189" s="240"/>
      <c r="D189" s="263"/>
      <c r="E189" s="242"/>
      <c r="F189" s="242"/>
      <c r="G189" s="242"/>
      <c r="L189" s="242"/>
      <c r="M189" s="240"/>
      <c r="N189" s="263"/>
      <c r="O189" s="263"/>
      <c r="P189" s="263"/>
      <c r="Q189" s="263"/>
      <c r="R189" s="263"/>
      <c r="S189" s="263"/>
      <c r="T189" s="263"/>
      <c r="U189" s="263"/>
      <c r="V189" s="263"/>
      <c r="W189" s="263"/>
      <c r="X189" s="263"/>
      <c r="Y189" s="263"/>
      <c r="Z189" s="263"/>
      <c r="AA189" s="263"/>
      <c r="AB189" s="263"/>
      <c r="AC189" s="263"/>
      <c r="AD189" s="263"/>
      <c r="AE189" s="263"/>
      <c r="AF189" s="263"/>
      <c r="AG189" s="263"/>
      <c r="AH189" s="263"/>
      <c r="AI189" s="263"/>
      <c r="AJ189" s="263"/>
      <c r="AK189" s="263"/>
      <c r="AL189" s="263"/>
      <c r="AM189" s="242"/>
    </row>
    <row r="190" spans="1:39" ht="18" customHeight="1" x14ac:dyDescent="0.15">
      <c r="A190" s="240"/>
      <c r="B190" s="242"/>
      <c r="C190" s="240"/>
      <c r="D190" s="263"/>
      <c r="E190" s="242"/>
      <c r="F190" s="242"/>
      <c r="G190" s="242"/>
      <c r="L190" s="242"/>
      <c r="M190" s="240"/>
      <c r="N190" s="263"/>
      <c r="O190" s="263"/>
      <c r="P190" s="263"/>
      <c r="Q190" s="263"/>
      <c r="R190" s="263"/>
      <c r="S190" s="263"/>
      <c r="T190" s="263"/>
      <c r="U190" s="263"/>
      <c r="V190" s="263"/>
      <c r="W190" s="263"/>
      <c r="X190" s="263"/>
      <c r="Y190" s="263"/>
      <c r="Z190" s="263"/>
      <c r="AA190" s="263"/>
      <c r="AB190" s="263"/>
      <c r="AC190" s="263"/>
      <c r="AD190" s="263"/>
      <c r="AE190" s="263"/>
      <c r="AF190" s="263"/>
      <c r="AG190" s="263"/>
      <c r="AH190" s="263"/>
      <c r="AI190" s="263"/>
      <c r="AJ190" s="263"/>
      <c r="AK190" s="263"/>
      <c r="AL190" s="263"/>
      <c r="AM190" s="242"/>
    </row>
    <row r="191" spans="1:39" ht="18" customHeight="1" x14ac:dyDescent="0.15">
      <c r="A191" s="240"/>
      <c r="B191" s="242"/>
      <c r="C191" s="240"/>
      <c r="D191" s="263"/>
      <c r="E191" s="242"/>
      <c r="F191" s="242"/>
      <c r="G191" s="242"/>
      <c r="L191" s="242"/>
      <c r="M191" s="240"/>
      <c r="N191" s="263"/>
      <c r="O191" s="263"/>
      <c r="P191" s="263"/>
      <c r="Q191" s="263"/>
      <c r="R191" s="263"/>
      <c r="S191" s="263"/>
      <c r="T191" s="263"/>
      <c r="U191" s="263"/>
      <c r="V191" s="263"/>
      <c r="W191" s="263"/>
      <c r="X191" s="263"/>
      <c r="Y191" s="263"/>
      <c r="Z191" s="263"/>
      <c r="AA191" s="263"/>
      <c r="AB191" s="263"/>
      <c r="AC191" s="263"/>
      <c r="AD191" s="263"/>
      <c r="AE191" s="263"/>
      <c r="AF191" s="263"/>
      <c r="AG191" s="263"/>
      <c r="AH191" s="263"/>
      <c r="AI191" s="263"/>
      <c r="AJ191" s="263"/>
      <c r="AK191" s="263"/>
      <c r="AL191" s="263"/>
      <c r="AM191" s="242"/>
    </row>
    <row r="192" spans="1:39" ht="18" customHeight="1" x14ac:dyDescent="0.15">
      <c r="A192" s="240"/>
      <c r="B192" s="242"/>
      <c r="C192" s="240"/>
      <c r="D192" s="263"/>
      <c r="E192" s="242"/>
      <c r="F192" s="242"/>
      <c r="G192" s="242"/>
      <c r="L192" s="242"/>
      <c r="M192" s="240"/>
      <c r="N192" s="263"/>
      <c r="O192" s="263"/>
      <c r="P192" s="263"/>
      <c r="Q192" s="263"/>
      <c r="R192" s="263"/>
      <c r="S192" s="263"/>
      <c r="T192" s="263"/>
      <c r="U192" s="263"/>
      <c r="V192" s="263"/>
      <c r="W192" s="263"/>
      <c r="X192" s="263"/>
      <c r="Y192" s="263"/>
      <c r="Z192" s="263"/>
      <c r="AA192" s="263"/>
      <c r="AB192" s="263"/>
      <c r="AC192" s="263"/>
      <c r="AD192" s="263"/>
      <c r="AE192" s="263"/>
      <c r="AF192" s="263"/>
      <c r="AG192" s="263"/>
      <c r="AH192" s="263"/>
      <c r="AI192" s="263"/>
      <c r="AJ192" s="263"/>
      <c r="AK192" s="263"/>
      <c r="AL192" s="263"/>
      <c r="AM192" s="242"/>
    </row>
    <row r="193" spans="1:39" ht="18" customHeight="1" x14ac:dyDescent="0.15">
      <c r="A193" s="240"/>
      <c r="B193" s="242"/>
      <c r="C193" s="240"/>
      <c r="D193" s="263"/>
      <c r="E193" s="242"/>
      <c r="F193" s="242"/>
      <c r="G193" s="242"/>
      <c r="L193" s="242"/>
      <c r="M193" s="240"/>
      <c r="N193" s="263"/>
      <c r="O193" s="263"/>
      <c r="P193" s="263"/>
      <c r="Q193" s="263"/>
      <c r="R193" s="263"/>
      <c r="S193" s="263"/>
      <c r="T193" s="263"/>
      <c r="U193" s="263"/>
      <c r="V193" s="263"/>
      <c r="W193" s="263"/>
      <c r="X193" s="263"/>
      <c r="Y193" s="263"/>
      <c r="Z193" s="263"/>
      <c r="AA193" s="263"/>
      <c r="AB193" s="263"/>
      <c r="AC193" s="263"/>
      <c r="AD193" s="263"/>
      <c r="AE193" s="263"/>
      <c r="AF193" s="263"/>
      <c r="AG193" s="263"/>
      <c r="AH193" s="263"/>
      <c r="AI193" s="263"/>
      <c r="AJ193" s="263"/>
      <c r="AK193" s="263"/>
      <c r="AL193" s="263"/>
      <c r="AM193" s="242"/>
    </row>
    <row r="194" spans="1:39" ht="18" customHeight="1" x14ac:dyDescent="0.15">
      <c r="A194" s="240"/>
      <c r="B194" s="242"/>
      <c r="C194" s="240"/>
      <c r="D194" s="263"/>
      <c r="E194" s="242"/>
      <c r="F194" s="242"/>
      <c r="G194" s="242"/>
      <c r="L194" s="242"/>
      <c r="M194" s="240"/>
      <c r="N194" s="263"/>
      <c r="O194" s="263"/>
      <c r="P194" s="263"/>
      <c r="Q194" s="263"/>
      <c r="R194" s="263"/>
      <c r="S194" s="263"/>
      <c r="T194" s="263"/>
      <c r="U194" s="263"/>
      <c r="V194" s="263"/>
      <c r="W194" s="263"/>
      <c r="X194" s="263"/>
      <c r="Y194" s="263"/>
      <c r="Z194" s="263"/>
      <c r="AA194" s="263"/>
      <c r="AB194" s="263"/>
      <c r="AC194" s="263"/>
      <c r="AD194" s="263"/>
      <c r="AE194" s="263"/>
      <c r="AF194" s="263"/>
      <c r="AG194" s="263"/>
      <c r="AH194" s="263"/>
      <c r="AI194" s="263"/>
      <c r="AJ194" s="263"/>
      <c r="AK194" s="263"/>
      <c r="AL194" s="263"/>
      <c r="AM194" s="242"/>
    </row>
    <row r="195" spans="1:39" ht="18" customHeight="1" x14ac:dyDescent="0.15">
      <c r="A195" s="240"/>
      <c r="B195" s="242"/>
      <c r="C195" s="240"/>
      <c r="D195" s="263"/>
      <c r="E195" s="242"/>
      <c r="F195" s="242"/>
      <c r="G195" s="242"/>
      <c r="L195" s="242"/>
      <c r="M195" s="240"/>
      <c r="N195" s="263"/>
      <c r="O195" s="263"/>
      <c r="P195" s="263"/>
      <c r="Q195" s="263"/>
      <c r="R195" s="263"/>
      <c r="S195" s="263"/>
      <c r="T195" s="263"/>
      <c r="U195" s="263"/>
      <c r="V195" s="263"/>
      <c r="W195" s="263"/>
      <c r="X195" s="263"/>
      <c r="Y195" s="263"/>
      <c r="Z195" s="263"/>
      <c r="AA195" s="263"/>
      <c r="AB195" s="263"/>
      <c r="AC195" s="263"/>
      <c r="AD195" s="263"/>
      <c r="AE195" s="263"/>
      <c r="AF195" s="263"/>
      <c r="AG195" s="263"/>
      <c r="AH195" s="263"/>
      <c r="AI195" s="263"/>
      <c r="AJ195" s="263"/>
      <c r="AK195" s="263"/>
      <c r="AL195" s="263"/>
      <c r="AM195" s="242"/>
    </row>
    <row r="196" spans="1:39" ht="18" customHeight="1" x14ac:dyDescent="0.15">
      <c r="A196" s="240"/>
      <c r="B196" s="242"/>
      <c r="C196" s="240"/>
      <c r="D196" s="263"/>
      <c r="E196" s="242"/>
      <c r="F196" s="242"/>
      <c r="G196" s="242"/>
      <c r="L196" s="242"/>
      <c r="M196" s="240"/>
      <c r="N196" s="263"/>
      <c r="O196" s="263"/>
      <c r="P196" s="263"/>
      <c r="Q196" s="263"/>
      <c r="R196" s="263"/>
      <c r="S196" s="263"/>
      <c r="T196" s="263"/>
      <c r="U196" s="263"/>
      <c r="V196" s="263"/>
      <c r="W196" s="263"/>
      <c r="X196" s="263"/>
      <c r="Y196" s="263"/>
      <c r="Z196" s="263"/>
      <c r="AA196" s="263"/>
      <c r="AB196" s="263"/>
      <c r="AC196" s="263"/>
      <c r="AD196" s="263"/>
      <c r="AE196" s="263"/>
      <c r="AF196" s="263"/>
      <c r="AG196" s="263"/>
      <c r="AH196" s="263"/>
      <c r="AI196" s="263"/>
      <c r="AJ196" s="263"/>
      <c r="AK196" s="263"/>
      <c r="AL196" s="263"/>
      <c r="AM196" s="242"/>
    </row>
    <row r="197" spans="1:39" ht="18" customHeight="1" x14ac:dyDescent="0.15">
      <c r="A197" s="240"/>
      <c r="B197" s="242"/>
      <c r="C197" s="240"/>
      <c r="D197" s="263"/>
      <c r="E197" s="242"/>
      <c r="F197" s="242"/>
      <c r="G197" s="242"/>
      <c r="L197" s="242"/>
      <c r="M197" s="240"/>
      <c r="N197" s="263"/>
      <c r="O197" s="263"/>
      <c r="P197" s="263"/>
      <c r="Q197" s="263"/>
      <c r="R197" s="263"/>
      <c r="S197" s="263"/>
      <c r="T197" s="263"/>
      <c r="U197" s="263"/>
      <c r="V197" s="263"/>
      <c r="W197" s="263"/>
      <c r="X197" s="263"/>
      <c r="Y197" s="263"/>
      <c r="Z197" s="263"/>
      <c r="AA197" s="263"/>
      <c r="AB197" s="263"/>
      <c r="AC197" s="263"/>
      <c r="AD197" s="263"/>
      <c r="AE197" s="263"/>
      <c r="AF197" s="263"/>
      <c r="AG197" s="263"/>
      <c r="AH197" s="263"/>
      <c r="AI197" s="263"/>
      <c r="AJ197" s="263"/>
      <c r="AK197" s="263"/>
      <c r="AL197" s="263"/>
      <c r="AM197" s="242"/>
    </row>
    <row r="198" spans="1:39" ht="18" customHeight="1" x14ac:dyDescent="0.15">
      <c r="A198" s="240"/>
      <c r="B198" s="242"/>
      <c r="C198" s="240"/>
      <c r="D198" s="263"/>
      <c r="E198" s="242"/>
      <c r="F198" s="242"/>
      <c r="G198" s="242"/>
      <c r="L198" s="242"/>
      <c r="M198" s="240"/>
      <c r="N198" s="263"/>
      <c r="O198" s="263"/>
      <c r="P198" s="263"/>
      <c r="Q198" s="263"/>
      <c r="R198" s="263"/>
      <c r="S198" s="263"/>
      <c r="T198" s="263"/>
      <c r="U198" s="263"/>
      <c r="V198" s="263"/>
      <c r="W198" s="263"/>
      <c r="X198" s="263"/>
      <c r="Y198" s="263"/>
      <c r="Z198" s="263"/>
      <c r="AA198" s="263"/>
      <c r="AB198" s="263"/>
      <c r="AC198" s="263"/>
      <c r="AD198" s="263"/>
      <c r="AE198" s="263"/>
      <c r="AF198" s="263"/>
      <c r="AG198" s="263"/>
      <c r="AH198" s="263"/>
      <c r="AI198" s="263"/>
      <c r="AJ198" s="263"/>
      <c r="AK198" s="263"/>
      <c r="AL198" s="263"/>
      <c r="AM198" s="242"/>
    </row>
    <row r="199" spans="1:39" ht="18" customHeight="1" x14ac:dyDescent="0.15">
      <c r="A199" s="240"/>
      <c r="B199" s="242"/>
      <c r="C199" s="240"/>
      <c r="D199" s="263"/>
      <c r="E199" s="242"/>
      <c r="F199" s="242"/>
      <c r="G199" s="242"/>
      <c r="L199" s="242"/>
      <c r="M199" s="240"/>
      <c r="N199" s="263"/>
      <c r="O199" s="263"/>
      <c r="P199" s="263"/>
      <c r="Q199" s="263"/>
      <c r="R199" s="263"/>
      <c r="S199" s="263"/>
      <c r="T199" s="263"/>
      <c r="U199" s="263"/>
      <c r="V199" s="263"/>
      <c r="W199" s="263"/>
      <c r="X199" s="263"/>
      <c r="Y199" s="263"/>
      <c r="Z199" s="263"/>
      <c r="AA199" s="263"/>
      <c r="AB199" s="263"/>
      <c r="AC199" s="263"/>
      <c r="AD199" s="263"/>
      <c r="AE199" s="263"/>
      <c r="AF199" s="263"/>
      <c r="AG199" s="263"/>
      <c r="AH199" s="263"/>
      <c r="AI199" s="263"/>
      <c r="AJ199" s="263"/>
      <c r="AK199" s="263"/>
      <c r="AL199" s="263"/>
      <c r="AM199" s="242"/>
    </row>
    <row r="200" spans="1:39" ht="18" customHeight="1" x14ac:dyDescent="0.15">
      <c r="A200" s="240"/>
      <c r="B200" s="242"/>
      <c r="C200" s="240"/>
      <c r="D200" s="263"/>
      <c r="E200" s="242"/>
      <c r="F200" s="242"/>
      <c r="G200" s="242"/>
      <c r="L200" s="242"/>
      <c r="M200" s="240"/>
      <c r="N200" s="263"/>
      <c r="O200" s="263"/>
      <c r="P200" s="263"/>
      <c r="Q200" s="263"/>
      <c r="R200" s="263"/>
      <c r="S200" s="263"/>
      <c r="T200" s="263"/>
      <c r="U200" s="263"/>
      <c r="V200" s="263"/>
      <c r="W200" s="263"/>
      <c r="X200" s="263"/>
      <c r="Y200" s="263"/>
      <c r="Z200" s="263"/>
      <c r="AA200" s="263"/>
      <c r="AB200" s="263"/>
      <c r="AC200" s="263"/>
      <c r="AD200" s="263"/>
      <c r="AE200" s="263"/>
      <c r="AF200" s="263"/>
      <c r="AG200" s="263"/>
      <c r="AH200" s="263"/>
      <c r="AI200" s="263"/>
      <c r="AJ200" s="263"/>
      <c r="AK200" s="263"/>
      <c r="AL200" s="263"/>
      <c r="AM200" s="242"/>
    </row>
    <row r="201" spans="1:39" ht="18" customHeight="1" x14ac:dyDescent="0.15">
      <c r="A201" s="240"/>
      <c r="B201" s="242"/>
      <c r="C201" s="240"/>
      <c r="D201" s="263"/>
      <c r="E201" s="242"/>
      <c r="F201" s="242"/>
      <c r="G201" s="242"/>
      <c r="L201" s="242"/>
      <c r="M201" s="240"/>
      <c r="N201" s="263"/>
      <c r="O201" s="263"/>
      <c r="P201" s="263"/>
      <c r="Q201" s="263"/>
      <c r="R201" s="263"/>
      <c r="S201" s="263"/>
      <c r="T201" s="263"/>
      <c r="U201" s="263"/>
      <c r="V201" s="263"/>
      <c r="W201" s="263"/>
      <c r="X201" s="263"/>
      <c r="Y201" s="263"/>
      <c r="Z201" s="263"/>
      <c r="AA201" s="263"/>
      <c r="AB201" s="263"/>
      <c r="AC201" s="263"/>
      <c r="AD201" s="263"/>
      <c r="AE201" s="263"/>
      <c r="AF201" s="263"/>
      <c r="AG201" s="263"/>
      <c r="AH201" s="263"/>
      <c r="AI201" s="263"/>
      <c r="AJ201" s="263"/>
      <c r="AK201" s="263"/>
      <c r="AL201" s="263"/>
      <c r="AM201" s="242"/>
    </row>
    <row r="202" spans="1:39" ht="18" customHeight="1" x14ac:dyDescent="0.15">
      <c r="A202" s="240"/>
      <c r="B202" s="242"/>
      <c r="C202" s="240"/>
      <c r="D202" s="263"/>
      <c r="E202" s="242"/>
      <c r="F202" s="242"/>
      <c r="G202" s="242"/>
      <c r="L202" s="242"/>
      <c r="M202" s="240"/>
      <c r="N202" s="263"/>
      <c r="O202" s="263"/>
      <c r="P202" s="263"/>
      <c r="Q202" s="263"/>
      <c r="R202" s="263"/>
      <c r="S202" s="263"/>
      <c r="T202" s="263"/>
      <c r="U202" s="263"/>
      <c r="V202" s="263"/>
      <c r="W202" s="263"/>
      <c r="X202" s="263"/>
      <c r="Y202" s="263"/>
      <c r="Z202" s="263"/>
      <c r="AA202" s="263"/>
      <c r="AB202" s="263"/>
      <c r="AC202" s="263"/>
      <c r="AD202" s="263"/>
      <c r="AE202" s="263"/>
      <c r="AF202" s="263"/>
      <c r="AG202" s="263"/>
      <c r="AH202" s="263"/>
      <c r="AI202" s="263"/>
      <c r="AJ202" s="263"/>
      <c r="AK202" s="263"/>
      <c r="AL202" s="263"/>
      <c r="AM202" s="242"/>
    </row>
    <row r="203" spans="1:39" ht="18" customHeight="1" x14ac:dyDescent="0.15">
      <c r="A203" s="240"/>
      <c r="B203" s="242"/>
      <c r="C203" s="240"/>
      <c r="D203" s="263"/>
      <c r="E203" s="242"/>
      <c r="F203" s="242"/>
      <c r="G203" s="242"/>
      <c r="L203" s="242"/>
      <c r="M203" s="240"/>
      <c r="N203" s="263"/>
      <c r="O203" s="263"/>
      <c r="P203" s="263"/>
      <c r="Q203" s="263"/>
      <c r="R203" s="263"/>
      <c r="S203" s="263"/>
      <c r="T203" s="263"/>
      <c r="U203" s="263"/>
      <c r="V203" s="263"/>
      <c r="W203" s="263"/>
      <c r="X203" s="263"/>
      <c r="Y203" s="263"/>
      <c r="Z203" s="263"/>
      <c r="AA203" s="263"/>
      <c r="AB203" s="263"/>
      <c r="AC203" s="263"/>
      <c r="AD203" s="263"/>
      <c r="AE203" s="263"/>
      <c r="AF203" s="263"/>
      <c r="AG203" s="263"/>
      <c r="AH203" s="263"/>
      <c r="AI203" s="263"/>
      <c r="AJ203" s="263"/>
      <c r="AK203" s="263"/>
      <c r="AL203" s="263"/>
      <c r="AM203" s="242"/>
    </row>
    <row r="204" spans="1:39" ht="18" customHeight="1" x14ac:dyDescent="0.15">
      <c r="A204" s="240"/>
      <c r="B204" s="242"/>
      <c r="C204" s="240"/>
      <c r="D204" s="263"/>
      <c r="E204" s="242"/>
      <c r="F204" s="242"/>
      <c r="G204" s="242"/>
      <c r="L204" s="242"/>
      <c r="M204" s="240"/>
      <c r="N204" s="263"/>
      <c r="O204" s="263"/>
      <c r="P204" s="263"/>
      <c r="Q204" s="263"/>
      <c r="R204" s="263"/>
      <c r="S204" s="263"/>
      <c r="T204" s="263"/>
      <c r="U204" s="263"/>
      <c r="V204" s="263"/>
      <c r="W204" s="263"/>
      <c r="X204" s="263"/>
      <c r="Y204" s="263"/>
      <c r="Z204" s="263"/>
      <c r="AA204" s="263"/>
      <c r="AB204" s="263"/>
      <c r="AC204" s="263"/>
      <c r="AD204" s="263"/>
      <c r="AE204" s="263"/>
      <c r="AF204" s="263"/>
      <c r="AG204" s="263"/>
      <c r="AH204" s="263"/>
      <c r="AI204" s="263"/>
      <c r="AJ204" s="263"/>
      <c r="AK204" s="263"/>
      <c r="AL204" s="263"/>
      <c r="AM204" s="242"/>
    </row>
    <row r="205" spans="1:39" ht="18" customHeight="1" x14ac:dyDescent="0.15">
      <c r="A205" s="240"/>
      <c r="B205" s="242"/>
      <c r="C205" s="240"/>
      <c r="D205" s="263"/>
      <c r="E205" s="242"/>
      <c r="F205" s="242"/>
      <c r="G205" s="242"/>
      <c r="L205" s="242"/>
      <c r="M205" s="240"/>
      <c r="N205" s="263"/>
      <c r="O205" s="263"/>
      <c r="P205" s="263"/>
      <c r="Q205" s="263"/>
      <c r="R205" s="263"/>
      <c r="S205" s="263"/>
      <c r="T205" s="263"/>
      <c r="U205" s="263"/>
      <c r="V205" s="263"/>
      <c r="W205" s="263"/>
      <c r="X205" s="263"/>
      <c r="Y205" s="263"/>
      <c r="Z205" s="263"/>
      <c r="AA205" s="263"/>
      <c r="AB205" s="263"/>
      <c r="AC205" s="263"/>
      <c r="AD205" s="263"/>
      <c r="AE205" s="263"/>
      <c r="AF205" s="263"/>
      <c r="AG205" s="263"/>
      <c r="AH205" s="263"/>
      <c r="AI205" s="263"/>
      <c r="AJ205" s="263"/>
      <c r="AK205" s="263"/>
      <c r="AL205" s="263"/>
      <c r="AM205" s="242"/>
    </row>
    <row r="206" spans="1:39" ht="18" customHeight="1" x14ac:dyDescent="0.15">
      <c r="A206" s="240"/>
      <c r="B206" s="242"/>
      <c r="C206" s="240"/>
      <c r="D206" s="263"/>
      <c r="E206" s="242"/>
      <c r="F206" s="242"/>
      <c r="G206" s="242"/>
      <c r="L206" s="242"/>
      <c r="M206" s="240"/>
      <c r="N206" s="263"/>
      <c r="O206" s="263"/>
      <c r="P206" s="263"/>
      <c r="Q206" s="263"/>
      <c r="R206" s="263"/>
      <c r="S206" s="263"/>
      <c r="T206" s="263"/>
      <c r="U206" s="263"/>
      <c r="V206" s="263"/>
      <c r="W206" s="263"/>
      <c r="X206" s="263"/>
      <c r="Y206" s="263"/>
      <c r="Z206" s="263"/>
      <c r="AA206" s="263"/>
      <c r="AB206" s="263"/>
      <c r="AC206" s="263"/>
      <c r="AD206" s="263"/>
      <c r="AE206" s="263"/>
      <c r="AF206" s="263"/>
      <c r="AG206" s="263"/>
      <c r="AH206" s="263"/>
      <c r="AI206" s="263"/>
      <c r="AJ206" s="263"/>
      <c r="AK206" s="263"/>
      <c r="AL206" s="263"/>
      <c r="AM206" s="242"/>
    </row>
    <row r="207" spans="1:39" ht="18" customHeight="1" x14ac:dyDescent="0.15">
      <c r="A207" s="240"/>
      <c r="B207" s="242"/>
      <c r="C207" s="240"/>
      <c r="D207" s="263"/>
      <c r="E207" s="242"/>
      <c r="F207" s="242"/>
      <c r="G207" s="242"/>
      <c r="L207" s="242"/>
      <c r="M207" s="240"/>
      <c r="N207" s="263"/>
      <c r="O207" s="263"/>
      <c r="P207" s="263"/>
      <c r="Q207" s="263"/>
      <c r="R207" s="263"/>
      <c r="S207" s="263"/>
      <c r="T207" s="263"/>
      <c r="U207" s="263"/>
      <c r="V207" s="263"/>
      <c r="W207" s="263"/>
      <c r="X207" s="263"/>
      <c r="Y207" s="263"/>
      <c r="Z207" s="263"/>
      <c r="AA207" s="263"/>
      <c r="AB207" s="263"/>
      <c r="AC207" s="263"/>
      <c r="AD207" s="263"/>
      <c r="AE207" s="263"/>
      <c r="AF207" s="263"/>
      <c r="AG207" s="263"/>
      <c r="AH207" s="263"/>
      <c r="AI207" s="263"/>
      <c r="AJ207" s="263"/>
      <c r="AK207" s="263"/>
      <c r="AL207" s="263"/>
      <c r="AM207" s="242"/>
    </row>
    <row r="208" spans="1:39" ht="18" customHeight="1" x14ac:dyDescent="0.15">
      <c r="A208" s="240"/>
      <c r="B208" s="242"/>
      <c r="C208" s="240"/>
      <c r="D208" s="263"/>
      <c r="E208" s="242"/>
      <c r="F208" s="242"/>
      <c r="G208" s="242"/>
      <c r="L208" s="242"/>
      <c r="M208" s="240"/>
      <c r="N208" s="263"/>
      <c r="O208" s="263"/>
      <c r="P208" s="263"/>
      <c r="Q208" s="263"/>
      <c r="R208" s="263"/>
      <c r="S208" s="263"/>
      <c r="T208" s="263"/>
      <c r="U208" s="263"/>
      <c r="V208" s="263"/>
      <c r="W208" s="263"/>
      <c r="X208" s="263"/>
      <c r="Y208" s="263"/>
      <c r="Z208" s="263"/>
      <c r="AA208" s="263"/>
      <c r="AB208" s="263"/>
      <c r="AC208" s="263"/>
      <c r="AD208" s="263"/>
      <c r="AE208" s="263"/>
      <c r="AF208" s="263"/>
      <c r="AG208" s="263"/>
      <c r="AH208" s="263"/>
      <c r="AI208" s="263"/>
      <c r="AJ208" s="263"/>
      <c r="AK208" s="263"/>
      <c r="AL208" s="263"/>
      <c r="AM208" s="242"/>
    </row>
    <row r="209" spans="1:39" ht="18" customHeight="1" x14ac:dyDescent="0.15">
      <c r="A209" s="240"/>
      <c r="B209" s="242"/>
      <c r="C209" s="240"/>
      <c r="D209" s="263"/>
      <c r="E209" s="242"/>
      <c r="F209" s="242"/>
      <c r="G209" s="242"/>
      <c r="L209" s="242"/>
      <c r="M209" s="240"/>
      <c r="N209" s="263"/>
      <c r="O209" s="263"/>
      <c r="P209" s="263"/>
      <c r="Q209" s="263"/>
      <c r="R209" s="263"/>
      <c r="S209" s="263"/>
      <c r="T209" s="263"/>
      <c r="U209" s="263"/>
      <c r="V209" s="263"/>
      <c r="W209" s="263"/>
      <c r="X209" s="263"/>
      <c r="Y209" s="263"/>
      <c r="Z209" s="263"/>
      <c r="AA209" s="263"/>
      <c r="AB209" s="263"/>
      <c r="AC209" s="263"/>
      <c r="AD209" s="263"/>
      <c r="AE209" s="263"/>
      <c r="AF209" s="263"/>
      <c r="AG209" s="263"/>
      <c r="AH209" s="263"/>
      <c r="AI209" s="263"/>
      <c r="AJ209" s="263"/>
      <c r="AK209" s="263"/>
      <c r="AL209" s="263"/>
      <c r="AM209" s="242"/>
    </row>
    <row r="210" spans="1:39" ht="18" customHeight="1" x14ac:dyDescent="0.15">
      <c r="A210" s="240"/>
      <c r="B210" s="242"/>
      <c r="C210" s="240"/>
      <c r="D210" s="263"/>
      <c r="E210" s="242"/>
      <c r="F210" s="242"/>
      <c r="G210" s="242"/>
      <c r="L210" s="242"/>
      <c r="M210" s="240"/>
      <c r="N210" s="263"/>
      <c r="O210" s="263"/>
      <c r="P210" s="263"/>
      <c r="Q210" s="263"/>
      <c r="R210" s="263"/>
      <c r="S210" s="263"/>
      <c r="T210" s="263"/>
      <c r="U210" s="263"/>
      <c r="V210" s="263"/>
      <c r="W210" s="263"/>
      <c r="X210" s="263"/>
      <c r="Y210" s="263"/>
      <c r="Z210" s="263"/>
      <c r="AA210" s="263"/>
      <c r="AB210" s="263"/>
      <c r="AC210" s="263"/>
      <c r="AD210" s="263"/>
      <c r="AE210" s="263"/>
      <c r="AF210" s="263"/>
      <c r="AG210" s="263"/>
      <c r="AH210" s="263"/>
      <c r="AI210" s="263"/>
      <c r="AJ210" s="263"/>
      <c r="AK210" s="263"/>
      <c r="AL210" s="263"/>
      <c r="AM210" s="242"/>
    </row>
    <row r="211" spans="1:39" ht="18" customHeight="1" x14ac:dyDescent="0.15">
      <c r="A211" s="240"/>
      <c r="B211" s="242"/>
      <c r="C211" s="240"/>
      <c r="D211" s="263"/>
      <c r="E211" s="242"/>
      <c r="F211" s="242"/>
      <c r="G211" s="242"/>
      <c r="L211" s="242"/>
      <c r="M211" s="240"/>
      <c r="N211" s="263"/>
      <c r="O211" s="263"/>
      <c r="P211" s="263"/>
      <c r="Q211" s="263"/>
      <c r="R211" s="263"/>
      <c r="S211" s="263"/>
      <c r="T211" s="263"/>
      <c r="U211" s="263"/>
      <c r="V211" s="263"/>
      <c r="W211" s="263"/>
      <c r="X211" s="263"/>
      <c r="Y211" s="263"/>
      <c r="Z211" s="263"/>
      <c r="AA211" s="263"/>
      <c r="AB211" s="263"/>
      <c r="AC211" s="263"/>
      <c r="AD211" s="263"/>
      <c r="AE211" s="263"/>
      <c r="AF211" s="263"/>
      <c r="AG211" s="263"/>
      <c r="AH211" s="263"/>
      <c r="AI211" s="263"/>
      <c r="AJ211" s="263"/>
      <c r="AK211" s="263"/>
      <c r="AL211" s="263"/>
      <c r="AM211" s="242"/>
    </row>
    <row r="212" spans="1:39" ht="18" customHeight="1" x14ac:dyDescent="0.15">
      <c r="A212" s="240"/>
      <c r="B212" s="242"/>
      <c r="C212" s="240"/>
      <c r="D212" s="263"/>
      <c r="E212" s="242"/>
      <c r="F212" s="242"/>
      <c r="G212" s="242"/>
      <c r="L212" s="242"/>
      <c r="M212" s="240"/>
      <c r="N212" s="263"/>
      <c r="O212" s="263"/>
      <c r="P212" s="263"/>
      <c r="Q212" s="263"/>
      <c r="R212" s="263"/>
      <c r="S212" s="263"/>
      <c r="T212" s="263"/>
      <c r="U212" s="263"/>
      <c r="V212" s="263"/>
      <c r="W212" s="263"/>
      <c r="X212" s="263"/>
      <c r="Y212" s="263"/>
      <c r="Z212" s="263"/>
      <c r="AA212" s="263"/>
      <c r="AB212" s="263"/>
      <c r="AC212" s="263"/>
      <c r="AD212" s="263"/>
      <c r="AE212" s="263"/>
      <c r="AF212" s="263"/>
      <c r="AG212" s="263"/>
      <c r="AH212" s="263"/>
      <c r="AI212" s="263"/>
      <c r="AJ212" s="263"/>
      <c r="AK212" s="263"/>
      <c r="AL212" s="263"/>
      <c r="AM212" s="242"/>
    </row>
    <row r="213" spans="1:39" ht="18" customHeight="1" x14ac:dyDescent="0.15">
      <c r="A213" s="240"/>
      <c r="B213" s="242"/>
      <c r="C213" s="240"/>
      <c r="D213" s="263"/>
      <c r="E213" s="242"/>
      <c r="F213" s="242"/>
      <c r="G213" s="242"/>
      <c r="L213" s="242"/>
      <c r="M213" s="240"/>
      <c r="N213" s="263"/>
      <c r="O213" s="263"/>
      <c r="P213" s="263"/>
      <c r="Q213" s="263"/>
      <c r="R213" s="263"/>
      <c r="S213" s="263"/>
      <c r="T213" s="263"/>
      <c r="U213" s="263"/>
      <c r="V213" s="263"/>
      <c r="W213" s="263"/>
      <c r="X213" s="263"/>
      <c r="Y213" s="263"/>
      <c r="Z213" s="263"/>
      <c r="AA213" s="263"/>
      <c r="AB213" s="263"/>
      <c r="AC213" s="263"/>
      <c r="AD213" s="263"/>
      <c r="AE213" s="263"/>
      <c r="AF213" s="263"/>
      <c r="AG213" s="263"/>
      <c r="AH213" s="263"/>
      <c r="AI213" s="263"/>
      <c r="AJ213" s="263"/>
      <c r="AK213" s="263"/>
      <c r="AL213" s="263"/>
      <c r="AM213" s="242"/>
    </row>
    <row r="214" spans="1:39" ht="18" customHeight="1" x14ac:dyDescent="0.15">
      <c r="A214" s="240"/>
      <c r="B214" s="242"/>
      <c r="C214" s="240"/>
      <c r="D214" s="263"/>
      <c r="E214" s="242"/>
      <c r="F214" s="242"/>
      <c r="G214" s="242"/>
      <c r="L214" s="242"/>
      <c r="M214" s="240"/>
      <c r="N214" s="263"/>
      <c r="O214" s="263"/>
      <c r="P214" s="263"/>
      <c r="Q214" s="263"/>
      <c r="R214" s="263"/>
      <c r="S214" s="263"/>
      <c r="T214" s="263"/>
      <c r="U214" s="263"/>
      <c r="V214" s="263"/>
      <c r="W214" s="263"/>
      <c r="X214" s="263"/>
      <c r="Y214" s="263"/>
      <c r="Z214" s="263"/>
      <c r="AA214" s="263"/>
      <c r="AB214" s="263"/>
      <c r="AC214" s="263"/>
      <c r="AD214" s="263"/>
      <c r="AE214" s="263"/>
      <c r="AF214" s="263"/>
      <c r="AG214" s="263"/>
      <c r="AH214" s="263"/>
      <c r="AI214" s="263"/>
      <c r="AJ214" s="263"/>
      <c r="AK214" s="263"/>
      <c r="AL214" s="263"/>
      <c r="AM214" s="242"/>
    </row>
    <row r="215" spans="1:39" ht="18" customHeight="1" x14ac:dyDescent="0.15">
      <c r="A215" s="240"/>
      <c r="B215" s="242"/>
      <c r="C215" s="240"/>
      <c r="D215" s="263"/>
      <c r="E215" s="242"/>
      <c r="F215" s="242"/>
      <c r="G215" s="242"/>
      <c r="L215" s="242"/>
      <c r="M215" s="240"/>
      <c r="N215" s="263"/>
      <c r="O215" s="263"/>
      <c r="P215" s="263"/>
      <c r="Q215" s="263"/>
      <c r="R215" s="263"/>
      <c r="S215" s="263"/>
      <c r="T215" s="263"/>
      <c r="U215" s="263"/>
      <c r="V215" s="263"/>
      <c r="W215" s="263"/>
      <c r="X215" s="263"/>
      <c r="Y215" s="263"/>
      <c r="Z215" s="263"/>
      <c r="AA215" s="263"/>
      <c r="AB215" s="263"/>
      <c r="AC215" s="263"/>
      <c r="AD215" s="263"/>
      <c r="AE215" s="263"/>
      <c r="AF215" s="263"/>
      <c r="AG215" s="263"/>
      <c r="AH215" s="263"/>
      <c r="AI215" s="263"/>
      <c r="AJ215" s="263"/>
      <c r="AK215" s="263"/>
      <c r="AL215" s="263"/>
      <c r="AM215" s="242"/>
    </row>
    <row r="216" spans="1:39" ht="18" customHeight="1" x14ac:dyDescent="0.15">
      <c r="A216" s="240"/>
      <c r="B216" s="242"/>
      <c r="C216" s="240"/>
      <c r="D216" s="263"/>
      <c r="E216" s="242"/>
      <c r="F216" s="242"/>
      <c r="G216" s="242"/>
      <c r="L216" s="242"/>
      <c r="M216" s="240"/>
      <c r="N216" s="263"/>
      <c r="O216" s="263"/>
      <c r="P216" s="263"/>
      <c r="Q216" s="263"/>
      <c r="R216" s="263"/>
      <c r="S216" s="263"/>
      <c r="T216" s="263"/>
      <c r="U216" s="263"/>
      <c r="V216" s="263"/>
      <c r="W216" s="263"/>
      <c r="X216" s="263"/>
      <c r="Y216" s="263"/>
      <c r="Z216" s="263"/>
      <c r="AA216" s="263"/>
      <c r="AB216" s="263"/>
      <c r="AC216" s="263"/>
      <c r="AD216" s="263"/>
      <c r="AE216" s="263"/>
      <c r="AF216" s="263"/>
      <c r="AG216" s="263"/>
      <c r="AH216" s="263"/>
      <c r="AI216" s="263"/>
      <c r="AJ216" s="263"/>
      <c r="AK216" s="263"/>
      <c r="AL216" s="263"/>
      <c r="AM216" s="242"/>
    </row>
    <row r="217" spans="1:39" ht="18" customHeight="1" x14ac:dyDescent="0.15">
      <c r="A217" s="240"/>
      <c r="B217" s="242"/>
      <c r="C217" s="240"/>
      <c r="D217" s="263"/>
      <c r="E217" s="242"/>
      <c r="F217" s="242"/>
      <c r="G217" s="242"/>
      <c r="L217" s="242"/>
      <c r="M217" s="240"/>
      <c r="N217" s="263"/>
      <c r="O217" s="263"/>
      <c r="P217" s="263"/>
      <c r="Q217" s="263"/>
      <c r="R217" s="263"/>
      <c r="S217" s="263"/>
      <c r="T217" s="263"/>
      <c r="U217" s="263"/>
      <c r="V217" s="263"/>
      <c r="W217" s="263"/>
      <c r="X217" s="263"/>
      <c r="Y217" s="263"/>
      <c r="Z217" s="263"/>
      <c r="AA217" s="263"/>
      <c r="AB217" s="263"/>
      <c r="AC217" s="263"/>
      <c r="AD217" s="263"/>
      <c r="AE217" s="263"/>
      <c r="AF217" s="263"/>
      <c r="AG217" s="263"/>
      <c r="AH217" s="263"/>
      <c r="AI217" s="263"/>
      <c r="AJ217" s="263"/>
      <c r="AK217" s="263"/>
      <c r="AL217" s="263"/>
      <c r="AM217" s="242"/>
    </row>
    <row r="218" spans="1:39" ht="18" customHeight="1" x14ac:dyDescent="0.15">
      <c r="A218" s="240"/>
      <c r="B218" s="242"/>
      <c r="C218" s="240"/>
      <c r="D218" s="263"/>
      <c r="E218" s="242"/>
      <c r="F218" s="242"/>
      <c r="G218" s="242"/>
      <c r="L218" s="242"/>
      <c r="M218" s="240"/>
      <c r="N218" s="263"/>
      <c r="O218" s="263"/>
      <c r="P218" s="263"/>
      <c r="Q218" s="263"/>
      <c r="R218" s="263"/>
      <c r="S218" s="263"/>
      <c r="T218" s="263"/>
      <c r="U218" s="263"/>
      <c r="V218" s="263"/>
      <c r="W218" s="263"/>
      <c r="X218" s="263"/>
      <c r="Y218" s="263"/>
      <c r="Z218" s="263"/>
      <c r="AA218" s="263"/>
      <c r="AB218" s="263"/>
      <c r="AC218" s="263"/>
      <c r="AD218" s="263"/>
      <c r="AE218" s="263"/>
      <c r="AF218" s="263"/>
      <c r="AG218" s="263"/>
      <c r="AH218" s="263"/>
      <c r="AI218" s="263"/>
      <c r="AJ218" s="263"/>
      <c r="AK218" s="263"/>
      <c r="AL218" s="263"/>
      <c r="AM218" s="242"/>
    </row>
    <row r="219" spans="1:39" ht="18" customHeight="1" x14ac:dyDescent="0.15">
      <c r="A219" s="240"/>
      <c r="B219" s="242"/>
      <c r="C219" s="240"/>
      <c r="D219" s="263"/>
      <c r="E219" s="242"/>
      <c r="F219" s="242"/>
      <c r="G219" s="242"/>
      <c r="L219" s="242"/>
      <c r="M219" s="240"/>
      <c r="N219" s="263"/>
      <c r="O219" s="263"/>
      <c r="P219" s="263"/>
      <c r="Q219" s="263"/>
      <c r="R219" s="263"/>
      <c r="S219" s="263"/>
      <c r="T219" s="263"/>
      <c r="U219" s="263"/>
      <c r="V219" s="263"/>
      <c r="W219" s="263"/>
      <c r="X219" s="263"/>
      <c r="Y219" s="263"/>
      <c r="Z219" s="263"/>
      <c r="AA219" s="263"/>
      <c r="AB219" s="263"/>
      <c r="AC219" s="263"/>
      <c r="AD219" s="263"/>
      <c r="AE219" s="263"/>
      <c r="AF219" s="263"/>
      <c r="AG219" s="263"/>
      <c r="AH219" s="263"/>
      <c r="AI219" s="263"/>
      <c r="AJ219" s="263"/>
      <c r="AK219" s="263"/>
      <c r="AL219" s="263"/>
      <c r="AM219" s="242"/>
    </row>
    <row r="220" spans="1:39" ht="18" customHeight="1" x14ac:dyDescent="0.15">
      <c r="A220" s="240"/>
      <c r="B220" s="242"/>
      <c r="C220" s="240"/>
      <c r="D220" s="263"/>
      <c r="E220" s="242"/>
      <c r="F220" s="242"/>
      <c r="G220" s="242"/>
      <c r="L220" s="242"/>
      <c r="M220" s="240"/>
      <c r="N220" s="263"/>
      <c r="O220" s="263"/>
      <c r="P220" s="263"/>
      <c r="Q220" s="263"/>
      <c r="R220" s="263"/>
      <c r="S220" s="263"/>
      <c r="T220" s="263"/>
      <c r="U220" s="263"/>
      <c r="V220" s="263"/>
      <c r="W220" s="263"/>
      <c r="X220" s="263"/>
      <c r="Y220" s="263"/>
      <c r="Z220" s="263"/>
      <c r="AA220" s="263"/>
      <c r="AB220" s="263"/>
      <c r="AC220" s="263"/>
      <c r="AD220" s="263"/>
      <c r="AE220" s="263"/>
      <c r="AF220" s="263"/>
      <c r="AG220" s="263"/>
      <c r="AH220" s="263"/>
      <c r="AI220" s="263"/>
      <c r="AJ220" s="263"/>
      <c r="AK220" s="263"/>
      <c r="AL220" s="263"/>
      <c r="AM220" s="242"/>
    </row>
    <row r="221" spans="1:39" ht="18" customHeight="1" x14ac:dyDescent="0.15">
      <c r="A221" s="240"/>
      <c r="B221" s="242"/>
      <c r="C221" s="240"/>
      <c r="D221" s="263"/>
      <c r="E221" s="242"/>
      <c r="F221" s="242"/>
      <c r="G221" s="242"/>
      <c r="L221" s="242"/>
      <c r="M221" s="240"/>
      <c r="N221" s="263"/>
      <c r="O221" s="263"/>
      <c r="P221" s="263"/>
      <c r="Q221" s="263"/>
      <c r="R221" s="263"/>
      <c r="S221" s="263"/>
      <c r="T221" s="263"/>
      <c r="U221" s="263"/>
      <c r="V221" s="263"/>
      <c r="W221" s="263"/>
      <c r="X221" s="263"/>
      <c r="Y221" s="263"/>
      <c r="Z221" s="263"/>
      <c r="AA221" s="263"/>
      <c r="AB221" s="263"/>
      <c r="AC221" s="263"/>
      <c r="AD221" s="263"/>
      <c r="AE221" s="263"/>
      <c r="AF221" s="263"/>
      <c r="AG221" s="263"/>
      <c r="AH221" s="263"/>
      <c r="AI221" s="263"/>
      <c r="AJ221" s="263"/>
      <c r="AK221" s="263"/>
      <c r="AL221" s="263"/>
      <c r="AM221" s="242"/>
    </row>
    <row r="222" spans="1:39" ht="18" customHeight="1" x14ac:dyDescent="0.15">
      <c r="A222" s="240"/>
      <c r="B222" s="242"/>
      <c r="C222" s="240"/>
      <c r="D222" s="263"/>
      <c r="E222" s="242"/>
      <c r="F222" s="242"/>
      <c r="G222" s="242"/>
      <c r="L222" s="242"/>
      <c r="M222" s="240"/>
      <c r="N222" s="263"/>
      <c r="O222" s="263"/>
      <c r="P222" s="263"/>
      <c r="Q222" s="263"/>
      <c r="R222" s="263"/>
      <c r="S222" s="263"/>
      <c r="T222" s="263"/>
      <c r="U222" s="263"/>
      <c r="V222" s="263"/>
      <c r="W222" s="263"/>
      <c r="X222" s="263"/>
      <c r="Y222" s="263"/>
      <c r="Z222" s="263"/>
      <c r="AA222" s="263"/>
      <c r="AB222" s="263"/>
      <c r="AC222" s="263"/>
      <c r="AD222" s="263"/>
      <c r="AE222" s="263"/>
      <c r="AF222" s="263"/>
      <c r="AG222" s="263"/>
      <c r="AH222" s="263"/>
      <c r="AI222" s="263"/>
      <c r="AJ222" s="263"/>
      <c r="AK222" s="263"/>
      <c r="AL222" s="263"/>
      <c r="AM222" s="242"/>
    </row>
    <row r="223" spans="1:39" ht="18" customHeight="1" x14ac:dyDescent="0.15">
      <c r="A223" s="240"/>
      <c r="B223" s="242"/>
      <c r="C223" s="240"/>
      <c r="D223" s="263"/>
      <c r="E223" s="242"/>
      <c r="F223" s="242"/>
      <c r="G223" s="242"/>
      <c r="L223" s="242"/>
      <c r="M223" s="240"/>
      <c r="N223" s="263"/>
      <c r="O223" s="263"/>
      <c r="P223" s="263"/>
      <c r="Q223" s="263"/>
      <c r="R223" s="263"/>
      <c r="S223" s="263"/>
      <c r="T223" s="263"/>
      <c r="U223" s="263"/>
      <c r="V223" s="263"/>
      <c r="W223" s="263"/>
      <c r="X223" s="263"/>
      <c r="Y223" s="263"/>
      <c r="Z223" s="263"/>
      <c r="AA223" s="263"/>
      <c r="AB223" s="263"/>
      <c r="AC223" s="263"/>
      <c r="AD223" s="263"/>
      <c r="AE223" s="263"/>
      <c r="AF223" s="263"/>
      <c r="AG223" s="263"/>
      <c r="AH223" s="263"/>
      <c r="AI223" s="263"/>
      <c r="AJ223" s="263"/>
      <c r="AK223" s="263"/>
      <c r="AL223" s="263"/>
      <c r="AM223" s="242"/>
    </row>
    <row r="224" spans="1:39" ht="18" customHeight="1" x14ac:dyDescent="0.15">
      <c r="A224" s="240"/>
      <c r="B224" s="242"/>
      <c r="C224" s="240"/>
      <c r="D224" s="263"/>
      <c r="E224" s="242"/>
      <c r="F224" s="242"/>
      <c r="G224" s="242"/>
      <c r="L224" s="242"/>
      <c r="M224" s="240"/>
      <c r="N224" s="263"/>
      <c r="O224" s="263"/>
      <c r="P224" s="263"/>
      <c r="Q224" s="263"/>
      <c r="R224" s="263"/>
      <c r="S224" s="263"/>
      <c r="T224" s="263"/>
      <c r="U224" s="263"/>
      <c r="V224" s="263"/>
      <c r="W224" s="263"/>
      <c r="X224" s="263"/>
      <c r="Y224" s="263"/>
      <c r="Z224" s="263"/>
      <c r="AA224" s="263"/>
      <c r="AB224" s="263"/>
      <c r="AC224" s="263"/>
      <c r="AD224" s="263"/>
      <c r="AE224" s="263"/>
      <c r="AF224" s="263"/>
      <c r="AG224" s="263"/>
      <c r="AH224" s="263"/>
      <c r="AI224" s="263"/>
      <c r="AJ224" s="263"/>
      <c r="AK224" s="263"/>
      <c r="AL224" s="263"/>
      <c r="AM224" s="242"/>
    </row>
    <row r="225" spans="1:39" ht="18" customHeight="1" x14ac:dyDescent="0.15">
      <c r="A225" s="240"/>
      <c r="B225" s="242"/>
      <c r="C225" s="240"/>
      <c r="D225" s="263"/>
      <c r="E225" s="242"/>
      <c r="F225" s="242"/>
      <c r="G225" s="242"/>
      <c r="L225" s="242"/>
      <c r="M225" s="240"/>
      <c r="N225" s="263"/>
      <c r="O225" s="263"/>
      <c r="P225" s="263"/>
      <c r="Q225" s="263"/>
      <c r="R225" s="263"/>
      <c r="S225" s="263"/>
      <c r="T225" s="263"/>
      <c r="U225" s="263"/>
      <c r="V225" s="263"/>
      <c r="W225" s="263"/>
      <c r="X225" s="263"/>
      <c r="Y225" s="263"/>
      <c r="Z225" s="263"/>
      <c r="AA225" s="263"/>
      <c r="AB225" s="263"/>
      <c r="AC225" s="263"/>
      <c r="AD225" s="263"/>
      <c r="AE225" s="263"/>
      <c r="AF225" s="263"/>
      <c r="AG225" s="263"/>
      <c r="AH225" s="263"/>
      <c r="AI225" s="263"/>
      <c r="AJ225" s="263"/>
      <c r="AK225" s="263"/>
      <c r="AL225" s="263"/>
      <c r="AM225" s="242"/>
    </row>
    <row r="226" spans="1:39" ht="18" customHeight="1" x14ac:dyDescent="0.15">
      <c r="A226" s="240"/>
      <c r="B226" s="242"/>
      <c r="C226" s="240"/>
      <c r="D226" s="263"/>
      <c r="E226" s="242"/>
      <c r="F226" s="242"/>
      <c r="G226" s="242"/>
      <c r="L226" s="242"/>
      <c r="M226" s="240"/>
      <c r="N226" s="263"/>
      <c r="O226" s="263"/>
      <c r="P226" s="263"/>
      <c r="Q226" s="263"/>
      <c r="R226" s="263"/>
      <c r="S226" s="263"/>
      <c r="T226" s="263"/>
      <c r="U226" s="263"/>
      <c r="V226" s="263"/>
      <c r="W226" s="263"/>
      <c r="X226" s="263"/>
      <c r="Y226" s="263"/>
      <c r="Z226" s="263"/>
      <c r="AA226" s="263"/>
      <c r="AB226" s="263"/>
      <c r="AC226" s="263"/>
      <c r="AD226" s="263"/>
      <c r="AE226" s="263"/>
      <c r="AF226" s="263"/>
      <c r="AG226" s="263"/>
      <c r="AH226" s="263"/>
      <c r="AI226" s="263"/>
      <c r="AJ226" s="263"/>
      <c r="AK226" s="263"/>
      <c r="AL226" s="263"/>
      <c r="AM226" s="242"/>
    </row>
    <row r="227" spans="1:39" ht="18" customHeight="1" x14ac:dyDescent="0.15">
      <c r="A227" s="240"/>
      <c r="B227" s="242"/>
      <c r="C227" s="240"/>
      <c r="D227" s="263"/>
      <c r="E227" s="242"/>
      <c r="F227" s="242"/>
      <c r="G227" s="242"/>
      <c r="L227" s="242"/>
      <c r="M227" s="240"/>
      <c r="N227" s="263"/>
      <c r="O227" s="263"/>
      <c r="P227" s="263"/>
      <c r="Q227" s="263"/>
      <c r="R227" s="263"/>
      <c r="S227" s="263"/>
      <c r="T227" s="263"/>
      <c r="U227" s="263"/>
      <c r="V227" s="263"/>
      <c r="W227" s="263"/>
      <c r="X227" s="263"/>
      <c r="Y227" s="263"/>
      <c r="Z227" s="263"/>
      <c r="AA227" s="263"/>
      <c r="AB227" s="263"/>
      <c r="AC227" s="263"/>
      <c r="AD227" s="263"/>
      <c r="AE227" s="263"/>
      <c r="AF227" s="263"/>
      <c r="AG227" s="263"/>
      <c r="AH227" s="263"/>
      <c r="AI227" s="263"/>
      <c r="AJ227" s="263"/>
      <c r="AK227" s="263"/>
      <c r="AL227" s="263"/>
      <c r="AM227" s="242"/>
    </row>
    <row r="228" spans="1:39" ht="18" customHeight="1" x14ac:dyDescent="0.15">
      <c r="A228" s="240"/>
      <c r="B228" s="242"/>
      <c r="C228" s="240"/>
      <c r="D228" s="263"/>
      <c r="E228" s="242"/>
      <c r="F228" s="242"/>
      <c r="G228" s="242"/>
      <c r="L228" s="242"/>
      <c r="M228" s="240"/>
      <c r="N228" s="263"/>
      <c r="O228" s="263"/>
      <c r="P228" s="263"/>
      <c r="Q228" s="263"/>
      <c r="R228" s="263"/>
      <c r="S228" s="263"/>
      <c r="T228" s="263"/>
      <c r="U228" s="263"/>
      <c r="V228" s="263"/>
      <c r="W228" s="263"/>
      <c r="X228" s="263"/>
      <c r="Y228" s="263"/>
      <c r="Z228" s="263"/>
      <c r="AA228" s="263"/>
      <c r="AB228" s="263"/>
      <c r="AC228" s="263"/>
      <c r="AD228" s="263"/>
      <c r="AE228" s="263"/>
      <c r="AF228" s="263"/>
      <c r="AG228" s="263"/>
      <c r="AH228" s="263"/>
      <c r="AI228" s="263"/>
      <c r="AJ228" s="263"/>
      <c r="AK228" s="263"/>
      <c r="AL228" s="263"/>
      <c r="AM228" s="242"/>
    </row>
    <row r="229" spans="1:39" ht="18" customHeight="1" x14ac:dyDescent="0.15">
      <c r="A229" s="240"/>
      <c r="B229" s="242"/>
      <c r="C229" s="240"/>
      <c r="D229" s="263"/>
      <c r="E229" s="242"/>
      <c r="F229" s="242"/>
      <c r="G229" s="242"/>
      <c r="L229" s="242"/>
      <c r="M229" s="240"/>
      <c r="N229" s="263"/>
      <c r="O229" s="263"/>
      <c r="P229" s="263"/>
      <c r="Q229" s="263"/>
      <c r="R229" s="263"/>
      <c r="S229" s="263"/>
      <c r="T229" s="263"/>
      <c r="U229" s="263"/>
      <c r="V229" s="263"/>
      <c r="W229" s="263"/>
      <c r="X229" s="263"/>
      <c r="Y229" s="263"/>
      <c r="Z229" s="263"/>
      <c r="AA229" s="263"/>
      <c r="AB229" s="263"/>
      <c r="AC229" s="263"/>
      <c r="AD229" s="263"/>
      <c r="AE229" s="263"/>
      <c r="AF229" s="263"/>
      <c r="AG229" s="263"/>
      <c r="AH229" s="263"/>
      <c r="AI229" s="263"/>
      <c r="AJ229" s="263"/>
      <c r="AK229" s="263"/>
      <c r="AL229" s="263"/>
      <c r="AM229" s="242"/>
    </row>
    <row r="230" spans="1:39" ht="18" customHeight="1" x14ac:dyDescent="0.15">
      <c r="A230" s="240"/>
      <c r="B230" s="242"/>
      <c r="C230" s="240"/>
      <c r="D230" s="263"/>
      <c r="E230" s="242"/>
      <c r="F230" s="242"/>
      <c r="G230" s="242"/>
      <c r="L230" s="242"/>
      <c r="M230" s="240"/>
      <c r="N230" s="263"/>
      <c r="O230" s="263"/>
      <c r="P230" s="263"/>
      <c r="Q230" s="263"/>
      <c r="R230" s="263"/>
      <c r="S230" s="263"/>
      <c r="T230" s="263"/>
      <c r="U230" s="263"/>
      <c r="V230" s="263"/>
      <c r="W230" s="263"/>
      <c r="X230" s="263"/>
      <c r="Y230" s="263"/>
      <c r="Z230" s="263"/>
      <c r="AA230" s="263"/>
      <c r="AB230" s="263"/>
      <c r="AC230" s="263"/>
      <c r="AD230" s="263"/>
      <c r="AE230" s="263"/>
      <c r="AF230" s="263"/>
      <c r="AG230" s="263"/>
      <c r="AH230" s="263"/>
      <c r="AI230" s="263"/>
      <c r="AJ230" s="263"/>
      <c r="AK230" s="263"/>
      <c r="AL230" s="263"/>
      <c r="AM230" s="242"/>
    </row>
    <row r="231" spans="1:39" ht="18" customHeight="1" x14ac:dyDescent="0.15">
      <c r="A231" s="240"/>
      <c r="B231" s="242"/>
      <c r="C231" s="240"/>
      <c r="D231" s="263"/>
      <c r="E231" s="242"/>
      <c r="F231" s="242"/>
      <c r="G231" s="242"/>
      <c r="L231" s="242"/>
      <c r="M231" s="240"/>
      <c r="N231" s="263"/>
      <c r="O231" s="263"/>
      <c r="P231" s="263"/>
      <c r="Q231" s="263"/>
      <c r="R231" s="263"/>
      <c r="S231" s="263"/>
      <c r="T231" s="263"/>
      <c r="U231" s="263"/>
      <c r="V231" s="263"/>
      <c r="W231" s="263"/>
      <c r="X231" s="263"/>
      <c r="Y231" s="263"/>
      <c r="Z231" s="263"/>
      <c r="AA231" s="263"/>
      <c r="AB231" s="263"/>
      <c r="AC231" s="263"/>
      <c r="AD231" s="263"/>
      <c r="AE231" s="263"/>
      <c r="AF231" s="263"/>
      <c r="AG231" s="263"/>
      <c r="AH231" s="263"/>
      <c r="AI231" s="263"/>
      <c r="AJ231" s="263"/>
      <c r="AK231" s="263"/>
      <c r="AL231" s="263"/>
      <c r="AM231" s="242"/>
    </row>
    <row r="232" spans="1:39" ht="18" customHeight="1" x14ac:dyDescent="0.15">
      <c r="A232" s="240"/>
      <c r="B232" s="242"/>
      <c r="C232" s="240"/>
      <c r="D232" s="263"/>
      <c r="E232" s="242"/>
      <c r="F232" s="242"/>
      <c r="G232" s="242"/>
      <c r="L232" s="242"/>
      <c r="M232" s="240"/>
      <c r="N232" s="263"/>
      <c r="O232" s="263"/>
      <c r="P232" s="263"/>
      <c r="Q232" s="263"/>
      <c r="R232" s="263"/>
      <c r="S232" s="263"/>
      <c r="T232" s="263"/>
      <c r="U232" s="263"/>
      <c r="V232" s="263"/>
      <c r="W232" s="263"/>
      <c r="X232" s="263"/>
      <c r="Y232" s="263"/>
      <c r="Z232" s="263"/>
      <c r="AA232" s="263"/>
      <c r="AB232" s="263"/>
      <c r="AC232" s="263"/>
      <c r="AD232" s="263"/>
      <c r="AE232" s="263"/>
      <c r="AF232" s="263"/>
      <c r="AG232" s="263"/>
      <c r="AH232" s="263"/>
      <c r="AI232" s="263"/>
      <c r="AJ232" s="263"/>
      <c r="AK232" s="263"/>
      <c r="AL232" s="263"/>
      <c r="AM232" s="242"/>
    </row>
    <row r="233" spans="1:39" ht="18" customHeight="1" x14ac:dyDescent="0.15">
      <c r="A233" s="240"/>
      <c r="B233" s="242"/>
      <c r="C233" s="240"/>
      <c r="D233" s="263"/>
      <c r="E233" s="242"/>
      <c r="F233" s="242"/>
      <c r="G233" s="242"/>
      <c r="L233" s="242"/>
      <c r="M233" s="240"/>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42"/>
    </row>
    <row r="234" spans="1:39" ht="18" customHeight="1" x14ac:dyDescent="0.15">
      <c r="A234" s="240"/>
      <c r="B234" s="242"/>
      <c r="C234" s="240"/>
      <c r="D234" s="263"/>
      <c r="E234" s="242"/>
      <c r="F234" s="242"/>
      <c r="G234" s="242"/>
      <c r="L234" s="242"/>
      <c r="M234" s="240"/>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42"/>
    </row>
    <row r="235" spans="1:39" ht="18" customHeight="1" x14ac:dyDescent="0.15">
      <c r="A235" s="240"/>
      <c r="B235" s="242"/>
      <c r="C235" s="240"/>
      <c r="D235" s="263"/>
      <c r="E235" s="242"/>
      <c r="F235" s="242"/>
      <c r="G235" s="242"/>
      <c r="L235" s="242"/>
      <c r="M235" s="240"/>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42"/>
    </row>
    <row r="236" spans="1:39" ht="18" customHeight="1" x14ac:dyDescent="0.15">
      <c r="A236" s="240"/>
      <c r="B236" s="242"/>
      <c r="C236" s="240"/>
      <c r="D236" s="263"/>
      <c r="E236" s="242"/>
      <c r="F236" s="242"/>
      <c r="G236" s="242"/>
      <c r="L236" s="242"/>
      <c r="M236" s="240"/>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42"/>
    </row>
    <row r="237" spans="1:39" ht="18" customHeight="1" x14ac:dyDescent="0.15">
      <c r="A237" s="240"/>
      <c r="B237" s="242"/>
      <c r="C237" s="240"/>
      <c r="D237" s="263"/>
      <c r="E237" s="242"/>
      <c r="F237" s="242"/>
      <c r="G237" s="242"/>
      <c r="L237" s="242"/>
      <c r="M237" s="240"/>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42"/>
    </row>
    <row r="238" spans="1:39" ht="18" customHeight="1" x14ac:dyDescent="0.15">
      <c r="A238" s="240"/>
      <c r="B238" s="242"/>
      <c r="C238" s="240"/>
      <c r="D238" s="263"/>
      <c r="E238" s="242"/>
      <c r="F238" s="242"/>
      <c r="G238" s="242"/>
      <c r="L238" s="242"/>
      <c r="M238" s="240"/>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42"/>
    </row>
    <row r="239" spans="1:39" ht="18" customHeight="1" x14ac:dyDescent="0.15">
      <c r="A239" s="240"/>
      <c r="B239" s="242"/>
      <c r="C239" s="240"/>
      <c r="D239" s="263"/>
      <c r="E239" s="242"/>
      <c r="F239" s="242"/>
      <c r="G239" s="242"/>
      <c r="L239" s="242"/>
      <c r="M239" s="240"/>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42"/>
    </row>
    <row r="240" spans="1:39" ht="18" customHeight="1" x14ac:dyDescent="0.15">
      <c r="A240" s="240"/>
      <c r="B240" s="242"/>
      <c r="C240" s="240"/>
      <c r="D240" s="263"/>
      <c r="E240" s="242"/>
      <c r="F240" s="242"/>
      <c r="G240" s="242"/>
      <c r="L240" s="242"/>
      <c r="M240" s="240"/>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42"/>
    </row>
    <row r="241" spans="1:39" ht="18" customHeight="1" x14ac:dyDescent="0.15">
      <c r="A241" s="240"/>
      <c r="B241" s="242"/>
      <c r="C241" s="240"/>
      <c r="D241" s="263"/>
      <c r="E241" s="242"/>
      <c r="F241" s="242"/>
      <c r="G241" s="242"/>
      <c r="L241" s="242"/>
      <c r="M241" s="240"/>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42"/>
    </row>
    <row r="242" spans="1:39" ht="18" customHeight="1" x14ac:dyDescent="0.15">
      <c r="A242" s="240"/>
      <c r="B242" s="242"/>
      <c r="C242" s="240"/>
      <c r="D242" s="263"/>
      <c r="E242" s="242"/>
      <c r="F242" s="242"/>
      <c r="G242" s="242"/>
      <c r="L242" s="242"/>
      <c r="M242" s="240"/>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42"/>
    </row>
    <row r="243" spans="1:39" ht="18" customHeight="1" x14ac:dyDescent="0.15">
      <c r="A243" s="240"/>
      <c r="B243" s="242"/>
      <c r="C243" s="240"/>
      <c r="D243" s="263"/>
      <c r="E243" s="242"/>
      <c r="F243" s="242"/>
      <c r="G243" s="242"/>
      <c r="L243" s="242"/>
      <c r="M243" s="240"/>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42"/>
    </row>
    <row r="244" spans="1:39" ht="18" customHeight="1" x14ac:dyDescent="0.15">
      <c r="A244" s="240"/>
      <c r="B244" s="242"/>
      <c r="C244" s="240"/>
      <c r="D244" s="263"/>
      <c r="E244" s="242"/>
      <c r="F244" s="242"/>
      <c r="G244" s="242"/>
      <c r="L244" s="242"/>
      <c r="M244" s="240"/>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42"/>
    </row>
    <row r="245" spans="1:39" ht="18" customHeight="1" x14ac:dyDescent="0.15">
      <c r="A245" s="240"/>
      <c r="B245" s="242"/>
      <c r="C245" s="240"/>
      <c r="D245" s="263"/>
      <c r="E245" s="242"/>
      <c r="F245" s="242"/>
      <c r="G245" s="242"/>
      <c r="L245" s="242"/>
      <c r="M245" s="240"/>
      <c r="N245" s="263"/>
      <c r="O245" s="263"/>
      <c r="P245" s="263"/>
      <c r="Q245" s="263"/>
      <c r="R245" s="263"/>
      <c r="S245" s="263"/>
      <c r="T245" s="263"/>
      <c r="U245" s="263"/>
      <c r="V245" s="263"/>
      <c r="W245" s="263"/>
      <c r="X245" s="263"/>
      <c r="Y245" s="263"/>
      <c r="Z245" s="263"/>
      <c r="AA245" s="263"/>
      <c r="AB245" s="263"/>
      <c r="AC245" s="263"/>
      <c r="AD245" s="263"/>
      <c r="AE245" s="263"/>
      <c r="AF245" s="263"/>
      <c r="AG245" s="263"/>
      <c r="AH245" s="263"/>
      <c r="AI245" s="263"/>
      <c r="AJ245" s="263"/>
      <c r="AK245" s="263"/>
      <c r="AL245" s="263"/>
      <c r="AM245" s="242"/>
    </row>
    <row r="246" spans="1:39" ht="18" customHeight="1" x14ac:dyDescent="0.15">
      <c r="A246" s="240"/>
      <c r="B246" s="242"/>
      <c r="C246" s="240"/>
      <c r="D246" s="263"/>
      <c r="E246" s="242"/>
      <c r="F246" s="242"/>
      <c r="G246" s="242"/>
      <c r="L246" s="242"/>
      <c r="M246" s="240"/>
      <c r="N246" s="263"/>
      <c r="O246" s="263"/>
      <c r="P246" s="263"/>
      <c r="Q246" s="263"/>
      <c r="R246" s="263"/>
      <c r="S246" s="263"/>
      <c r="T246" s="263"/>
      <c r="U246" s="263"/>
      <c r="V246" s="263"/>
      <c r="W246" s="263"/>
      <c r="X246" s="263"/>
      <c r="Y246" s="263"/>
      <c r="Z246" s="263"/>
      <c r="AA246" s="263"/>
      <c r="AB246" s="263"/>
      <c r="AC246" s="263"/>
      <c r="AD246" s="263"/>
      <c r="AE246" s="263"/>
      <c r="AF246" s="263"/>
      <c r="AG246" s="263"/>
      <c r="AH246" s="263"/>
      <c r="AI246" s="263"/>
      <c r="AJ246" s="263"/>
      <c r="AK246" s="263"/>
      <c r="AL246" s="263"/>
      <c r="AM246" s="242"/>
    </row>
    <row r="247" spans="1:39" ht="18" customHeight="1" x14ac:dyDescent="0.15">
      <c r="A247" s="240"/>
      <c r="B247" s="242"/>
      <c r="C247" s="240"/>
      <c r="D247" s="263"/>
      <c r="E247" s="242"/>
      <c r="F247" s="242"/>
      <c r="G247" s="242"/>
      <c r="L247" s="242"/>
      <c r="M247" s="240"/>
      <c r="N247" s="263"/>
      <c r="O247" s="263"/>
      <c r="P247" s="263"/>
      <c r="Q247" s="263"/>
      <c r="R247" s="263"/>
      <c r="S247" s="263"/>
      <c r="T247" s="263"/>
      <c r="U247" s="263"/>
      <c r="V247" s="263"/>
      <c r="W247" s="263"/>
      <c r="X247" s="263"/>
      <c r="Y247" s="263"/>
      <c r="Z247" s="263"/>
      <c r="AA247" s="263"/>
      <c r="AB247" s="263"/>
      <c r="AC247" s="263"/>
      <c r="AD247" s="263"/>
      <c r="AE247" s="263"/>
      <c r="AF247" s="263"/>
      <c r="AG247" s="263"/>
      <c r="AH247" s="263"/>
      <c r="AI247" s="263"/>
      <c r="AJ247" s="263"/>
      <c r="AK247" s="263"/>
      <c r="AL247" s="263"/>
      <c r="AM247" s="242"/>
    </row>
    <row r="248" spans="1:39" ht="18" customHeight="1" x14ac:dyDescent="0.15">
      <c r="A248" s="240"/>
      <c r="B248" s="242"/>
      <c r="C248" s="240"/>
      <c r="D248" s="263"/>
      <c r="E248" s="242"/>
      <c r="F248" s="242"/>
      <c r="G248" s="242"/>
      <c r="L248" s="242"/>
      <c r="M248" s="240"/>
      <c r="N248" s="263"/>
      <c r="O248" s="263"/>
      <c r="P248" s="263"/>
      <c r="Q248" s="263"/>
      <c r="R248" s="263"/>
      <c r="S248" s="263"/>
      <c r="T248" s="263"/>
      <c r="U248" s="263"/>
      <c r="V248" s="263"/>
      <c r="W248" s="263"/>
      <c r="X248" s="263"/>
      <c r="Y248" s="263"/>
      <c r="Z248" s="263"/>
      <c r="AA248" s="263"/>
      <c r="AB248" s="263"/>
      <c r="AC248" s="263"/>
      <c r="AD248" s="263"/>
      <c r="AE248" s="263"/>
      <c r="AF248" s="263"/>
      <c r="AG248" s="263"/>
      <c r="AH248" s="263"/>
      <c r="AI248" s="263"/>
      <c r="AJ248" s="263"/>
      <c r="AK248" s="263"/>
      <c r="AL248" s="263"/>
      <c r="AM248" s="242"/>
    </row>
    <row r="249" spans="1:39" ht="18" customHeight="1" x14ac:dyDescent="0.15">
      <c r="A249" s="240"/>
      <c r="B249" s="242"/>
      <c r="C249" s="240"/>
      <c r="D249" s="263"/>
      <c r="E249" s="242"/>
      <c r="F249" s="242"/>
      <c r="G249" s="242"/>
      <c r="L249" s="242"/>
      <c r="M249" s="240"/>
      <c r="N249" s="263"/>
      <c r="O249" s="263"/>
      <c r="P249" s="263"/>
      <c r="Q249" s="263"/>
      <c r="R249" s="263"/>
      <c r="S249" s="263"/>
      <c r="T249" s="263"/>
      <c r="U249" s="263"/>
      <c r="V249" s="263"/>
      <c r="W249" s="263"/>
      <c r="X249" s="263"/>
      <c r="Y249" s="263"/>
      <c r="Z249" s="263"/>
      <c r="AA249" s="263"/>
      <c r="AB249" s="263"/>
      <c r="AC249" s="263"/>
      <c r="AD249" s="263"/>
      <c r="AE249" s="263"/>
      <c r="AF249" s="263"/>
      <c r="AG249" s="263"/>
      <c r="AH249" s="263"/>
      <c r="AI249" s="263"/>
      <c r="AJ249" s="263"/>
      <c r="AK249" s="263"/>
      <c r="AL249" s="263"/>
      <c r="AM249" s="242"/>
    </row>
    <row r="250" spans="1:39" ht="18" customHeight="1" x14ac:dyDescent="0.15">
      <c r="A250" s="240"/>
      <c r="B250" s="242"/>
      <c r="C250" s="240"/>
      <c r="D250" s="263"/>
      <c r="E250" s="242"/>
      <c r="F250" s="242"/>
      <c r="G250" s="242"/>
      <c r="L250" s="242"/>
      <c r="M250" s="240"/>
      <c r="N250" s="263"/>
      <c r="O250" s="263"/>
      <c r="P250" s="263"/>
      <c r="Q250" s="263"/>
      <c r="R250" s="263"/>
      <c r="S250" s="263"/>
      <c r="T250" s="263"/>
      <c r="U250" s="263"/>
      <c r="V250" s="263"/>
      <c r="W250" s="263"/>
      <c r="X250" s="263"/>
      <c r="Y250" s="263"/>
      <c r="Z250" s="263"/>
      <c r="AA250" s="263"/>
      <c r="AB250" s="263"/>
      <c r="AC250" s="263"/>
      <c r="AD250" s="263"/>
      <c r="AE250" s="263"/>
      <c r="AF250" s="263"/>
      <c r="AG250" s="263"/>
      <c r="AH250" s="263"/>
      <c r="AI250" s="263"/>
      <c r="AJ250" s="263"/>
      <c r="AK250" s="263"/>
      <c r="AL250" s="263"/>
      <c r="AM250" s="242"/>
    </row>
    <row r="251" spans="1:39" ht="18" customHeight="1" x14ac:dyDescent="0.15">
      <c r="A251" s="240"/>
      <c r="B251" s="242"/>
      <c r="C251" s="240"/>
      <c r="D251" s="263"/>
      <c r="E251" s="242"/>
      <c r="F251" s="242"/>
      <c r="G251" s="242"/>
      <c r="L251" s="242"/>
      <c r="M251" s="240"/>
      <c r="N251" s="263"/>
      <c r="O251" s="263"/>
      <c r="P251" s="263"/>
      <c r="Q251" s="263"/>
      <c r="R251" s="263"/>
      <c r="S251" s="263"/>
      <c r="T251" s="263"/>
      <c r="U251" s="263"/>
      <c r="V251" s="263"/>
      <c r="W251" s="263"/>
      <c r="X251" s="263"/>
      <c r="Y251" s="263"/>
      <c r="Z251" s="263"/>
      <c r="AA251" s="263"/>
      <c r="AB251" s="263"/>
      <c r="AC251" s="263"/>
      <c r="AD251" s="263"/>
      <c r="AE251" s="263"/>
      <c r="AF251" s="263"/>
      <c r="AG251" s="263"/>
      <c r="AH251" s="263"/>
      <c r="AI251" s="263"/>
      <c r="AJ251" s="263"/>
      <c r="AK251" s="263"/>
      <c r="AL251" s="263"/>
      <c r="AM251" s="242"/>
    </row>
    <row r="252" spans="1:39" ht="18" customHeight="1" x14ac:dyDescent="0.15">
      <c r="A252" s="240"/>
      <c r="B252" s="242"/>
      <c r="C252" s="240"/>
      <c r="D252" s="263"/>
      <c r="E252" s="242"/>
      <c r="F252" s="242"/>
      <c r="G252" s="242"/>
      <c r="L252" s="242"/>
      <c r="M252" s="240"/>
      <c r="N252" s="263"/>
      <c r="O252" s="263"/>
      <c r="P252" s="263"/>
      <c r="Q252" s="263"/>
      <c r="R252" s="263"/>
      <c r="S252" s="263"/>
      <c r="T252" s="263"/>
      <c r="U252" s="263"/>
      <c r="V252" s="263"/>
      <c r="W252" s="263"/>
      <c r="X252" s="263"/>
      <c r="Y252" s="263"/>
      <c r="Z252" s="263"/>
      <c r="AA252" s="263"/>
      <c r="AB252" s="263"/>
      <c r="AC252" s="263"/>
      <c r="AD252" s="263"/>
      <c r="AE252" s="263"/>
      <c r="AF252" s="263"/>
      <c r="AG252" s="263"/>
      <c r="AH252" s="263"/>
      <c r="AI252" s="263"/>
      <c r="AJ252" s="263"/>
      <c r="AK252" s="263"/>
      <c r="AL252" s="263"/>
      <c r="AM252" s="242"/>
    </row>
    <row r="253" spans="1:39" ht="18" customHeight="1" x14ac:dyDescent="0.15">
      <c r="A253" s="240"/>
      <c r="B253" s="242"/>
      <c r="C253" s="240"/>
      <c r="D253" s="263"/>
      <c r="E253" s="242"/>
      <c r="F253" s="242"/>
      <c r="G253" s="242"/>
      <c r="L253" s="242"/>
      <c r="M253" s="240"/>
      <c r="N253" s="263"/>
      <c r="O253" s="263"/>
      <c r="P253" s="263"/>
      <c r="Q253" s="263"/>
      <c r="R253" s="263"/>
      <c r="S253" s="263"/>
      <c r="T253" s="263"/>
      <c r="U253" s="263"/>
      <c r="V253" s="263"/>
      <c r="W253" s="263"/>
      <c r="X253" s="263"/>
      <c r="Y253" s="263"/>
      <c r="Z253" s="263"/>
      <c r="AA253" s="263"/>
      <c r="AB253" s="263"/>
      <c r="AC253" s="263"/>
      <c r="AD253" s="263"/>
      <c r="AE253" s="263"/>
      <c r="AF253" s="263"/>
      <c r="AG253" s="263"/>
      <c r="AH253" s="263"/>
      <c r="AI253" s="263"/>
      <c r="AJ253" s="263"/>
      <c r="AK253" s="263"/>
      <c r="AL253" s="263"/>
      <c r="AM253" s="242"/>
    </row>
    <row r="254" spans="1:39" ht="18" customHeight="1" x14ac:dyDescent="0.15">
      <c r="A254" s="240"/>
      <c r="B254" s="242"/>
      <c r="C254" s="240"/>
      <c r="D254" s="263"/>
      <c r="E254" s="242"/>
      <c r="F254" s="242"/>
      <c r="G254" s="242"/>
      <c r="L254" s="242"/>
      <c r="M254" s="240"/>
      <c r="N254" s="263"/>
      <c r="O254" s="263"/>
      <c r="P254" s="263"/>
      <c r="Q254" s="263"/>
      <c r="R254" s="263"/>
      <c r="S254" s="263"/>
      <c r="T254" s="263"/>
      <c r="U254" s="263"/>
      <c r="V254" s="263"/>
      <c r="W254" s="263"/>
      <c r="X254" s="263"/>
      <c r="Y254" s="263"/>
      <c r="Z254" s="263"/>
      <c r="AA254" s="263"/>
      <c r="AB254" s="263"/>
      <c r="AC254" s="263"/>
      <c r="AD254" s="263"/>
      <c r="AE254" s="263"/>
      <c r="AF254" s="263"/>
      <c r="AG254" s="263"/>
      <c r="AH254" s="263"/>
      <c r="AI254" s="263"/>
      <c r="AJ254" s="263"/>
      <c r="AK254" s="263"/>
      <c r="AL254" s="263"/>
      <c r="AM254" s="242"/>
    </row>
    <row r="255" spans="1:39" ht="18" customHeight="1" x14ac:dyDescent="0.15">
      <c r="A255" s="240"/>
      <c r="B255" s="242"/>
      <c r="C255" s="240"/>
      <c r="D255" s="263"/>
      <c r="E255" s="242"/>
      <c r="F255" s="242"/>
      <c r="G255" s="242"/>
      <c r="L255" s="242"/>
      <c r="M255" s="240"/>
      <c r="N255" s="263"/>
      <c r="O255" s="263"/>
      <c r="P255" s="263"/>
      <c r="Q255" s="263"/>
      <c r="R255" s="263"/>
      <c r="S255" s="263"/>
      <c r="T255" s="263"/>
      <c r="U255" s="263"/>
      <c r="V255" s="263"/>
      <c r="W255" s="263"/>
      <c r="X255" s="263"/>
      <c r="Y255" s="263"/>
      <c r="Z255" s="263"/>
      <c r="AA255" s="263"/>
      <c r="AB255" s="263"/>
      <c r="AC255" s="263"/>
      <c r="AD255" s="263"/>
      <c r="AE255" s="263"/>
      <c r="AF255" s="263"/>
      <c r="AG255" s="263"/>
      <c r="AH255" s="263"/>
      <c r="AI255" s="263"/>
      <c r="AJ255" s="263"/>
      <c r="AK255" s="263"/>
      <c r="AL255" s="263"/>
      <c r="AM255" s="242"/>
    </row>
    <row r="256" spans="1:39" ht="18" customHeight="1" x14ac:dyDescent="0.15">
      <c r="A256" s="240"/>
      <c r="B256" s="242"/>
      <c r="C256" s="240"/>
      <c r="D256" s="263"/>
      <c r="E256" s="242"/>
      <c r="F256" s="242"/>
      <c r="G256" s="242"/>
      <c r="L256" s="242"/>
      <c r="M256" s="240"/>
      <c r="N256" s="263"/>
      <c r="O256" s="263"/>
      <c r="P256" s="263"/>
      <c r="Q256" s="263"/>
      <c r="R256" s="263"/>
      <c r="S256" s="263"/>
      <c r="T256" s="263"/>
      <c r="U256" s="263"/>
      <c r="V256" s="263"/>
      <c r="W256" s="263"/>
      <c r="X256" s="263"/>
      <c r="Y256" s="263"/>
      <c r="Z256" s="263"/>
      <c r="AA256" s="263"/>
      <c r="AB256" s="263"/>
      <c r="AC256" s="263"/>
      <c r="AD256" s="263"/>
      <c r="AE256" s="263"/>
      <c r="AF256" s="263"/>
      <c r="AG256" s="263"/>
      <c r="AH256" s="263"/>
      <c r="AI256" s="263"/>
      <c r="AJ256" s="263"/>
      <c r="AK256" s="263"/>
      <c r="AL256" s="263"/>
      <c r="AM256" s="242"/>
    </row>
    <row r="257" spans="1:39" ht="18" customHeight="1" x14ac:dyDescent="0.15">
      <c r="A257" s="240"/>
      <c r="B257" s="242"/>
      <c r="C257" s="240"/>
      <c r="D257" s="263"/>
      <c r="E257" s="242"/>
      <c r="F257" s="242"/>
      <c r="G257" s="242"/>
      <c r="L257" s="242"/>
      <c r="M257" s="240"/>
      <c r="N257" s="263"/>
      <c r="O257" s="263"/>
      <c r="P257" s="263"/>
      <c r="Q257" s="263"/>
      <c r="R257" s="263"/>
      <c r="S257" s="263"/>
      <c r="T257" s="263"/>
      <c r="U257" s="263"/>
      <c r="V257" s="263"/>
      <c r="W257" s="263"/>
      <c r="X257" s="263"/>
      <c r="Y257" s="263"/>
      <c r="Z257" s="263"/>
      <c r="AA257" s="263"/>
      <c r="AB257" s="263"/>
      <c r="AC257" s="263"/>
      <c r="AD257" s="263"/>
      <c r="AE257" s="263"/>
      <c r="AF257" s="263"/>
      <c r="AG257" s="263"/>
      <c r="AH257" s="263"/>
      <c r="AI257" s="263"/>
      <c r="AJ257" s="263"/>
      <c r="AK257" s="263"/>
      <c r="AL257" s="263"/>
      <c r="AM257" s="242"/>
    </row>
    <row r="258" spans="1:39" ht="18" customHeight="1" x14ac:dyDescent="0.15">
      <c r="A258" s="240"/>
      <c r="B258" s="242"/>
      <c r="C258" s="240"/>
      <c r="D258" s="263"/>
      <c r="E258" s="242"/>
      <c r="F258" s="242"/>
      <c r="G258" s="242"/>
      <c r="L258" s="242"/>
      <c r="M258" s="240"/>
      <c r="N258" s="263"/>
      <c r="O258" s="263"/>
      <c r="P258" s="263"/>
      <c r="Q258" s="263"/>
      <c r="R258" s="263"/>
      <c r="S258" s="263"/>
      <c r="T258" s="263"/>
      <c r="U258" s="263"/>
      <c r="V258" s="263"/>
      <c r="W258" s="263"/>
      <c r="X258" s="263"/>
      <c r="Y258" s="263"/>
      <c r="Z258" s="263"/>
      <c r="AA258" s="263"/>
      <c r="AB258" s="263"/>
      <c r="AC258" s="263"/>
      <c r="AD258" s="263"/>
      <c r="AE258" s="263"/>
      <c r="AF258" s="263"/>
      <c r="AG258" s="263"/>
      <c r="AH258" s="263"/>
      <c r="AI258" s="263"/>
      <c r="AJ258" s="263"/>
      <c r="AK258" s="263"/>
      <c r="AL258" s="263"/>
      <c r="AM258" s="242"/>
    </row>
    <row r="259" spans="1:39" ht="18" customHeight="1" x14ac:dyDescent="0.15">
      <c r="A259" s="240"/>
      <c r="B259" s="242"/>
      <c r="C259" s="240"/>
      <c r="D259" s="263"/>
      <c r="E259" s="242"/>
      <c r="F259" s="242"/>
      <c r="G259" s="242"/>
      <c r="L259" s="242"/>
      <c r="M259" s="240"/>
      <c r="N259" s="263"/>
      <c r="O259" s="263"/>
      <c r="P259" s="263"/>
      <c r="Q259" s="263"/>
      <c r="R259" s="263"/>
      <c r="S259" s="263"/>
      <c r="T259" s="263"/>
      <c r="U259" s="263"/>
      <c r="V259" s="263"/>
      <c r="W259" s="263"/>
      <c r="X259" s="263"/>
      <c r="Y259" s="263"/>
      <c r="Z259" s="263"/>
      <c r="AA259" s="263"/>
      <c r="AB259" s="263"/>
      <c r="AC259" s="263"/>
      <c r="AD259" s="263"/>
      <c r="AE259" s="263"/>
      <c r="AF259" s="263"/>
      <c r="AG259" s="263"/>
      <c r="AH259" s="263"/>
      <c r="AI259" s="263"/>
      <c r="AJ259" s="263"/>
      <c r="AK259" s="263"/>
      <c r="AL259" s="263"/>
      <c r="AM259" s="242"/>
    </row>
    <row r="260" spans="1:39" ht="18" customHeight="1" x14ac:dyDescent="0.15">
      <c r="A260" s="240"/>
      <c r="B260" s="242"/>
      <c r="C260" s="240"/>
      <c r="D260" s="263"/>
      <c r="E260" s="242"/>
      <c r="F260" s="242"/>
      <c r="G260" s="242"/>
      <c r="L260" s="242"/>
      <c r="M260" s="240"/>
      <c r="N260" s="263"/>
      <c r="O260" s="263"/>
      <c r="P260" s="263"/>
      <c r="Q260" s="263"/>
      <c r="R260" s="263"/>
      <c r="S260" s="263"/>
      <c r="T260" s="263"/>
      <c r="U260" s="263"/>
      <c r="V260" s="263"/>
      <c r="W260" s="263"/>
      <c r="X260" s="263"/>
      <c r="Y260" s="263"/>
      <c r="Z260" s="263"/>
      <c r="AA260" s="263"/>
      <c r="AB260" s="263"/>
      <c r="AC260" s="263"/>
      <c r="AD260" s="263"/>
      <c r="AE260" s="263"/>
      <c r="AF260" s="263"/>
      <c r="AG260" s="263"/>
      <c r="AH260" s="263"/>
      <c r="AI260" s="263"/>
      <c r="AJ260" s="263"/>
      <c r="AK260" s="263"/>
      <c r="AL260" s="263"/>
      <c r="AM260" s="242"/>
    </row>
    <row r="261" spans="1:39" ht="18" customHeight="1" x14ac:dyDescent="0.15">
      <c r="A261" s="240"/>
      <c r="B261" s="242"/>
      <c r="C261" s="240"/>
      <c r="D261" s="263"/>
      <c r="E261" s="242"/>
      <c r="F261" s="242"/>
      <c r="G261" s="242"/>
      <c r="L261" s="242"/>
      <c r="M261" s="240"/>
      <c r="N261" s="263"/>
      <c r="O261" s="263"/>
      <c r="P261" s="263"/>
      <c r="Q261" s="263"/>
      <c r="R261" s="263"/>
      <c r="S261" s="263"/>
      <c r="T261" s="263"/>
      <c r="U261" s="263"/>
      <c r="V261" s="263"/>
      <c r="W261" s="263"/>
      <c r="X261" s="263"/>
      <c r="Y261" s="263"/>
      <c r="Z261" s="263"/>
      <c r="AA261" s="263"/>
      <c r="AB261" s="263"/>
      <c r="AC261" s="263"/>
      <c r="AD261" s="263"/>
      <c r="AE261" s="263"/>
      <c r="AF261" s="263"/>
      <c r="AG261" s="263"/>
      <c r="AH261" s="263"/>
      <c r="AI261" s="263"/>
      <c r="AJ261" s="263"/>
      <c r="AK261" s="263"/>
      <c r="AL261" s="263"/>
      <c r="AM261" s="242"/>
    </row>
    <row r="262" spans="1:39" ht="18" customHeight="1" x14ac:dyDescent="0.15">
      <c r="A262" s="240"/>
      <c r="B262" s="242"/>
      <c r="C262" s="240"/>
      <c r="D262" s="263"/>
      <c r="E262" s="242"/>
      <c r="F262" s="242"/>
      <c r="G262" s="242"/>
      <c r="L262" s="242"/>
      <c r="M262" s="240"/>
      <c r="N262" s="263"/>
      <c r="O262" s="263"/>
      <c r="P262" s="263"/>
      <c r="Q262" s="263"/>
      <c r="R262" s="263"/>
      <c r="S262" s="263"/>
      <c r="T262" s="263"/>
      <c r="U262" s="263"/>
      <c r="V262" s="263"/>
      <c r="W262" s="263"/>
      <c r="X262" s="263"/>
      <c r="Y262" s="263"/>
      <c r="Z262" s="263"/>
      <c r="AA262" s="263"/>
      <c r="AB262" s="263"/>
      <c r="AC262" s="263"/>
      <c r="AD262" s="263"/>
      <c r="AE262" s="263"/>
      <c r="AF262" s="263"/>
      <c r="AG262" s="263"/>
      <c r="AH262" s="263"/>
      <c r="AI262" s="263"/>
      <c r="AJ262" s="263"/>
      <c r="AK262" s="263"/>
      <c r="AL262" s="263"/>
      <c r="AM262" s="242"/>
    </row>
    <row r="263" spans="1:39" ht="18" customHeight="1" x14ac:dyDescent="0.15">
      <c r="A263" s="240"/>
      <c r="B263" s="242"/>
      <c r="C263" s="240"/>
      <c r="D263" s="263"/>
      <c r="E263" s="242"/>
      <c r="F263" s="242"/>
      <c r="G263" s="242"/>
      <c r="L263" s="242"/>
      <c r="M263" s="240"/>
      <c r="N263" s="263"/>
      <c r="O263" s="263"/>
      <c r="P263" s="263"/>
      <c r="Q263" s="263"/>
      <c r="R263" s="263"/>
      <c r="S263" s="263"/>
      <c r="T263" s="263"/>
      <c r="U263" s="263"/>
      <c r="V263" s="263"/>
      <c r="W263" s="263"/>
      <c r="X263" s="263"/>
      <c r="Y263" s="263"/>
      <c r="Z263" s="263"/>
      <c r="AA263" s="263"/>
      <c r="AB263" s="263"/>
      <c r="AC263" s="263"/>
      <c r="AD263" s="263"/>
      <c r="AE263" s="263"/>
      <c r="AF263" s="263"/>
      <c r="AG263" s="263"/>
      <c r="AH263" s="263"/>
      <c r="AI263" s="263"/>
      <c r="AJ263" s="263"/>
      <c r="AK263" s="263"/>
      <c r="AL263" s="263"/>
      <c r="AM263" s="242"/>
    </row>
    <row r="264" spans="1:39" ht="18" customHeight="1" x14ac:dyDescent="0.15">
      <c r="A264" s="240"/>
      <c r="B264" s="242"/>
      <c r="C264" s="240"/>
      <c r="D264" s="263"/>
      <c r="E264" s="242"/>
      <c r="F264" s="242"/>
      <c r="G264" s="242"/>
      <c r="L264" s="242"/>
      <c r="M264" s="240"/>
      <c r="N264" s="263"/>
      <c r="O264" s="263"/>
      <c r="P264" s="263"/>
      <c r="Q264" s="263"/>
      <c r="R264" s="263"/>
      <c r="S264" s="263"/>
      <c r="T264" s="263"/>
      <c r="U264" s="263"/>
      <c r="V264" s="263"/>
      <c r="W264" s="263"/>
      <c r="X264" s="263"/>
      <c r="Y264" s="263"/>
      <c r="Z264" s="263"/>
      <c r="AA264" s="263"/>
      <c r="AB264" s="263"/>
      <c r="AC264" s="263"/>
      <c r="AD264" s="263"/>
      <c r="AE264" s="263"/>
      <c r="AF264" s="263"/>
      <c r="AG264" s="263"/>
      <c r="AH264" s="263"/>
      <c r="AI264" s="263"/>
      <c r="AJ264" s="263"/>
      <c r="AK264" s="263"/>
      <c r="AL264" s="263"/>
      <c r="AM264" s="242"/>
    </row>
    <row r="265" spans="1:39" ht="18" customHeight="1" x14ac:dyDescent="0.15">
      <c r="A265" s="240"/>
      <c r="B265" s="242"/>
      <c r="C265" s="240"/>
      <c r="D265" s="263"/>
      <c r="E265" s="242"/>
      <c r="F265" s="242"/>
      <c r="G265" s="242"/>
      <c r="L265" s="242"/>
      <c r="M265" s="240"/>
      <c r="N265" s="263"/>
      <c r="O265" s="263"/>
      <c r="P265" s="263"/>
      <c r="Q265" s="263"/>
      <c r="R265" s="263"/>
      <c r="S265" s="263"/>
      <c r="T265" s="263"/>
      <c r="U265" s="263"/>
      <c r="V265" s="263"/>
      <c r="W265" s="263"/>
      <c r="X265" s="263"/>
      <c r="Y265" s="263"/>
      <c r="Z265" s="263"/>
      <c r="AA265" s="263"/>
      <c r="AB265" s="263"/>
      <c r="AC265" s="263"/>
      <c r="AD265" s="263"/>
      <c r="AE265" s="263"/>
      <c r="AF265" s="263"/>
      <c r="AG265" s="263"/>
      <c r="AH265" s="263"/>
      <c r="AI265" s="263"/>
      <c r="AJ265" s="263"/>
      <c r="AK265" s="263"/>
      <c r="AL265" s="263"/>
      <c r="AM265" s="242"/>
    </row>
    <row r="266" spans="1:39" ht="18" customHeight="1" x14ac:dyDescent="0.15">
      <c r="A266" s="240"/>
      <c r="B266" s="242"/>
      <c r="C266" s="240"/>
      <c r="D266" s="263"/>
      <c r="E266" s="242"/>
      <c r="F266" s="242"/>
      <c r="G266" s="242"/>
      <c r="L266" s="242"/>
      <c r="M266" s="240"/>
      <c r="N266" s="263"/>
      <c r="O266" s="263"/>
      <c r="P266" s="263"/>
      <c r="Q266" s="263"/>
      <c r="R266" s="263"/>
      <c r="S266" s="263"/>
      <c r="T266" s="263"/>
      <c r="U266" s="263"/>
      <c r="V266" s="263"/>
      <c r="W266" s="263"/>
      <c r="X266" s="263"/>
      <c r="Y266" s="263"/>
      <c r="Z266" s="263"/>
      <c r="AA266" s="263"/>
      <c r="AB266" s="263"/>
      <c r="AC266" s="263"/>
      <c r="AD266" s="263"/>
      <c r="AE266" s="263"/>
      <c r="AF266" s="263"/>
      <c r="AG266" s="263"/>
      <c r="AH266" s="263"/>
      <c r="AI266" s="263"/>
      <c r="AJ266" s="263"/>
      <c r="AK266" s="263"/>
      <c r="AL266" s="263"/>
      <c r="AM266" s="242"/>
    </row>
    <row r="267" spans="1:39" ht="18" customHeight="1" x14ac:dyDescent="0.15">
      <c r="A267" s="240"/>
      <c r="B267" s="242"/>
      <c r="C267" s="240"/>
      <c r="D267" s="263"/>
      <c r="E267" s="242"/>
      <c r="F267" s="242"/>
      <c r="G267" s="242"/>
      <c r="L267" s="242"/>
      <c r="M267" s="240"/>
      <c r="N267" s="263"/>
      <c r="O267" s="263"/>
      <c r="P267" s="263"/>
      <c r="Q267" s="263"/>
      <c r="R267" s="263"/>
      <c r="S267" s="263"/>
      <c r="T267" s="263"/>
      <c r="U267" s="263"/>
      <c r="V267" s="263"/>
      <c r="W267" s="263"/>
      <c r="X267" s="263"/>
      <c r="Y267" s="263"/>
      <c r="Z267" s="263"/>
      <c r="AA267" s="263"/>
      <c r="AB267" s="263"/>
      <c r="AC267" s="263"/>
      <c r="AD267" s="263"/>
      <c r="AE267" s="263"/>
      <c r="AF267" s="263"/>
      <c r="AG267" s="263"/>
      <c r="AH267" s="263"/>
      <c r="AI267" s="263"/>
      <c r="AJ267" s="263"/>
      <c r="AK267" s="263"/>
      <c r="AL267" s="263"/>
      <c r="AM267" s="242"/>
    </row>
    <row r="268" spans="1:39" ht="18" customHeight="1" x14ac:dyDescent="0.15">
      <c r="A268" s="240"/>
      <c r="B268" s="242"/>
      <c r="C268" s="240"/>
      <c r="D268" s="263"/>
      <c r="E268" s="242"/>
      <c r="F268" s="242"/>
      <c r="G268" s="242"/>
      <c r="L268" s="242"/>
      <c r="M268" s="240"/>
      <c r="N268" s="263"/>
      <c r="O268" s="263"/>
      <c r="P268" s="263"/>
      <c r="Q268" s="263"/>
      <c r="R268" s="263"/>
      <c r="S268" s="263"/>
      <c r="T268" s="263"/>
      <c r="U268" s="263"/>
      <c r="V268" s="263"/>
      <c r="W268" s="263"/>
      <c r="X268" s="263"/>
      <c r="Y268" s="263"/>
      <c r="Z268" s="263"/>
      <c r="AA268" s="263"/>
      <c r="AB268" s="263"/>
      <c r="AC268" s="263"/>
      <c r="AD268" s="263"/>
      <c r="AE268" s="263"/>
      <c r="AF268" s="263"/>
      <c r="AG268" s="263"/>
      <c r="AH268" s="263"/>
      <c r="AI268" s="263"/>
      <c r="AJ268" s="263"/>
      <c r="AK268" s="263"/>
      <c r="AL268" s="263"/>
      <c r="AM268" s="242"/>
    </row>
    <row r="269" spans="1:39" ht="18" customHeight="1" x14ac:dyDescent="0.15">
      <c r="A269" s="240"/>
      <c r="B269" s="242"/>
      <c r="C269" s="240"/>
      <c r="D269" s="263"/>
      <c r="E269" s="242"/>
      <c r="F269" s="242"/>
      <c r="G269" s="242"/>
      <c r="L269" s="242"/>
      <c r="M269" s="240"/>
      <c r="N269" s="263"/>
      <c r="O269" s="263"/>
      <c r="P269" s="263"/>
      <c r="Q269" s="263"/>
      <c r="R269" s="263"/>
      <c r="S269" s="263"/>
      <c r="T269" s="263"/>
      <c r="U269" s="263"/>
      <c r="V269" s="263"/>
      <c r="W269" s="263"/>
      <c r="X269" s="263"/>
      <c r="Y269" s="263"/>
      <c r="Z269" s="263"/>
      <c r="AA269" s="263"/>
      <c r="AB269" s="263"/>
      <c r="AC269" s="263"/>
      <c r="AD269" s="263"/>
      <c r="AE269" s="263"/>
      <c r="AF269" s="263"/>
      <c r="AG269" s="263"/>
      <c r="AH269" s="263"/>
      <c r="AI269" s="263"/>
      <c r="AJ269" s="263"/>
      <c r="AK269" s="263"/>
      <c r="AL269" s="263"/>
      <c r="AM269" s="242"/>
    </row>
    <row r="270" spans="1:39" ht="18" customHeight="1" x14ac:dyDescent="0.15">
      <c r="A270" s="240"/>
      <c r="B270" s="242"/>
      <c r="C270" s="240"/>
      <c r="D270" s="263"/>
      <c r="E270" s="242"/>
      <c r="F270" s="242"/>
      <c r="G270" s="242"/>
      <c r="L270" s="242"/>
      <c r="M270" s="240"/>
      <c r="N270" s="263"/>
      <c r="O270" s="263"/>
      <c r="P270" s="263"/>
      <c r="Q270" s="263"/>
      <c r="R270" s="263"/>
      <c r="S270" s="263"/>
      <c r="T270" s="263"/>
      <c r="U270" s="263"/>
      <c r="V270" s="263"/>
      <c r="W270" s="263"/>
      <c r="X270" s="263"/>
      <c r="Y270" s="263"/>
      <c r="Z270" s="263"/>
      <c r="AA270" s="263"/>
      <c r="AB270" s="263"/>
      <c r="AC270" s="263"/>
      <c r="AD270" s="263"/>
      <c r="AE270" s="263"/>
      <c r="AF270" s="263"/>
      <c r="AG270" s="263"/>
      <c r="AH270" s="263"/>
      <c r="AI270" s="263"/>
      <c r="AJ270" s="263"/>
      <c r="AK270" s="263"/>
      <c r="AL270" s="263"/>
      <c r="AM270" s="242"/>
    </row>
    <row r="271" spans="1:39" ht="18" customHeight="1" x14ac:dyDescent="0.15">
      <c r="A271" s="240"/>
      <c r="B271" s="242"/>
      <c r="C271" s="240"/>
      <c r="D271" s="263"/>
      <c r="E271" s="242"/>
      <c r="F271" s="242"/>
      <c r="G271" s="242"/>
      <c r="L271" s="242"/>
      <c r="M271" s="240"/>
      <c r="N271" s="263"/>
      <c r="O271" s="263"/>
      <c r="P271" s="263"/>
      <c r="Q271" s="263"/>
      <c r="R271" s="263"/>
      <c r="S271" s="263"/>
      <c r="T271" s="263"/>
      <c r="U271" s="263"/>
      <c r="V271" s="263"/>
      <c r="W271" s="263"/>
      <c r="X271" s="263"/>
      <c r="Y271" s="263"/>
      <c r="Z271" s="263"/>
      <c r="AA271" s="263"/>
      <c r="AB271" s="263"/>
      <c r="AC271" s="263"/>
      <c r="AD271" s="263"/>
      <c r="AE271" s="263"/>
      <c r="AF271" s="263"/>
      <c r="AG271" s="263"/>
      <c r="AH271" s="263"/>
      <c r="AI271" s="263"/>
      <c r="AJ271" s="263"/>
      <c r="AK271" s="263"/>
      <c r="AL271" s="263"/>
      <c r="AM271" s="242"/>
    </row>
    <row r="272" spans="1:39" ht="18" customHeight="1" x14ac:dyDescent="0.15">
      <c r="A272" s="240"/>
      <c r="B272" s="242"/>
      <c r="C272" s="240"/>
      <c r="D272" s="263"/>
      <c r="E272" s="242"/>
      <c r="F272" s="242"/>
      <c r="G272" s="242"/>
      <c r="L272" s="242"/>
      <c r="M272" s="240"/>
      <c r="N272" s="263"/>
      <c r="O272" s="263"/>
      <c r="P272" s="263"/>
      <c r="Q272" s="263"/>
      <c r="R272" s="263"/>
      <c r="S272" s="263"/>
      <c r="T272" s="263"/>
      <c r="U272" s="263"/>
      <c r="V272" s="263"/>
      <c r="W272" s="263"/>
      <c r="X272" s="263"/>
      <c r="Y272" s="263"/>
      <c r="Z272" s="263"/>
      <c r="AA272" s="263"/>
      <c r="AB272" s="263"/>
      <c r="AC272" s="263"/>
      <c r="AD272" s="263"/>
      <c r="AE272" s="263"/>
      <c r="AF272" s="263"/>
      <c r="AG272" s="263"/>
      <c r="AH272" s="263"/>
      <c r="AI272" s="263"/>
      <c r="AJ272" s="263"/>
      <c r="AK272" s="263"/>
      <c r="AL272" s="263"/>
      <c r="AM272" s="242"/>
    </row>
    <row r="273" spans="1:39" ht="18" customHeight="1" x14ac:dyDescent="0.15">
      <c r="A273" s="240"/>
      <c r="B273" s="242"/>
      <c r="C273" s="240"/>
      <c r="D273" s="263"/>
      <c r="E273" s="242"/>
      <c r="F273" s="242"/>
      <c r="G273" s="242"/>
      <c r="L273" s="242"/>
      <c r="M273" s="240"/>
      <c r="N273" s="263"/>
      <c r="O273" s="263"/>
      <c r="P273" s="263"/>
      <c r="Q273" s="263"/>
      <c r="R273" s="263"/>
      <c r="S273" s="263"/>
      <c r="T273" s="263"/>
      <c r="U273" s="263"/>
      <c r="V273" s="263"/>
      <c r="W273" s="263"/>
      <c r="X273" s="263"/>
      <c r="Y273" s="263"/>
      <c r="Z273" s="263"/>
      <c r="AA273" s="263"/>
      <c r="AB273" s="263"/>
      <c r="AC273" s="263"/>
      <c r="AD273" s="263"/>
      <c r="AE273" s="263"/>
      <c r="AF273" s="263"/>
      <c r="AG273" s="263"/>
      <c r="AH273" s="263"/>
      <c r="AI273" s="263"/>
      <c r="AJ273" s="263"/>
      <c r="AK273" s="263"/>
      <c r="AL273" s="263"/>
      <c r="AM273" s="242"/>
    </row>
    <row r="274" spans="1:39" ht="18" customHeight="1" x14ac:dyDescent="0.15">
      <c r="A274" s="240"/>
      <c r="B274" s="242"/>
      <c r="C274" s="240"/>
      <c r="D274" s="263"/>
      <c r="E274" s="242"/>
      <c r="F274" s="242"/>
      <c r="G274" s="242"/>
      <c r="L274" s="242"/>
      <c r="M274" s="240"/>
      <c r="N274" s="263"/>
      <c r="O274" s="263"/>
      <c r="P274" s="263"/>
      <c r="Q274" s="263"/>
      <c r="R274" s="263"/>
      <c r="S274" s="263"/>
      <c r="T274" s="263"/>
      <c r="U274" s="263"/>
      <c r="V274" s="263"/>
      <c r="W274" s="263"/>
      <c r="X274" s="263"/>
      <c r="Y274" s="263"/>
      <c r="Z274" s="263"/>
      <c r="AA274" s="263"/>
      <c r="AB274" s="263"/>
      <c r="AC274" s="263"/>
      <c r="AD274" s="263"/>
      <c r="AE274" s="263"/>
      <c r="AF274" s="263"/>
      <c r="AG274" s="263"/>
      <c r="AH274" s="263"/>
      <c r="AI274" s="263"/>
      <c r="AJ274" s="263"/>
      <c r="AK274" s="263"/>
      <c r="AL274" s="263"/>
      <c r="AM274" s="242"/>
    </row>
    <row r="275" spans="1:39" ht="18" customHeight="1" x14ac:dyDescent="0.15">
      <c r="A275" s="240"/>
      <c r="B275" s="242"/>
      <c r="C275" s="240"/>
      <c r="D275" s="263"/>
      <c r="E275" s="242"/>
      <c r="F275" s="242"/>
      <c r="G275" s="242"/>
      <c r="L275" s="242"/>
      <c r="M275" s="240"/>
      <c r="N275" s="263"/>
      <c r="O275" s="263"/>
      <c r="P275" s="263"/>
      <c r="Q275" s="263"/>
      <c r="R275" s="263"/>
      <c r="S275" s="263"/>
      <c r="T275" s="263"/>
      <c r="U275" s="263"/>
      <c r="V275" s="263"/>
      <c r="W275" s="263"/>
      <c r="X275" s="263"/>
      <c r="Y275" s="263"/>
      <c r="Z275" s="263"/>
      <c r="AA275" s="263"/>
      <c r="AB275" s="263"/>
      <c r="AC275" s="263"/>
      <c r="AD275" s="263"/>
      <c r="AE275" s="263"/>
      <c r="AF275" s="263"/>
      <c r="AG275" s="263"/>
      <c r="AH275" s="263"/>
      <c r="AI275" s="263"/>
      <c r="AJ275" s="263"/>
      <c r="AK275" s="263"/>
      <c r="AL275" s="263"/>
      <c r="AM275" s="242"/>
    </row>
    <row r="276" spans="1:39" ht="18" customHeight="1" x14ac:dyDescent="0.15">
      <c r="A276" s="240"/>
      <c r="B276" s="242"/>
      <c r="C276" s="240"/>
      <c r="D276" s="263"/>
      <c r="E276" s="242"/>
      <c r="F276" s="242"/>
      <c r="G276" s="242"/>
      <c r="L276" s="242"/>
      <c r="M276" s="240"/>
      <c r="N276" s="263"/>
      <c r="O276" s="263"/>
      <c r="P276" s="263"/>
      <c r="Q276" s="263"/>
      <c r="R276" s="263"/>
      <c r="S276" s="263"/>
      <c r="T276" s="263"/>
      <c r="U276" s="263"/>
      <c r="V276" s="263"/>
      <c r="W276" s="263"/>
      <c r="X276" s="263"/>
      <c r="Y276" s="263"/>
      <c r="Z276" s="263"/>
      <c r="AA276" s="263"/>
      <c r="AB276" s="263"/>
      <c r="AC276" s="263"/>
      <c r="AD276" s="263"/>
      <c r="AE276" s="263"/>
      <c r="AF276" s="263"/>
      <c r="AG276" s="263"/>
      <c r="AH276" s="263"/>
      <c r="AI276" s="263"/>
      <c r="AJ276" s="263"/>
      <c r="AK276" s="263"/>
      <c r="AL276" s="263"/>
      <c r="AM276" s="242"/>
    </row>
    <row r="277" spans="1:39" ht="18" customHeight="1" x14ac:dyDescent="0.15">
      <c r="A277" s="240"/>
      <c r="B277" s="242"/>
      <c r="C277" s="240"/>
      <c r="D277" s="263"/>
      <c r="E277" s="242"/>
      <c r="F277" s="242"/>
      <c r="G277" s="242"/>
      <c r="L277" s="242"/>
      <c r="M277" s="240"/>
      <c r="N277" s="263"/>
      <c r="O277" s="263"/>
      <c r="P277" s="263"/>
      <c r="Q277" s="263"/>
      <c r="R277" s="263"/>
      <c r="S277" s="263"/>
      <c r="T277" s="263"/>
      <c r="U277" s="263"/>
      <c r="V277" s="263"/>
      <c r="W277" s="263"/>
      <c r="X277" s="263"/>
      <c r="Y277" s="263"/>
      <c r="Z277" s="263"/>
      <c r="AA277" s="263"/>
      <c r="AB277" s="263"/>
      <c r="AC277" s="263"/>
      <c r="AD277" s="263"/>
      <c r="AE277" s="263"/>
      <c r="AF277" s="263"/>
      <c r="AG277" s="263"/>
      <c r="AH277" s="263"/>
      <c r="AI277" s="263"/>
      <c r="AJ277" s="263"/>
      <c r="AK277" s="263"/>
      <c r="AL277" s="263"/>
      <c r="AM277" s="242"/>
    </row>
    <row r="278" spans="1:39" ht="18" customHeight="1" x14ac:dyDescent="0.15">
      <c r="A278" s="240"/>
      <c r="B278" s="242"/>
      <c r="C278" s="240"/>
      <c r="D278" s="263"/>
      <c r="E278" s="242"/>
      <c r="F278" s="242"/>
      <c r="G278" s="242"/>
      <c r="L278" s="242"/>
      <c r="M278" s="240"/>
      <c r="N278" s="263"/>
      <c r="O278" s="263"/>
      <c r="P278" s="263"/>
      <c r="Q278" s="263"/>
      <c r="R278" s="263"/>
      <c r="S278" s="263"/>
      <c r="T278" s="263"/>
      <c r="U278" s="263"/>
      <c r="V278" s="263"/>
      <c r="W278" s="263"/>
      <c r="X278" s="263"/>
      <c r="Y278" s="263"/>
      <c r="Z278" s="263"/>
      <c r="AA278" s="263"/>
      <c r="AB278" s="263"/>
      <c r="AC278" s="263"/>
      <c r="AD278" s="263"/>
      <c r="AE278" s="263"/>
      <c r="AF278" s="263"/>
      <c r="AG278" s="263"/>
      <c r="AH278" s="263"/>
      <c r="AI278" s="263"/>
      <c r="AJ278" s="263"/>
      <c r="AK278" s="263"/>
      <c r="AL278" s="263"/>
      <c r="AM278" s="242"/>
    </row>
    <row r="279" spans="1:39" ht="18" customHeight="1" x14ac:dyDescent="0.15">
      <c r="A279" s="240"/>
      <c r="B279" s="242"/>
      <c r="C279" s="240"/>
      <c r="D279" s="263"/>
      <c r="E279" s="242"/>
      <c r="F279" s="242"/>
      <c r="G279" s="242"/>
      <c r="L279" s="242"/>
      <c r="M279" s="240"/>
      <c r="N279" s="263"/>
      <c r="O279" s="263"/>
      <c r="P279" s="263"/>
      <c r="Q279" s="263"/>
      <c r="R279" s="263"/>
      <c r="S279" s="263"/>
      <c r="T279" s="263"/>
      <c r="U279" s="263"/>
      <c r="V279" s="263"/>
      <c r="W279" s="263"/>
      <c r="X279" s="263"/>
      <c r="Y279" s="263"/>
      <c r="Z279" s="263"/>
      <c r="AA279" s="263"/>
      <c r="AB279" s="263"/>
      <c r="AC279" s="263"/>
      <c r="AD279" s="263"/>
      <c r="AE279" s="263"/>
      <c r="AF279" s="263"/>
      <c r="AG279" s="263"/>
      <c r="AH279" s="263"/>
      <c r="AI279" s="263"/>
      <c r="AJ279" s="263"/>
      <c r="AK279" s="263"/>
      <c r="AL279" s="263"/>
      <c r="AM279" s="242"/>
    </row>
    <row r="280" spans="1:39" ht="18" customHeight="1" x14ac:dyDescent="0.15">
      <c r="A280" s="240"/>
      <c r="B280" s="242"/>
      <c r="C280" s="240"/>
      <c r="D280" s="263"/>
      <c r="E280" s="242"/>
      <c r="F280" s="242"/>
      <c r="G280" s="242"/>
      <c r="L280" s="242"/>
      <c r="M280" s="240"/>
      <c r="N280" s="263"/>
      <c r="O280" s="263"/>
      <c r="P280" s="263"/>
      <c r="Q280" s="263"/>
      <c r="R280" s="263"/>
      <c r="S280" s="263"/>
      <c r="T280" s="263"/>
      <c r="U280" s="263"/>
      <c r="V280" s="263"/>
      <c r="W280" s="263"/>
      <c r="X280" s="263"/>
      <c r="Y280" s="263"/>
      <c r="Z280" s="263"/>
      <c r="AA280" s="263"/>
      <c r="AB280" s="263"/>
      <c r="AC280" s="263"/>
      <c r="AD280" s="263"/>
      <c r="AE280" s="263"/>
      <c r="AF280" s="263"/>
      <c r="AG280" s="263"/>
      <c r="AH280" s="263"/>
      <c r="AI280" s="263"/>
      <c r="AJ280" s="263"/>
      <c r="AK280" s="263"/>
      <c r="AL280" s="263"/>
      <c r="AM280" s="242"/>
    </row>
    <row r="281" spans="1:39" ht="18" customHeight="1" x14ac:dyDescent="0.15">
      <c r="A281" s="240"/>
      <c r="B281" s="242"/>
      <c r="C281" s="240"/>
      <c r="D281" s="263"/>
      <c r="E281" s="242"/>
      <c r="F281" s="242"/>
      <c r="G281" s="242"/>
      <c r="L281" s="242"/>
      <c r="M281" s="240"/>
      <c r="N281" s="263"/>
      <c r="O281" s="263"/>
      <c r="P281" s="263"/>
      <c r="Q281" s="263"/>
      <c r="R281" s="263"/>
      <c r="S281" s="263"/>
      <c r="T281" s="263"/>
      <c r="U281" s="263"/>
      <c r="V281" s="263"/>
      <c r="W281" s="263"/>
      <c r="X281" s="263"/>
      <c r="Y281" s="263"/>
      <c r="Z281" s="263"/>
      <c r="AA281" s="263"/>
      <c r="AB281" s="263"/>
      <c r="AC281" s="263"/>
      <c r="AD281" s="263"/>
      <c r="AE281" s="263"/>
      <c r="AF281" s="263"/>
      <c r="AG281" s="263"/>
      <c r="AH281" s="263"/>
      <c r="AI281" s="263"/>
      <c r="AJ281" s="263"/>
      <c r="AK281" s="263"/>
      <c r="AL281" s="263"/>
      <c r="AM281" s="242"/>
    </row>
    <row r="282" spans="1:39" ht="18" customHeight="1" x14ac:dyDescent="0.15">
      <c r="A282" s="240"/>
      <c r="B282" s="242"/>
      <c r="C282" s="240"/>
      <c r="D282" s="263"/>
      <c r="E282" s="242"/>
      <c r="F282" s="242"/>
      <c r="G282" s="242"/>
      <c r="L282" s="242"/>
      <c r="M282" s="240"/>
      <c r="N282" s="263"/>
      <c r="O282" s="263"/>
      <c r="P282" s="263"/>
      <c r="Q282" s="263"/>
      <c r="R282" s="263"/>
      <c r="S282" s="263"/>
      <c r="T282" s="263"/>
      <c r="U282" s="263"/>
      <c r="V282" s="263"/>
      <c r="W282" s="263"/>
      <c r="X282" s="263"/>
      <c r="Y282" s="263"/>
      <c r="Z282" s="263"/>
      <c r="AA282" s="263"/>
      <c r="AB282" s="263"/>
      <c r="AC282" s="263"/>
      <c r="AD282" s="263"/>
      <c r="AE282" s="263"/>
      <c r="AF282" s="263"/>
      <c r="AG282" s="263"/>
      <c r="AH282" s="263"/>
      <c r="AI282" s="263"/>
      <c r="AJ282" s="263"/>
      <c r="AK282" s="263"/>
      <c r="AL282" s="263"/>
      <c r="AM282" s="242"/>
    </row>
    <row r="283" spans="1:39" ht="18" customHeight="1" x14ac:dyDescent="0.15">
      <c r="A283" s="240"/>
      <c r="B283" s="242"/>
      <c r="C283" s="240"/>
      <c r="D283" s="263"/>
      <c r="E283" s="242"/>
      <c r="F283" s="242"/>
      <c r="G283" s="242"/>
      <c r="L283" s="242"/>
      <c r="M283" s="240"/>
      <c r="N283" s="263"/>
      <c r="O283" s="263"/>
      <c r="P283" s="263"/>
      <c r="Q283" s="263"/>
      <c r="R283" s="263"/>
      <c r="S283" s="263"/>
      <c r="T283" s="263"/>
      <c r="U283" s="263"/>
      <c r="V283" s="263"/>
      <c r="W283" s="263"/>
      <c r="X283" s="263"/>
      <c r="Y283" s="263"/>
      <c r="Z283" s="263"/>
      <c r="AA283" s="263"/>
      <c r="AB283" s="263"/>
      <c r="AC283" s="263"/>
      <c r="AD283" s="263"/>
      <c r="AE283" s="263"/>
      <c r="AF283" s="263"/>
      <c r="AG283" s="263"/>
      <c r="AH283" s="263"/>
      <c r="AI283" s="263"/>
      <c r="AJ283" s="263"/>
      <c r="AK283" s="263"/>
      <c r="AL283" s="263"/>
      <c r="AM283" s="242"/>
    </row>
    <row r="284" spans="1:39" ht="18" customHeight="1" x14ac:dyDescent="0.15">
      <c r="A284" s="240"/>
      <c r="B284" s="242"/>
      <c r="C284" s="240"/>
      <c r="D284" s="263"/>
      <c r="E284" s="242"/>
      <c r="F284" s="242"/>
      <c r="G284" s="242"/>
      <c r="L284" s="242"/>
      <c r="M284" s="240"/>
      <c r="N284" s="263"/>
      <c r="O284" s="263"/>
      <c r="P284" s="263"/>
      <c r="Q284" s="263"/>
      <c r="R284" s="263"/>
      <c r="S284" s="263"/>
      <c r="T284" s="263"/>
      <c r="U284" s="263"/>
      <c r="V284" s="263"/>
      <c r="W284" s="263"/>
      <c r="X284" s="263"/>
      <c r="Y284" s="263"/>
      <c r="Z284" s="263"/>
      <c r="AA284" s="263"/>
      <c r="AB284" s="263"/>
      <c r="AC284" s="263"/>
      <c r="AD284" s="263"/>
      <c r="AE284" s="263"/>
      <c r="AF284" s="263"/>
      <c r="AG284" s="263"/>
      <c r="AH284" s="263"/>
      <c r="AI284" s="263"/>
      <c r="AJ284" s="263"/>
      <c r="AK284" s="263"/>
      <c r="AL284" s="263"/>
      <c r="AM284" s="242"/>
    </row>
    <row r="285" spans="1:39" ht="18" customHeight="1" x14ac:dyDescent="0.15">
      <c r="A285" s="240"/>
      <c r="B285" s="242"/>
      <c r="C285" s="240"/>
      <c r="D285" s="263"/>
      <c r="E285" s="242"/>
      <c r="F285" s="242"/>
      <c r="G285" s="242"/>
      <c r="L285" s="242"/>
      <c r="M285" s="240"/>
      <c r="N285" s="263"/>
      <c r="O285" s="263"/>
      <c r="P285" s="263"/>
      <c r="Q285" s="263"/>
      <c r="R285" s="263"/>
      <c r="S285" s="263"/>
      <c r="T285" s="263"/>
      <c r="U285" s="263"/>
      <c r="V285" s="263"/>
      <c r="W285" s="263"/>
      <c r="X285" s="263"/>
      <c r="Y285" s="263"/>
      <c r="Z285" s="263"/>
      <c r="AA285" s="263"/>
      <c r="AB285" s="263"/>
      <c r="AC285" s="263"/>
      <c r="AD285" s="263"/>
      <c r="AE285" s="263"/>
      <c r="AF285" s="263"/>
      <c r="AG285" s="263"/>
      <c r="AH285" s="263"/>
      <c r="AI285" s="263"/>
      <c r="AJ285" s="263"/>
      <c r="AK285" s="263"/>
      <c r="AL285" s="263"/>
      <c r="AM285" s="242"/>
    </row>
    <row r="286" spans="1:39" ht="18" customHeight="1" x14ac:dyDescent="0.15">
      <c r="A286" s="240"/>
      <c r="B286" s="242"/>
      <c r="C286" s="240"/>
      <c r="D286" s="263"/>
      <c r="E286" s="242"/>
      <c r="F286" s="242"/>
      <c r="G286" s="242"/>
      <c r="L286" s="242"/>
      <c r="M286" s="240"/>
      <c r="N286" s="263"/>
      <c r="O286" s="263"/>
      <c r="P286" s="263"/>
      <c r="Q286" s="263"/>
      <c r="R286" s="263"/>
      <c r="S286" s="263"/>
      <c r="T286" s="263"/>
      <c r="U286" s="263"/>
      <c r="V286" s="263"/>
      <c r="W286" s="263"/>
      <c r="X286" s="263"/>
      <c r="Y286" s="263"/>
      <c r="Z286" s="263"/>
      <c r="AA286" s="263"/>
      <c r="AB286" s="263"/>
      <c r="AC286" s="263"/>
      <c r="AD286" s="263"/>
      <c r="AE286" s="263"/>
      <c r="AF286" s="263"/>
      <c r="AG286" s="263"/>
      <c r="AH286" s="263"/>
      <c r="AI286" s="263"/>
      <c r="AJ286" s="263"/>
      <c r="AK286" s="263"/>
      <c r="AL286" s="263"/>
      <c r="AM286" s="242"/>
    </row>
    <row r="287" spans="1:39" ht="18" customHeight="1" x14ac:dyDescent="0.15">
      <c r="A287" s="240"/>
      <c r="B287" s="242"/>
      <c r="C287" s="240"/>
      <c r="D287" s="263"/>
      <c r="E287" s="242"/>
      <c r="F287" s="242"/>
      <c r="G287" s="242"/>
      <c r="L287" s="242"/>
      <c r="M287" s="240"/>
      <c r="N287" s="263"/>
      <c r="O287" s="263"/>
      <c r="P287" s="263"/>
      <c r="Q287" s="263"/>
      <c r="R287" s="263"/>
      <c r="S287" s="263"/>
      <c r="T287" s="263"/>
      <c r="U287" s="263"/>
      <c r="V287" s="263"/>
      <c r="W287" s="263"/>
      <c r="X287" s="263"/>
      <c r="Y287" s="263"/>
      <c r="Z287" s="263"/>
      <c r="AA287" s="263"/>
      <c r="AB287" s="263"/>
      <c r="AC287" s="263"/>
      <c r="AD287" s="263"/>
      <c r="AE287" s="263"/>
      <c r="AF287" s="263"/>
      <c r="AG287" s="263"/>
      <c r="AH287" s="263"/>
      <c r="AI287" s="263"/>
      <c r="AJ287" s="263"/>
      <c r="AK287" s="263"/>
      <c r="AL287" s="263"/>
      <c r="AM287" s="242"/>
    </row>
    <row r="288" spans="1:39" ht="18" customHeight="1" x14ac:dyDescent="0.15">
      <c r="A288" s="240"/>
      <c r="B288" s="242"/>
      <c r="C288" s="240"/>
      <c r="D288" s="263"/>
      <c r="E288" s="242"/>
      <c r="F288" s="242"/>
      <c r="G288" s="242"/>
      <c r="L288" s="242"/>
      <c r="M288" s="240"/>
      <c r="N288" s="263"/>
      <c r="O288" s="263"/>
      <c r="P288" s="263"/>
      <c r="Q288" s="263"/>
      <c r="R288" s="263"/>
      <c r="S288" s="263"/>
      <c r="T288" s="263"/>
      <c r="U288" s="263"/>
      <c r="V288" s="263"/>
      <c r="W288" s="263"/>
      <c r="X288" s="263"/>
      <c r="Y288" s="263"/>
      <c r="Z288" s="263"/>
      <c r="AA288" s="263"/>
      <c r="AB288" s="263"/>
      <c r="AC288" s="263"/>
      <c r="AD288" s="263"/>
      <c r="AE288" s="263"/>
      <c r="AF288" s="263"/>
      <c r="AG288" s="263"/>
      <c r="AH288" s="263"/>
      <c r="AI288" s="263"/>
      <c r="AJ288" s="263"/>
      <c r="AK288" s="263"/>
      <c r="AL288" s="263"/>
      <c r="AM288" s="242"/>
    </row>
    <row r="289" spans="1:39" ht="18" customHeight="1" x14ac:dyDescent="0.15">
      <c r="A289" s="240"/>
      <c r="B289" s="242"/>
      <c r="C289" s="240"/>
      <c r="D289" s="263"/>
      <c r="E289" s="242"/>
      <c r="F289" s="242"/>
      <c r="G289" s="242"/>
      <c r="L289" s="242"/>
      <c r="M289" s="240"/>
      <c r="N289" s="263"/>
      <c r="O289" s="263"/>
      <c r="P289" s="263"/>
      <c r="Q289" s="263"/>
      <c r="R289" s="263"/>
      <c r="S289" s="263"/>
      <c r="T289" s="263"/>
      <c r="U289" s="263"/>
      <c r="V289" s="263"/>
      <c r="W289" s="263"/>
      <c r="X289" s="263"/>
      <c r="Y289" s="263"/>
      <c r="Z289" s="263"/>
      <c r="AA289" s="263"/>
      <c r="AB289" s="263"/>
      <c r="AC289" s="263"/>
      <c r="AD289" s="263"/>
      <c r="AE289" s="263"/>
      <c r="AF289" s="263"/>
      <c r="AG289" s="263"/>
      <c r="AH289" s="263"/>
      <c r="AI289" s="263"/>
      <c r="AJ289" s="263"/>
      <c r="AK289" s="263"/>
      <c r="AL289" s="263"/>
      <c r="AM289" s="242"/>
    </row>
    <row r="290" spans="1:39" ht="18" customHeight="1" x14ac:dyDescent="0.15">
      <c r="A290" s="240"/>
      <c r="B290" s="242"/>
      <c r="C290" s="240"/>
      <c r="D290" s="263"/>
      <c r="E290" s="242"/>
      <c r="F290" s="242"/>
      <c r="G290" s="242"/>
      <c r="L290" s="242"/>
      <c r="M290" s="240"/>
      <c r="N290" s="263"/>
      <c r="O290" s="263"/>
      <c r="P290" s="263"/>
      <c r="Q290" s="263"/>
      <c r="R290" s="263"/>
      <c r="S290" s="263"/>
      <c r="T290" s="263"/>
      <c r="U290" s="263"/>
      <c r="V290" s="263"/>
      <c r="W290" s="263"/>
      <c r="X290" s="263"/>
      <c r="Y290" s="263"/>
      <c r="Z290" s="263"/>
      <c r="AA290" s="263"/>
      <c r="AB290" s="263"/>
      <c r="AC290" s="263"/>
      <c r="AD290" s="263"/>
      <c r="AE290" s="263"/>
      <c r="AF290" s="263"/>
      <c r="AG290" s="263"/>
      <c r="AH290" s="263"/>
      <c r="AI290" s="263"/>
      <c r="AJ290" s="263"/>
      <c r="AK290" s="263"/>
      <c r="AL290" s="263"/>
      <c r="AM290" s="242"/>
    </row>
    <row r="291" spans="1:39" ht="18" customHeight="1" x14ac:dyDescent="0.15">
      <c r="A291" s="240"/>
      <c r="B291" s="242"/>
      <c r="C291" s="240"/>
      <c r="D291" s="263"/>
      <c r="E291" s="242"/>
      <c r="F291" s="242"/>
      <c r="G291" s="242"/>
      <c r="L291" s="242"/>
      <c r="M291" s="240"/>
      <c r="N291" s="263"/>
      <c r="O291" s="263"/>
      <c r="P291" s="263"/>
      <c r="Q291" s="263"/>
      <c r="R291" s="263"/>
      <c r="S291" s="263"/>
      <c r="T291" s="263"/>
      <c r="U291" s="263"/>
      <c r="V291" s="263"/>
      <c r="W291" s="263"/>
      <c r="X291" s="263"/>
      <c r="Y291" s="263"/>
      <c r="Z291" s="263"/>
      <c r="AA291" s="263"/>
      <c r="AB291" s="263"/>
      <c r="AC291" s="263"/>
      <c r="AD291" s="263"/>
      <c r="AE291" s="263"/>
      <c r="AF291" s="263"/>
      <c r="AG291" s="263"/>
      <c r="AH291" s="263"/>
      <c r="AI291" s="263"/>
      <c r="AJ291" s="263"/>
      <c r="AK291" s="263"/>
      <c r="AL291" s="263"/>
      <c r="AM291" s="242"/>
    </row>
    <row r="292" spans="1:39" ht="18" customHeight="1" x14ac:dyDescent="0.15">
      <c r="A292" s="240"/>
      <c r="B292" s="242"/>
      <c r="C292" s="240"/>
      <c r="D292" s="263"/>
      <c r="E292" s="242"/>
      <c r="F292" s="242"/>
      <c r="G292" s="242"/>
      <c r="L292" s="242"/>
      <c r="M292" s="240"/>
      <c r="N292" s="263"/>
      <c r="O292" s="263"/>
      <c r="P292" s="263"/>
      <c r="Q292" s="263"/>
      <c r="R292" s="263"/>
      <c r="S292" s="263"/>
      <c r="T292" s="263"/>
      <c r="U292" s="263"/>
      <c r="V292" s="263"/>
      <c r="W292" s="263"/>
      <c r="X292" s="263"/>
      <c r="Y292" s="263"/>
      <c r="Z292" s="263"/>
      <c r="AA292" s="263"/>
      <c r="AB292" s="263"/>
      <c r="AC292" s="263"/>
      <c r="AD292" s="263"/>
      <c r="AE292" s="263"/>
      <c r="AF292" s="263"/>
      <c r="AG292" s="263"/>
      <c r="AH292" s="263"/>
      <c r="AI292" s="263"/>
      <c r="AJ292" s="263"/>
      <c r="AK292" s="263"/>
      <c r="AL292" s="263"/>
      <c r="AM292" s="242"/>
    </row>
    <row r="293" spans="1:39" ht="18" customHeight="1" x14ac:dyDescent="0.15">
      <c r="A293" s="240"/>
      <c r="B293" s="242"/>
      <c r="C293" s="240"/>
      <c r="D293" s="263"/>
      <c r="E293" s="242"/>
      <c r="F293" s="242"/>
      <c r="G293" s="242"/>
      <c r="L293" s="242"/>
      <c r="M293" s="240"/>
      <c r="N293" s="263"/>
      <c r="O293" s="263"/>
      <c r="P293" s="263"/>
      <c r="Q293" s="263"/>
      <c r="R293" s="263"/>
      <c r="S293" s="263"/>
      <c r="T293" s="263"/>
      <c r="U293" s="263"/>
      <c r="V293" s="263"/>
      <c r="W293" s="263"/>
      <c r="X293" s="263"/>
      <c r="Y293" s="263"/>
      <c r="Z293" s="263"/>
      <c r="AA293" s="263"/>
      <c r="AB293" s="263"/>
      <c r="AC293" s="263"/>
      <c r="AD293" s="263"/>
      <c r="AE293" s="263"/>
      <c r="AF293" s="263"/>
      <c r="AG293" s="263"/>
      <c r="AH293" s="263"/>
      <c r="AI293" s="263"/>
      <c r="AJ293" s="263"/>
      <c r="AK293" s="263"/>
      <c r="AL293" s="263"/>
      <c r="AM293" s="242"/>
    </row>
    <row r="294" spans="1:39" ht="18" customHeight="1" x14ac:dyDescent="0.15">
      <c r="A294" s="240"/>
      <c r="B294" s="242"/>
      <c r="C294" s="240"/>
      <c r="D294" s="263"/>
      <c r="E294" s="242"/>
      <c r="F294" s="242"/>
      <c r="G294" s="242"/>
      <c r="L294" s="242"/>
      <c r="M294" s="240"/>
      <c r="N294" s="263"/>
      <c r="O294" s="263"/>
      <c r="P294" s="263"/>
      <c r="Q294" s="263"/>
      <c r="R294" s="263"/>
      <c r="S294" s="263"/>
      <c r="T294" s="263"/>
      <c r="U294" s="263"/>
      <c r="V294" s="263"/>
      <c r="W294" s="263"/>
      <c r="X294" s="263"/>
      <c r="Y294" s="263"/>
      <c r="Z294" s="263"/>
      <c r="AA294" s="263"/>
      <c r="AB294" s="263"/>
      <c r="AC294" s="263"/>
      <c r="AD294" s="263"/>
      <c r="AE294" s="263"/>
      <c r="AF294" s="263"/>
      <c r="AG294" s="263"/>
      <c r="AH294" s="263"/>
      <c r="AI294" s="263"/>
      <c r="AJ294" s="263"/>
      <c r="AK294" s="263"/>
      <c r="AL294" s="263"/>
      <c r="AM294" s="242"/>
    </row>
    <row r="295" spans="1:39" ht="18" customHeight="1" x14ac:dyDescent="0.15">
      <c r="A295" s="240"/>
      <c r="B295" s="242"/>
      <c r="C295" s="240"/>
      <c r="D295" s="263"/>
      <c r="E295" s="242"/>
      <c r="F295" s="242"/>
      <c r="G295" s="242"/>
      <c r="L295" s="242"/>
      <c r="M295" s="240"/>
      <c r="N295" s="263"/>
      <c r="O295" s="263"/>
      <c r="P295" s="263"/>
      <c r="Q295" s="263"/>
      <c r="R295" s="263"/>
      <c r="S295" s="263"/>
      <c r="T295" s="263"/>
      <c r="U295" s="263"/>
      <c r="V295" s="263"/>
      <c r="W295" s="263"/>
      <c r="X295" s="263"/>
      <c r="Y295" s="263"/>
      <c r="Z295" s="263"/>
      <c r="AA295" s="263"/>
      <c r="AB295" s="263"/>
      <c r="AC295" s="263"/>
      <c r="AD295" s="263"/>
      <c r="AE295" s="263"/>
      <c r="AF295" s="263"/>
      <c r="AG295" s="263"/>
      <c r="AH295" s="263"/>
      <c r="AI295" s="263"/>
      <c r="AJ295" s="263"/>
      <c r="AK295" s="263"/>
      <c r="AL295" s="263"/>
      <c r="AM295" s="242"/>
    </row>
    <row r="296" spans="1:39" ht="18" customHeight="1" x14ac:dyDescent="0.15">
      <c r="A296" s="240"/>
      <c r="B296" s="242"/>
      <c r="C296" s="240"/>
      <c r="D296" s="263"/>
      <c r="E296" s="242"/>
      <c r="F296" s="242"/>
      <c r="G296" s="242"/>
      <c r="L296" s="242"/>
      <c r="M296" s="240"/>
      <c r="N296" s="263"/>
      <c r="O296" s="263"/>
      <c r="P296" s="263"/>
      <c r="Q296" s="263"/>
      <c r="R296" s="263"/>
      <c r="S296" s="263"/>
      <c r="T296" s="263"/>
      <c r="U296" s="263"/>
      <c r="V296" s="263"/>
      <c r="W296" s="263"/>
      <c r="X296" s="263"/>
      <c r="Y296" s="263"/>
      <c r="Z296" s="263"/>
      <c r="AA296" s="263"/>
      <c r="AB296" s="263"/>
      <c r="AC296" s="263"/>
      <c r="AD296" s="263"/>
      <c r="AE296" s="263"/>
      <c r="AF296" s="263"/>
      <c r="AG296" s="263"/>
      <c r="AH296" s="263"/>
      <c r="AI296" s="263"/>
      <c r="AJ296" s="263"/>
      <c r="AK296" s="263"/>
      <c r="AL296" s="263"/>
      <c r="AM296" s="242"/>
    </row>
    <row r="297" spans="1:39" ht="18" customHeight="1" x14ac:dyDescent="0.15">
      <c r="A297" s="240"/>
      <c r="B297" s="242"/>
      <c r="C297" s="240"/>
      <c r="D297" s="263"/>
      <c r="E297" s="242"/>
      <c r="F297" s="242"/>
      <c r="G297" s="242"/>
      <c r="L297" s="242"/>
      <c r="M297" s="240"/>
      <c r="N297" s="263"/>
      <c r="O297" s="263"/>
      <c r="P297" s="263"/>
      <c r="Q297" s="263"/>
      <c r="R297" s="263"/>
      <c r="S297" s="263"/>
      <c r="T297" s="263"/>
      <c r="U297" s="263"/>
      <c r="V297" s="263"/>
      <c r="W297" s="263"/>
      <c r="X297" s="263"/>
      <c r="Y297" s="263"/>
      <c r="Z297" s="263"/>
      <c r="AA297" s="263"/>
      <c r="AB297" s="263"/>
      <c r="AC297" s="263"/>
      <c r="AD297" s="263"/>
      <c r="AE297" s="263"/>
      <c r="AF297" s="263"/>
      <c r="AG297" s="263"/>
      <c r="AH297" s="263"/>
      <c r="AI297" s="263"/>
      <c r="AJ297" s="263"/>
      <c r="AK297" s="263"/>
      <c r="AL297" s="263"/>
      <c r="AM297" s="242"/>
    </row>
    <row r="298" spans="1:39" ht="18" customHeight="1" x14ac:dyDescent="0.15">
      <c r="A298" s="240"/>
      <c r="B298" s="242"/>
      <c r="C298" s="240"/>
      <c r="D298" s="263"/>
      <c r="E298" s="242"/>
      <c r="F298" s="242"/>
      <c r="G298" s="242"/>
      <c r="L298" s="242"/>
      <c r="M298" s="240"/>
      <c r="N298" s="263"/>
      <c r="O298" s="263"/>
      <c r="P298" s="263"/>
      <c r="Q298" s="263"/>
      <c r="R298" s="263"/>
      <c r="S298" s="263"/>
      <c r="T298" s="263"/>
      <c r="U298" s="263"/>
      <c r="V298" s="263"/>
      <c r="W298" s="263"/>
      <c r="X298" s="263"/>
      <c r="Y298" s="263"/>
      <c r="Z298" s="263"/>
      <c r="AA298" s="263"/>
      <c r="AB298" s="263"/>
      <c r="AC298" s="263"/>
      <c r="AD298" s="263"/>
      <c r="AE298" s="263"/>
      <c r="AF298" s="263"/>
      <c r="AG298" s="263"/>
      <c r="AH298" s="263"/>
      <c r="AI298" s="263"/>
      <c r="AJ298" s="263"/>
      <c r="AK298" s="263"/>
      <c r="AL298" s="263"/>
      <c r="AM298" s="242"/>
    </row>
    <row r="299" spans="1:39" ht="18" customHeight="1" x14ac:dyDescent="0.15">
      <c r="A299" s="240"/>
      <c r="B299" s="242"/>
      <c r="C299" s="240"/>
      <c r="D299" s="263"/>
      <c r="E299" s="242"/>
      <c r="F299" s="242"/>
      <c r="G299" s="242"/>
      <c r="L299" s="242"/>
      <c r="M299" s="240"/>
      <c r="N299" s="263"/>
      <c r="O299" s="263"/>
      <c r="P299" s="263"/>
      <c r="Q299" s="263"/>
      <c r="R299" s="263"/>
      <c r="S299" s="263"/>
      <c r="T299" s="263"/>
      <c r="U299" s="263"/>
      <c r="V299" s="263"/>
      <c r="W299" s="263"/>
      <c r="X299" s="263"/>
      <c r="Y299" s="263"/>
      <c r="Z299" s="263"/>
      <c r="AA299" s="263"/>
      <c r="AB299" s="263"/>
      <c r="AC299" s="263"/>
      <c r="AD299" s="263"/>
      <c r="AE299" s="263"/>
      <c r="AF299" s="263"/>
      <c r="AG299" s="263"/>
      <c r="AH299" s="263"/>
      <c r="AI299" s="263"/>
      <c r="AJ299" s="263"/>
      <c r="AK299" s="263"/>
      <c r="AL299" s="263"/>
      <c r="AM299" s="242"/>
    </row>
    <row r="300" spans="1:39" ht="18" customHeight="1" x14ac:dyDescent="0.15">
      <c r="A300" s="240"/>
      <c r="B300" s="242"/>
      <c r="C300" s="240"/>
      <c r="D300" s="263"/>
      <c r="E300" s="242"/>
      <c r="F300" s="242"/>
      <c r="G300" s="242"/>
      <c r="L300" s="242"/>
      <c r="M300" s="240"/>
      <c r="N300" s="263"/>
      <c r="O300" s="263"/>
      <c r="P300" s="263"/>
      <c r="Q300" s="263"/>
      <c r="R300" s="263"/>
      <c r="S300" s="263"/>
      <c r="T300" s="263"/>
      <c r="U300" s="263"/>
      <c r="V300" s="263"/>
      <c r="W300" s="263"/>
      <c r="X300" s="263"/>
      <c r="Y300" s="263"/>
      <c r="Z300" s="263"/>
      <c r="AA300" s="263"/>
      <c r="AB300" s="263"/>
      <c r="AC300" s="263"/>
      <c r="AD300" s="263"/>
      <c r="AE300" s="263"/>
      <c r="AF300" s="263"/>
      <c r="AG300" s="263"/>
      <c r="AH300" s="263"/>
      <c r="AI300" s="263"/>
      <c r="AJ300" s="263"/>
      <c r="AK300" s="263"/>
      <c r="AL300" s="263"/>
      <c r="AM300" s="242"/>
    </row>
    <row r="301" spans="1:39" ht="18" customHeight="1" x14ac:dyDescent="0.15">
      <c r="A301" s="240"/>
      <c r="B301" s="242"/>
      <c r="C301" s="240"/>
      <c r="D301" s="263"/>
      <c r="E301" s="242"/>
      <c r="F301" s="242"/>
      <c r="G301" s="242"/>
      <c r="L301" s="242"/>
      <c r="M301" s="240"/>
      <c r="N301" s="263"/>
      <c r="O301" s="263"/>
      <c r="P301" s="263"/>
      <c r="Q301" s="263"/>
      <c r="R301" s="263"/>
      <c r="S301" s="263"/>
      <c r="T301" s="263"/>
      <c r="U301" s="263"/>
      <c r="V301" s="263"/>
      <c r="W301" s="263"/>
      <c r="X301" s="263"/>
      <c r="Y301" s="263"/>
      <c r="Z301" s="263"/>
      <c r="AA301" s="263"/>
      <c r="AB301" s="263"/>
      <c r="AC301" s="263"/>
      <c r="AD301" s="263"/>
      <c r="AE301" s="263"/>
      <c r="AF301" s="263"/>
      <c r="AG301" s="263"/>
      <c r="AH301" s="263"/>
      <c r="AI301" s="263"/>
      <c r="AJ301" s="263"/>
      <c r="AK301" s="263"/>
      <c r="AL301" s="263"/>
      <c r="AM301" s="242"/>
    </row>
    <row r="302" spans="1:39" ht="18" customHeight="1" x14ac:dyDescent="0.15">
      <c r="A302" s="240"/>
      <c r="B302" s="242"/>
      <c r="C302" s="240"/>
      <c r="D302" s="263"/>
      <c r="E302" s="242"/>
      <c r="F302" s="242"/>
      <c r="G302" s="242"/>
      <c r="L302" s="242"/>
      <c r="M302" s="240"/>
      <c r="N302" s="263"/>
      <c r="O302" s="263"/>
      <c r="P302" s="263"/>
      <c r="Q302" s="263"/>
      <c r="R302" s="263"/>
      <c r="S302" s="263"/>
      <c r="T302" s="263"/>
      <c r="U302" s="263"/>
      <c r="V302" s="263"/>
      <c r="W302" s="263"/>
      <c r="X302" s="263"/>
      <c r="Y302" s="263"/>
      <c r="Z302" s="263"/>
      <c r="AA302" s="263"/>
      <c r="AB302" s="263"/>
      <c r="AC302" s="263"/>
      <c r="AD302" s="263"/>
      <c r="AE302" s="263"/>
      <c r="AF302" s="263"/>
      <c r="AG302" s="263"/>
      <c r="AH302" s="263"/>
      <c r="AI302" s="263"/>
      <c r="AJ302" s="263"/>
      <c r="AK302" s="263"/>
      <c r="AL302" s="263"/>
      <c r="AM302" s="242"/>
    </row>
    <row r="303" spans="1:39" ht="18" customHeight="1" x14ac:dyDescent="0.15">
      <c r="A303" s="240"/>
      <c r="B303" s="242"/>
      <c r="C303" s="240"/>
      <c r="D303" s="263"/>
      <c r="E303" s="242"/>
      <c r="F303" s="242"/>
      <c r="G303" s="242"/>
      <c r="L303" s="242"/>
      <c r="M303" s="240"/>
      <c r="N303" s="263"/>
      <c r="O303" s="263"/>
      <c r="P303" s="263"/>
      <c r="Q303" s="263"/>
      <c r="R303" s="263"/>
      <c r="S303" s="263"/>
      <c r="T303" s="263"/>
      <c r="U303" s="263"/>
      <c r="V303" s="263"/>
      <c r="W303" s="263"/>
      <c r="X303" s="263"/>
      <c r="Y303" s="263"/>
      <c r="Z303" s="263"/>
      <c r="AA303" s="263"/>
      <c r="AB303" s="263"/>
      <c r="AC303" s="263"/>
      <c r="AD303" s="263"/>
      <c r="AE303" s="263"/>
      <c r="AF303" s="263"/>
      <c r="AG303" s="263"/>
      <c r="AH303" s="263"/>
      <c r="AI303" s="263"/>
      <c r="AJ303" s="263"/>
      <c r="AK303" s="263"/>
      <c r="AL303" s="263"/>
      <c r="AM303" s="242"/>
    </row>
    <row r="304" spans="1:39" ht="18" customHeight="1" x14ac:dyDescent="0.15">
      <c r="A304" s="240"/>
      <c r="B304" s="242"/>
      <c r="C304" s="240"/>
      <c r="D304" s="263"/>
      <c r="E304" s="242"/>
      <c r="F304" s="242"/>
      <c r="G304" s="242"/>
      <c r="L304" s="242"/>
      <c r="M304" s="240"/>
      <c r="N304" s="263"/>
      <c r="O304" s="263"/>
      <c r="P304" s="263"/>
      <c r="Q304" s="263"/>
      <c r="R304" s="263"/>
      <c r="S304" s="263"/>
      <c r="T304" s="263"/>
      <c r="U304" s="263"/>
      <c r="V304" s="263"/>
      <c r="W304" s="263"/>
      <c r="X304" s="263"/>
      <c r="Y304" s="263"/>
      <c r="Z304" s="263"/>
      <c r="AA304" s="263"/>
      <c r="AB304" s="263"/>
      <c r="AC304" s="263"/>
      <c r="AD304" s="263"/>
      <c r="AE304" s="263"/>
      <c r="AF304" s="263"/>
      <c r="AG304" s="263"/>
      <c r="AH304" s="263"/>
      <c r="AI304" s="263"/>
      <c r="AJ304" s="263"/>
      <c r="AK304" s="263"/>
      <c r="AL304" s="263"/>
      <c r="AM304" s="242"/>
    </row>
    <row r="305" spans="1:39" ht="18" customHeight="1" x14ac:dyDescent="0.15">
      <c r="A305" s="240"/>
      <c r="B305" s="242"/>
      <c r="C305" s="240"/>
      <c r="D305" s="263"/>
      <c r="E305" s="242"/>
      <c r="F305" s="242"/>
      <c r="G305" s="242"/>
      <c r="L305" s="242"/>
      <c r="M305" s="240"/>
      <c r="N305" s="263"/>
      <c r="O305" s="263"/>
      <c r="P305" s="263"/>
      <c r="Q305" s="263"/>
      <c r="R305" s="263"/>
      <c r="S305" s="263"/>
      <c r="T305" s="263"/>
      <c r="U305" s="263"/>
      <c r="V305" s="263"/>
      <c r="W305" s="263"/>
      <c r="X305" s="263"/>
      <c r="Y305" s="263"/>
      <c r="Z305" s="263"/>
      <c r="AA305" s="263"/>
      <c r="AB305" s="263"/>
      <c r="AC305" s="263"/>
      <c r="AD305" s="263"/>
      <c r="AE305" s="263"/>
      <c r="AF305" s="263"/>
      <c r="AG305" s="263"/>
      <c r="AH305" s="263"/>
      <c r="AI305" s="263"/>
      <c r="AJ305" s="263"/>
      <c r="AK305" s="263"/>
      <c r="AL305" s="263"/>
      <c r="AM305" s="242"/>
    </row>
    <row r="306" spans="1:39" ht="18" customHeight="1" x14ac:dyDescent="0.15">
      <c r="A306" s="240"/>
      <c r="B306" s="242"/>
      <c r="C306" s="240"/>
      <c r="D306" s="263"/>
      <c r="E306" s="242"/>
      <c r="F306" s="242"/>
      <c r="G306" s="242"/>
      <c r="L306" s="242"/>
      <c r="M306" s="240"/>
      <c r="N306" s="263"/>
      <c r="O306" s="263"/>
      <c r="P306" s="263"/>
      <c r="Q306" s="263"/>
      <c r="R306" s="263"/>
      <c r="S306" s="263"/>
      <c r="T306" s="263"/>
      <c r="U306" s="263"/>
      <c r="V306" s="263"/>
      <c r="W306" s="263"/>
      <c r="X306" s="263"/>
      <c r="Y306" s="263"/>
      <c r="Z306" s="263"/>
      <c r="AA306" s="263"/>
      <c r="AB306" s="263"/>
      <c r="AC306" s="263"/>
      <c r="AD306" s="263"/>
      <c r="AE306" s="263"/>
      <c r="AF306" s="263"/>
      <c r="AG306" s="263"/>
      <c r="AH306" s="263"/>
      <c r="AI306" s="263"/>
      <c r="AJ306" s="263"/>
      <c r="AK306" s="263"/>
      <c r="AL306" s="263"/>
      <c r="AM306" s="242"/>
    </row>
    <row r="307" spans="1:39" ht="18" customHeight="1" x14ac:dyDescent="0.15">
      <c r="A307" s="240"/>
      <c r="B307" s="242"/>
      <c r="C307" s="240"/>
      <c r="D307" s="263"/>
      <c r="E307" s="242"/>
      <c r="F307" s="242"/>
      <c r="G307" s="242"/>
      <c r="L307" s="242"/>
      <c r="M307" s="240"/>
      <c r="N307" s="263"/>
      <c r="O307" s="263"/>
      <c r="P307" s="263"/>
      <c r="Q307" s="263"/>
      <c r="R307" s="263"/>
      <c r="S307" s="263"/>
      <c r="T307" s="263"/>
      <c r="U307" s="263"/>
      <c r="V307" s="263"/>
      <c r="W307" s="263"/>
      <c r="X307" s="263"/>
      <c r="Y307" s="263"/>
      <c r="Z307" s="263"/>
      <c r="AA307" s="263"/>
      <c r="AB307" s="263"/>
      <c r="AC307" s="263"/>
      <c r="AD307" s="263"/>
      <c r="AE307" s="263"/>
      <c r="AF307" s="263"/>
      <c r="AG307" s="263"/>
      <c r="AH307" s="263"/>
      <c r="AI307" s="263"/>
      <c r="AJ307" s="263"/>
      <c r="AK307" s="263"/>
      <c r="AL307" s="263"/>
      <c r="AM307" s="242"/>
    </row>
    <row r="308" spans="1:39" ht="18" customHeight="1" x14ac:dyDescent="0.15">
      <c r="A308" s="240"/>
      <c r="B308" s="242"/>
      <c r="C308" s="240"/>
      <c r="D308" s="263"/>
      <c r="E308" s="242"/>
      <c r="F308" s="242"/>
      <c r="G308" s="242"/>
      <c r="L308" s="242"/>
      <c r="M308" s="240"/>
      <c r="N308" s="263"/>
      <c r="O308" s="263"/>
      <c r="P308" s="263"/>
      <c r="Q308" s="263"/>
      <c r="R308" s="263"/>
      <c r="S308" s="263"/>
      <c r="T308" s="263"/>
      <c r="U308" s="263"/>
      <c r="V308" s="263"/>
      <c r="W308" s="263"/>
      <c r="X308" s="263"/>
      <c r="Y308" s="263"/>
      <c r="Z308" s="263"/>
      <c r="AA308" s="263"/>
      <c r="AB308" s="263"/>
      <c r="AC308" s="263"/>
      <c r="AD308" s="263"/>
      <c r="AE308" s="263"/>
      <c r="AF308" s="263"/>
      <c r="AG308" s="263"/>
      <c r="AH308" s="263"/>
      <c r="AI308" s="263"/>
      <c r="AJ308" s="263"/>
      <c r="AK308" s="263"/>
      <c r="AL308" s="263"/>
      <c r="AM308" s="242"/>
    </row>
    <row r="309" spans="1:39" ht="18" customHeight="1" x14ac:dyDescent="0.15">
      <c r="A309" s="240"/>
      <c r="B309" s="242"/>
      <c r="C309" s="240"/>
      <c r="D309" s="263"/>
      <c r="E309" s="242"/>
      <c r="F309" s="242"/>
      <c r="G309" s="242"/>
      <c r="L309" s="242"/>
      <c r="M309" s="240"/>
      <c r="N309" s="263"/>
      <c r="O309" s="263"/>
      <c r="P309" s="263"/>
      <c r="Q309" s="263"/>
      <c r="R309" s="263"/>
      <c r="S309" s="263"/>
      <c r="T309" s="263"/>
      <c r="U309" s="263"/>
      <c r="V309" s="263"/>
      <c r="W309" s="263"/>
      <c r="X309" s="263"/>
      <c r="Y309" s="263"/>
      <c r="Z309" s="263"/>
      <c r="AA309" s="263"/>
      <c r="AB309" s="263"/>
      <c r="AC309" s="263"/>
      <c r="AD309" s="263"/>
      <c r="AE309" s="263"/>
      <c r="AF309" s="263"/>
      <c r="AG309" s="263"/>
      <c r="AH309" s="263"/>
      <c r="AI309" s="263"/>
      <c r="AJ309" s="263"/>
      <c r="AK309" s="263"/>
      <c r="AL309" s="263"/>
      <c r="AM309" s="242"/>
    </row>
    <row r="310" spans="1:39" ht="18" customHeight="1" x14ac:dyDescent="0.15">
      <c r="A310" s="240"/>
      <c r="B310" s="242"/>
      <c r="C310" s="240"/>
      <c r="D310" s="263"/>
      <c r="E310" s="242"/>
      <c r="F310" s="242"/>
      <c r="G310" s="242"/>
      <c r="L310" s="242"/>
      <c r="M310" s="240"/>
      <c r="N310" s="263"/>
      <c r="O310" s="263"/>
      <c r="P310" s="263"/>
      <c r="Q310" s="263"/>
      <c r="R310" s="263"/>
      <c r="S310" s="263"/>
      <c r="T310" s="263"/>
      <c r="U310" s="263"/>
      <c r="V310" s="263"/>
      <c r="W310" s="263"/>
      <c r="X310" s="263"/>
      <c r="Y310" s="263"/>
      <c r="Z310" s="263"/>
      <c r="AA310" s="263"/>
      <c r="AB310" s="263"/>
      <c r="AC310" s="263"/>
      <c r="AD310" s="263"/>
      <c r="AE310" s="263"/>
      <c r="AF310" s="263"/>
      <c r="AG310" s="263"/>
      <c r="AH310" s="263"/>
      <c r="AI310" s="263"/>
      <c r="AJ310" s="263"/>
      <c r="AK310" s="263"/>
      <c r="AL310" s="263"/>
      <c r="AM310" s="242"/>
    </row>
    <row r="311" spans="1:39" ht="18" customHeight="1" x14ac:dyDescent="0.15">
      <c r="A311" s="240"/>
      <c r="B311" s="242"/>
      <c r="C311" s="240"/>
      <c r="D311" s="263"/>
      <c r="E311" s="242"/>
      <c r="F311" s="242"/>
      <c r="G311" s="242"/>
      <c r="L311" s="242"/>
      <c r="M311" s="240"/>
      <c r="N311" s="263"/>
      <c r="O311" s="263"/>
      <c r="P311" s="263"/>
      <c r="Q311" s="263"/>
      <c r="R311" s="263"/>
      <c r="S311" s="263"/>
      <c r="T311" s="263"/>
      <c r="U311" s="263"/>
      <c r="V311" s="263"/>
      <c r="W311" s="263"/>
      <c r="X311" s="263"/>
      <c r="Y311" s="263"/>
      <c r="Z311" s="263"/>
      <c r="AA311" s="263"/>
      <c r="AB311" s="263"/>
      <c r="AC311" s="263"/>
      <c r="AD311" s="263"/>
      <c r="AE311" s="263"/>
      <c r="AF311" s="263"/>
      <c r="AG311" s="263"/>
      <c r="AH311" s="263"/>
      <c r="AI311" s="263"/>
      <c r="AJ311" s="263"/>
      <c r="AK311" s="263"/>
      <c r="AL311" s="263"/>
      <c r="AM311" s="242"/>
    </row>
    <row r="312" spans="1:39" ht="18" customHeight="1" x14ac:dyDescent="0.15">
      <c r="A312" s="240"/>
      <c r="B312" s="242"/>
      <c r="C312" s="240"/>
      <c r="D312" s="263"/>
      <c r="E312" s="242"/>
      <c r="F312" s="242"/>
      <c r="G312" s="242"/>
      <c r="L312" s="242"/>
      <c r="M312" s="240"/>
      <c r="N312" s="263"/>
      <c r="O312" s="263"/>
      <c r="P312" s="263"/>
      <c r="Q312" s="263"/>
      <c r="R312" s="263"/>
      <c r="S312" s="263"/>
      <c r="T312" s="263"/>
      <c r="U312" s="263"/>
      <c r="V312" s="263"/>
      <c r="W312" s="263"/>
      <c r="X312" s="263"/>
      <c r="Y312" s="263"/>
      <c r="Z312" s="263"/>
      <c r="AA312" s="263"/>
      <c r="AB312" s="263"/>
      <c r="AC312" s="263"/>
      <c r="AD312" s="263"/>
      <c r="AE312" s="263"/>
      <c r="AF312" s="263"/>
      <c r="AG312" s="263"/>
      <c r="AH312" s="263"/>
      <c r="AI312" s="263"/>
      <c r="AJ312" s="263"/>
      <c r="AK312" s="263"/>
      <c r="AL312" s="263"/>
      <c r="AM312" s="242"/>
    </row>
    <row r="313" spans="1:39" ht="18" customHeight="1" x14ac:dyDescent="0.15">
      <c r="A313" s="240"/>
      <c r="B313" s="242"/>
      <c r="C313" s="240"/>
      <c r="D313" s="263"/>
      <c r="E313" s="242"/>
      <c r="F313" s="242"/>
      <c r="G313" s="242"/>
      <c r="L313" s="242"/>
      <c r="M313" s="240"/>
      <c r="N313" s="263"/>
      <c r="O313" s="263"/>
      <c r="P313" s="263"/>
      <c r="Q313" s="263"/>
      <c r="R313" s="263"/>
      <c r="S313" s="263"/>
      <c r="T313" s="263"/>
      <c r="U313" s="263"/>
      <c r="V313" s="263"/>
      <c r="W313" s="263"/>
      <c r="X313" s="263"/>
      <c r="Y313" s="263"/>
      <c r="Z313" s="263"/>
      <c r="AA313" s="263"/>
      <c r="AB313" s="263"/>
      <c r="AC313" s="263"/>
      <c r="AD313" s="263"/>
      <c r="AE313" s="263"/>
      <c r="AF313" s="263"/>
      <c r="AG313" s="263"/>
      <c r="AH313" s="263"/>
      <c r="AI313" s="263"/>
      <c r="AJ313" s="263"/>
      <c r="AK313" s="263"/>
      <c r="AL313" s="263"/>
      <c r="AM313" s="242"/>
    </row>
    <row r="314" spans="1:39" ht="18" customHeight="1" x14ac:dyDescent="0.15">
      <c r="A314" s="240"/>
      <c r="B314" s="242"/>
      <c r="C314" s="240"/>
      <c r="D314" s="263"/>
      <c r="E314" s="242"/>
      <c r="F314" s="242"/>
      <c r="G314" s="242"/>
      <c r="L314" s="242"/>
      <c r="M314" s="240"/>
      <c r="N314" s="263"/>
      <c r="O314" s="263"/>
      <c r="P314" s="263"/>
      <c r="Q314" s="263"/>
      <c r="R314" s="263"/>
      <c r="S314" s="263"/>
      <c r="T314" s="263"/>
      <c r="U314" s="263"/>
      <c r="V314" s="263"/>
      <c r="W314" s="263"/>
      <c r="X314" s="263"/>
      <c r="Y314" s="263"/>
      <c r="Z314" s="263"/>
      <c r="AA314" s="263"/>
      <c r="AB314" s="263"/>
      <c r="AC314" s="263"/>
      <c r="AD314" s="263"/>
      <c r="AE314" s="263"/>
      <c r="AF314" s="263"/>
      <c r="AG314" s="263"/>
      <c r="AH314" s="263"/>
      <c r="AI314" s="263"/>
      <c r="AJ314" s="263"/>
      <c r="AK314" s="263"/>
      <c r="AL314" s="263"/>
      <c r="AM314" s="242"/>
    </row>
    <row r="315" spans="1:39" ht="18" customHeight="1" x14ac:dyDescent="0.15">
      <c r="A315" s="240"/>
      <c r="B315" s="242"/>
      <c r="C315" s="240"/>
      <c r="D315" s="263"/>
      <c r="E315" s="242"/>
      <c r="F315" s="242"/>
      <c r="G315" s="242"/>
      <c r="L315" s="242"/>
      <c r="M315" s="240"/>
      <c r="N315" s="263"/>
      <c r="O315" s="263"/>
      <c r="P315" s="263"/>
      <c r="Q315" s="263"/>
      <c r="R315" s="263"/>
      <c r="S315" s="263"/>
      <c r="T315" s="263"/>
      <c r="U315" s="263"/>
      <c r="V315" s="263"/>
      <c r="W315" s="263"/>
      <c r="X315" s="263"/>
      <c r="Y315" s="263"/>
      <c r="Z315" s="263"/>
      <c r="AA315" s="263"/>
      <c r="AB315" s="263"/>
      <c r="AC315" s="263"/>
      <c r="AD315" s="263"/>
      <c r="AE315" s="263"/>
      <c r="AF315" s="263"/>
      <c r="AG315" s="263"/>
      <c r="AH315" s="263"/>
      <c r="AI315" s="263"/>
      <c r="AJ315" s="263"/>
      <c r="AK315" s="263"/>
      <c r="AL315" s="263"/>
      <c r="AM315" s="242"/>
    </row>
    <row r="316" spans="1:39" ht="18" customHeight="1" x14ac:dyDescent="0.15">
      <c r="A316" s="240"/>
      <c r="B316" s="242"/>
      <c r="C316" s="240"/>
      <c r="D316" s="263"/>
      <c r="E316" s="242"/>
      <c r="F316" s="242"/>
      <c r="G316" s="242"/>
      <c r="L316" s="242"/>
      <c r="M316" s="240"/>
      <c r="N316" s="263"/>
      <c r="O316" s="263"/>
      <c r="P316" s="263"/>
      <c r="Q316" s="263"/>
      <c r="R316" s="263"/>
      <c r="S316" s="263"/>
      <c r="T316" s="263"/>
      <c r="U316" s="263"/>
      <c r="V316" s="263"/>
      <c r="W316" s="263"/>
      <c r="X316" s="263"/>
      <c r="Y316" s="263"/>
      <c r="Z316" s="263"/>
      <c r="AA316" s="263"/>
      <c r="AB316" s="263"/>
      <c r="AC316" s="263"/>
      <c r="AD316" s="263"/>
      <c r="AE316" s="263"/>
      <c r="AF316" s="263"/>
      <c r="AG316" s="263"/>
      <c r="AH316" s="263"/>
      <c r="AI316" s="263"/>
      <c r="AJ316" s="263"/>
      <c r="AK316" s="263"/>
      <c r="AL316" s="263"/>
      <c r="AM316" s="242"/>
    </row>
    <row r="317" spans="1:39" ht="18" customHeight="1" x14ac:dyDescent="0.15">
      <c r="A317" s="240"/>
      <c r="B317" s="242"/>
      <c r="C317" s="240"/>
      <c r="D317" s="263"/>
      <c r="E317" s="242"/>
      <c r="F317" s="242"/>
      <c r="G317" s="242"/>
      <c r="L317" s="242"/>
      <c r="M317" s="240"/>
      <c r="N317" s="263"/>
      <c r="O317" s="263"/>
      <c r="P317" s="263"/>
      <c r="Q317" s="263"/>
      <c r="R317" s="263"/>
      <c r="S317" s="263"/>
      <c r="T317" s="263"/>
      <c r="U317" s="263"/>
      <c r="V317" s="263"/>
      <c r="W317" s="263"/>
      <c r="X317" s="263"/>
      <c r="Y317" s="263"/>
      <c r="Z317" s="263"/>
      <c r="AA317" s="263"/>
      <c r="AB317" s="263"/>
      <c r="AC317" s="263"/>
      <c r="AD317" s="263"/>
      <c r="AE317" s="263"/>
      <c r="AF317" s="263"/>
      <c r="AG317" s="263"/>
      <c r="AH317" s="263"/>
      <c r="AI317" s="263"/>
      <c r="AJ317" s="263"/>
      <c r="AK317" s="263"/>
      <c r="AL317" s="263"/>
      <c r="AM317" s="242"/>
    </row>
    <row r="318" spans="1:39" ht="18" customHeight="1" x14ac:dyDescent="0.15">
      <c r="A318" s="240"/>
      <c r="B318" s="242"/>
      <c r="C318" s="240"/>
      <c r="D318" s="263"/>
      <c r="E318" s="242"/>
      <c r="F318" s="242"/>
      <c r="G318" s="242"/>
      <c r="L318" s="242"/>
      <c r="M318" s="240"/>
      <c r="N318" s="263"/>
      <c r="O318" s="263"/>
      <c r="P318" s="263"/>
      <c r="Q318" s="263"/>
      <c r="R318" s="263"/>
      <c r="S318" s="263"/>
      <c r="T318" s="263"/>
      <c r="U318" s="263"/>
      <c r="V318" s="263"/>
      <c r="W318" s="263"/>
      <c r="X318" s="263"/>
      <c r="Y318" s="263"/>
      <c r="Z318" s="263"/>
      <c r="AA318" s="263"/>
      <c r="AB318" s="263"/>
      <c r="AC318" s="263"/>
      <c r="AD318" s="263"/>
      <c r="AE318" s="263"/>
      <c r="AF318" s="263"/>
      <c r="AG318" s="263"/>
      <c r="AH318" s="263"/>
      <c r="AI318" s="263"/>
      <c r="AJ318" s="263"/>
      <c r="AK318" s="263"/>
      <c r="AL318" s="263"/>
      <c r="AM318" s="242"/>
    </row>
    <row r="319" spans="1:39" ht="18" customHeight="1" x14ac:dyDescent="0.15">
      <c r="A319" s="240"/>
      <c r="B319" s="242"/>
      <c r="C319" s="240"/>
      <c r="D319" s="263"/>
      <c r="E319" s="242"/>
      <c r="F319" s="242"/>
      <c r="G319" s="242"/>
      <c r="L319" s="242"/>
      <c r="M319" s="240"/>
      <c r="N319" s="263"/>
      <c r="O319" s="263"/>
      <c r="P319" s="263"/>
      <c r="Q319" s="263"/>
      <c r="R319" s="263"/>
      <c r="S319" s="263"/>
      <c r="T319" s="263"/>
      <c r="U319" s="263"/>
      <c r="V319" s="263"/>
      <c r="W319" s="263"/>
      <c r="X319" s="263"/>
      <c r="Y319" s="263"/>
      <c r="Z319" s="263"/>
      <c r="AA319" s="263"/>
      <c r="AB319" s="263"/>
      <c r="AC319" s="263"/>
      <c r="AD319" s="263"/>
      <c r="AE319" s="263"/>
      <c r="AF319" s="263"/>
      <c r="AG319" s="263"/>
      <c r="AH319" s="263"/>
      <c r="AI319" s="263"/>
      <c r="AJ319" s="263"/>
      <c r="AK319" s="263"/>
      <c r="AL319" s="263"/>
      <c r="AM319" s="242"/>
    </row>
    <row r="320" spans="1:39" ht="18" customHeight="1" x14ac:dyDescent="0.15">
      <c r="A320" s="240"/>
      <c r="B320" s="242"/>
      <c r="C320" s="240"/>
      <c r="D320" s="263"/>
      <c r="E320" s="242"/>
      <c r="F320" s="242"/>
      <c r="G320" s="242"/>
      <c r="L320" s="242"/>
      <c r="M320" s="240"/>
      <c r="N320" s="263"/>
      <c r="O320" s="263"/>
      <c r="P320" s="263"/>
      <c r="Q320" s="263"/>
      <c r="R320" s="263"/>
      <c r="S320" s="263"/>
      <c r="T320" s="263"/>
      <c r="U320" s="263"/>
      <c r="V320" s="263"/>
      <c r="W320" s="263"/>
      <c r="X320" s="263"/>
      <c r="Y320" s="263"/>
      <c r="Z320" s="263"/>
      <c r="AA320" s="263"/>
      <c r="AB320" s="263"/>
      <c r="AC320" s="263"/>
      <c r="AD320" s="263"/>
      <c r="AE320" s="263"/>
      <c r="AF320" s="263"/>
      <c r="AG320" s="263"/>
      <c r="AH320" s="263"/>
      <c r="AI320" s="263"/>
      <c r="AJ320" s="263"/>
      <c r="AK320" s="263"/>
      <c r="AL320" s="263"/>
      <c r="AM320" s="242"/>
    </row>
    <row r="321" spans="1:39" ht="18" customHeight="1" x14ac:dyDescent="0.15">
      <c r="A321" s="240"/>
      <c r="B321" s="242"/>
      <c r="C321" s="240"/>
      <c r="D321" s="263"/>
      <c r="E321" s="242"/>
      <c r="F321" s="242"/>
      <c r="G321" s="242"/>
      <c r="L321" s="242"/>
      <c r="M321" s="240"/>
      <c r="N321" s="263"/>
      <c r="O321" s="263"/>
      <c r="P321" s="263"/>
      <c r="Q321" s="263"/>
      <c r="R321" s="263"/>
      <c r="S321" s="263"/>
      <c r="T321" s="263"/>
      <c r="U321" s="263"/>
      <c r="V321" s="263"/>
      <c r="W321" s="263"/>
      <c r="X321" s="263"/>
      <c r="Y321" s="263"/>
      <c r="Z321" s="263"/>
      <c r="AA321" s="263"/>
      <c r="AB321" s="263"/>
      <c r="AC321" s="263"/>
      <c r="AD321" s="263"/>
      <c r="AE321" s="263"/>
      <c r="AF321" s="263"/>
      <c r="AG321" s="263"/>
      <c r="AH321" s="263"/>
      <c r="AI321" s="263"/>
      <c r="AJ321" s="263"/>
      <c r="AK321" s="263"/>
      <c r="AL321" s="263"/>
      <c r="AM321" s="242"/>
    </row>
    <row r="322" spans="1:39" ht="18" customHeight="1" x14ac:dyDescent="0.15">
      <c r="A322" s="240"/>
      <c r="B322" s="242"/>
      <c r="C322" s="240"/>
      <c r="D322" s="263"/>
      <c r="E322" s="242"/>
      <c r="F322" s="242"/>
      <c r="G322" s="242"/>
      <c r="L322" s="242"/>
      <c r="M322" s="240"/>
      <c r="N322" s="263"/>
      <c r="O322" s="263"/>
      <c r="P322" s="263"/>
      <c r="Q322" s="263"/>
      <c r="R322" s="263"/>
      <c r="S322" s="263"/>
      <c r="T322" s="263"/>
      <c r="U322" s="263"/>
      <c r="V322" s="263"/>
      <c r="W322" s="263"/>
      <c r="X322" s="263"/>
      <c r="Y322" s="263"/>
      <c r="Z322" s="263"/>
      <c r="AA322" s="263"/>
      <c r="AB322" s="263"/>
      <c r="AC322" s="263"/>
      <c r="AD322" s="263"/>
      <c r="AE322" s="263"/>
      <c r="AF322" s="263"/>
      <c r="AG322" s="263"/>
      <c r="AH322" s="263"/>
      <c r="AI322" s="263"/>
      <c r="AJ322" s="263"/>
      <c r="AK322" s="263"/>
      <c r="AL322" s="263"/>
      <c r="AM322" s="242"/>
    </row>
    <row r="323" spans="1:39" ht="18" customHeight="1" x14ac:dyDescent="0.15">
      <c r="A323" s="240"/>
      <c r="B323" s="242"/>
      <c r="C323" s="240"/>
      <c r="D323" s="263"/>
      <c r="E323" s="242"/>
      <c r="F323" s="242"/>
      <c r="G323" s="242"/>
      <c r="L323" s="242"/>
      <c r="M323" s="240"/>
      <c r="N323" s="263"/>
      <c r="O323" s="263"/>
      <c r="P323" s="263"/>
      <c r="Q323" s="263"/>
      <c r="R323" s="263"/>
      <c r="S323" s="263"/>
      <c r="T323" s="263"/>
      <c r="U323" s="263"/>
      <c r="V323" s="263"/>
      <c r="W323" s="263"/>
      <c r="X323" s="263"/>
      <c r="Y323" s="263"/>
      <c r="Z323" s="263"/>
      <c r="AA323" s="263"/>
      <c r="AB323" s="263"/>
      <c r="AC323" s="263"/>
      <c r="AD323" s="263"/>
      <c r="AE323" s="263"/>
      <c r="AF323" s="263"/>
      <c r="AG323" s="263"/>
      <c r="AH323" s="263"/>
      <c r="AI323" s="263"/>
      <c r="AJ323" s="263"/>
      <c r="AK323" s="263"/>
      <c r="AL323" s="263"/>
      <c r="AM323" s="242"/>
    </row>
    <row r="324" spans="1:39" ht="18" customHeight="1" x14ac:dyDescent="0.15">
      <c r="A324" s="240"/>
      <c r="B324" s="242"/>
      <c r="C324" s="240"/>
      <c r="D324" s="263"/>
      <c r="E324" s="242"/>
      <c r="F324" s="242"/>
      <c r="G324" s="242"/>
      <c r="L324" s="242"/>
      <c r="M324" s="240"/>
      <c r="N324" s="263"/>
      <c r="O324" s="263"/>
      <c r="P324" s="263"/>
      <c r="Q324" s="263"/>
      <c r="R324" s="263"/>
      <c r="S324" s="263"/>
      <c r="T324" s="263"/>
      <c r="U324" s="263"/>
      <c r="V324" s="263"/>
      <c r="W324" s="263"/>
      <c r="X324" s="263"/>
      <c r="Y324" s="263"/>
      <c r="Z324" s="263"/>
      <c r="AA324" s="263"/>
      <c r="AB324" s="263"/>
      <c r="AC324" s="263"/>
      <c r="AD324" s="263"/>
      <c r="AE324" s="263"/>
      <c r="AF324" s="263"/>
      <c r="AG324" s="263"/>
      <c r="AH324" s="263"/>
      <c r="AI324" s="263"/>
      <c r="AJ324" s="263"/>
      <c r="AK324" s="263"/>
      <c r="AL324" s="263"/>
      <c r="AM324" s="242"/>
    </row>
    <row r="325" spans="1:39" ht="18" customHeight="1" x14ac:dyDescent="0.15">
      <c r="A325" s="240"/>
      <c r="B325" s="242"/>
      <c r="C325" s="240"/>
      <c r="D325" s="263"/>
      <c r="E325" s="242"/>
      <c r="F325" s="242"/>
      <c r="G325" s="242"/>
      <c r="L325" s="242"/>
      <c r="M325" s="240"/>
      <c r="N325" s="263"/>
      <c r="O325" s="263"/>
      <c r="P325" s="263"/>
      <c r="Q325" s="263"/>
      <c r="R325" s="263"/>
      <c r="S325" s="263"/>
      <c r="T325" s="263"/>
      <c r="U325" s="263"/>
      <c r="V325" s="263"/>
      <c r="W325" s="263"/>
      <c r="X325" s="263"/>
      <c r="Y325" s="263"/>
      <c r="Z325" s="263"/>
      <c r="AA325" s="263"/>
      <c r="AB325" s="263"/>
      <c r="AC325" s="263"/>
      <c r="AD325" s="263"/>
      <c r="AE325" s="263"/>
      <c r="AF325" s="263"/>
      <c r="AG325" s="263"/>
      <c r="AH325" s="263"/>
      <c r="AI325" s="263"/>
      <c r="AJ325" s="263"/>
      <c r="AK325" s="263"/>
      <c r="AL325" s="263"/>
      <c r="AM325" s="242"/>
    </row>
    <row r="326" spans="1:39" ht="18" customHeight="1" x14ac:dyDescent="0.15">
      <c r="A326" s="240"/>
      <c r="B326" s="242"/>
      <c r="C326" s="240"/>
      <c r="D326" s="263"/>
      <c r="E326" s="242"/>
      <c r="F326" s="242"/>
      <c r="G326" s="242"/>
      <c r="L326" s="242"/>
      <c r="M326" s="240"/>
      <c r="N326" s="263"/>
      <c r="O326" s="263"/>
      <c r="P326" s="263"/>
      <c r="Q326" s="263"/>
      <c r="R326" s="263"/>
      <c r="S326" s="263"/>
      <c r="T326" s="263"/>
      <c r="U326" s="263"/>
      <c r="V326" s="263"/>
      <c r="W326" s="263"/>
      <c r="X326" s="263"/>
      <c r="Y326" s="263"/>
      <c r="Z326" s="263"/>
      <c r="AA326" s="263"/>
      <c r="AB326" s="263"/>
      <c r="AC326" s="263"/>
      <c r="AD326" s="263"/>
      <c r="AE326" s="263"/>
      <c r="AF326" s="263"/>
      <c r="AG326" s="263"/>
      <c r="AH326" s="263"/>
      <c r="AI326" s="263"/>
      <c r="AJ326" s="263"/>
      <c r="AK326" s="263"/>
      <c r="AL326" s="263"/>
      <c r="AM326" s="242"/>
    </row>
    <row r="327" spans="1:39" ht="18" customHeight="1" x14ac:dyDescent="0.15">
      <c r="A327" s="240"/>
      <c r="B327" s="242"/>
      <c r="C327" s="240"/>
      <c r="D327" s="263"/>
      <c r="E327" s="242"/>
      <c r="F327" s="242"/>
      <c r="G327" s="242"/>
      <c r="L327" s="242"/>
      <c r="M327" s="240"/>
      <c r="N327" s="263"/>
      <c r="O327" s="263"/>
      <c r="P327" s="263"/>
      <c r="Q327" s="263"/>
      <c r="R327" s="263"/>
      <c r="S327" s="263"/>
      <c r="T327" s="263"/>
      <c r="U327" s="263"/>
      <c r="V327" s="263"/>
      <c r="W327" s="263"/>
      <c r="X327" s="263"/>
      <c r="Y327" s="263"/>
      <c r="Z327" s="263"/>
      <c r="AA327" s="263"/>
      <c r="AB327" s="263"/>
      <c r="AC327" s="263"/>
      <c r="AD327" s="263"/>
      <c r="AE327" s="263"/>
      <c r="AF327" s="263"/>
      <c r="AG327" s="263"/>
      <c r="AH327" s="263"/>
      <c r="AI327" s="263"/>
      <c r="AJ327" s="263"/>
      <c r="AK327" s="263"/>
      <c r="AL327" s="263"/>
      <c r="AM327" s="242"/>
    </row>
    <row r="328" spans="1:39" ht="18" customHeight="1" x14ac:dyDescent="0.15">
      <c r="A328" s="240"/>
      <c r="B328" s="242"/>
      <c r="C328" s="240"/>
      <c r="D328" s="263"/>
      <c r="E328" s="242"/>
      <c r="F328" s="242"/>
      <c r="G328" s="242"/>
      <c r="L328" s="242"/>
      <c r="M328" s="240"/>
      <c r="N328" s="263"/>
      <c r="O328" s="263"/>
      <c r="P328" s="263"/>
      <c r="Q328" s="263"/>
      <c r="R328" s="263"/>
      <c r="S328" s="263"/>
      <c r="T328" s="263"/>
      <c r="U328" s="263"/>
      <c r="V328" s="263"/>
      <c r="W328" s="263"/>
      <c r="X328" s="263"/>
      <c r="Y328" s="263"/>
      <c r="Z328" s="263"/>
      <c r="AA328" s="263"/>
      <c r="AB328" s="263"/>
      <c r="AC328" s="263"/>
      <c r="AD328" s="263"/>
      <c r="AE328" s="263"/>
      <c r="AF328" s="263"/>
      <c r="AG328" s="263"/>
      <c r="AH328" s="263"/>
      <c r="AI328" s="263"/>
      <c r="AJ328" s="263"/>
      <c r="AK328" s="263"/>
      <c r="AL328" s="263"/>
      <c r="AM328" s="242"/>
    </row>
    <row r="329" spans="1:39" ht="18" customHeight="1" x14ac:dyDescent="0.15">
      <c r="A329" s="240"/>
      <c r="B329" s="242"/>
      <c r="C329" s="240"/>
      <c r="D329" s="263"/>
      <c r="E329" s="242"/>
      <c r="F329" s="242"/>
      <c r="G329" s="242"/>
      <c r="L329" s="242"/>
      <c r="M329" s="240"/>
      <c r="N329" s="263"/>
      <c r="O329" s="263"/>
      <c r="P329" s="263"/>
      <c r="Q329" s="263"/>
      <c r="R329" s="263"/>
      <c r="S329" s="263"/>
      <c r="T329" s="263"/>
      <c r="U329" s="263"/>
      <c r="V329" s="263"/>
      <c r="W329" s="263"/>
      <c r="X329" s="263"/>
      <c r="Y329" s="263"/>
      <c r="Z329" s="263"/>
      <c r="AA329" s="263"/>
      <c r="AB329" s="263"/>
      <c r="AC329" s="263"/>
      <c r="AD329" s="263"/>
      <c r="AE329" s="263"/>
      <c r="AF329" s="263"/>
      <c r="AG329" s="263"/>
      <c r="AH329" s="263"/>
      <c r="AI329" s="263"/>
      <c r="AJ329" s="263"/>
      <c r="AK329" s="263"/>
      <c r="AL329" s="263"/>
      <c r="AM329" s="242"/>
    </row>
    <row r="330" spans="1:39" ht="18" customHeight="1" x14ac:dyDescent="0.15">
      <c r="A330" s="240"/>
      <c r="B330" s="242"/>
      <c r="C330" s="240"/>
      <c r="D330" s="263"/>
      <c r="E330" s="242"/>
      <c r="F330" s="242"/>
      <c r="G330" s="242"/>
      <c r="L330" s="242"/>
      <c r="M330" s="240"/>
      <c r="N330" s="263"/>
      <c r="O330" s="263"/>
      <c r="P330" s="263"/>
      <c r="Q330" s="263"/>
      <c r="R330" s="263"/>
      <c r="S330" s="263"/>
      <c r="T330" s="263"/>
      <c r="U330" s="263"/>
      <c r="V330" s="263"/>
      <c r="W330" s="263"/>
      <c r="X330" s="263"/>
      <c r="Y330" s="263"/>
      <c r="Z330" s="263"/>
      <c r="AA330" s="263"/>
      <c r="AB330" s="263"/>
      <c r="AC330" s="263"/>
      <c r="AD330" s="263"/>
      <c r="AE330" s="263"/>
      <c r="AF330" s="263"/>
      <c r="AG330" s="263"/>
      <c r="AH330" s="263"/>
      <c r="AI330" s="263"/>
      <c r="AJ330" s="263"/>
      <c r="AK330" s="263"/>
      <c r="AL330" s="263"/>
      <c r="AM330" s="242"/>
    </row>
    <row r="331" spans="1:39" ht="18" customHeight="1" x14ac:dyDescent="0.15">
      <c r="A331" s="240"/>
      <c r="B331" s="242"/>
      <c r="C331" s="240"/>
      <c r="D331" s="263"/>
      <c r="E331" s="242"/>
      <c r="F331" s="242"/>
      <c r="G331" s="242"/>
      <c r="L331" s="242"/>
      <c r="M331" s="240"/>
      <c r="N331" s="263"/>
      <c r="O331" s="263"/>
      <c r="P331" s="263"/>
      <c r="Q331" s="263"/>
      <c r="R331" s="263"/>
      <c r="S331" s="263"/>
      <c r="T331" s="263"/>
      <c r="U331" s="263"/>
      <c r="V331" s="263"/>
      <c r="W331" s="263"/>
      <c r="X331" s="263"/>
      <c r="Y331" s="263"/>
      <c r="Z331" s="263"/>
      <c r="AA331" s="263"/>
      <c r="AB331" s="263"/>
      <c r="AC331" s="263"/>
      <c r="AD331" s="263"/>
      <c r="AE331" s="263"/>
      <c r="AF331" s="263"/>
      <c r="AG331" s="263"/>
      <c r="AH331" s="263"/>
      <c r="AI331" s="263"/>
      <c r="AJ331" s="263"/>
      <c r="AK331" s="263"/>
      <c r="AL331" s="263"/>
      <c r="AM331" s="242"/>
    </row>
    <row r="332" spans="1:39" ht="18" customHeight="1" x14ac:dyDescent="0.15">
      <c r="A332" s="240"/>
      <c r="B332" s="242"/>
      <c r="C332" s="240"/>
      <c r="D332" s="263"/>
      <c r="E332" s="242"/>
      <c r="F332" s="242"/>
      <c r="G332" s="242"/>
      <c r="H332" s="240"/>
      <c r="I332" s="263"/>
      <c r="J332" s="263"/>
      <c r="K332" s="263"/>
      <c r="L332" s="242"/>
      <c r="Q332" s="263"/>
      <c r="R332" s="263"/>
      <c r="S332" s="263"/>
      <c r="T332" s="263"/>
      <c r="U332" s="263"/>
      <c r="V332" s="263"/>
      <c r="W332" s="263"/>
      <c r="X332" s="263"/>
      <c r="Y332" s="263"/>
      <c r="Z332" s="263"/>
      <c r="AA332" s="263"/>
      <c r="AB332" s="263"/>
      <c r="AC332" s="263"/>
      <c r="AD332" s="263"/>
      <c r="AE332" s="263"/>
      <c r="AF332" s="263"/>
      <c r="AG332" s="263"/>
      <c r="AH332" s="263"/>
      <c r="AI332" s="263"/>
      <c r="AJ332" s="263"/>
      <c r="AK332" s="263"/>
      <c r="AL332" s="263"/>
      <c r="AM332" s="242"/>
    </row>
    <row r="333" spans="1:39" ht="18" customHeight="1" x14ac:dyDescent="0.15">
      <c r="A333" s="240"/>
      <c r="B333" s="242"/>
      <c r="C333" s="240"/>
      <c r="D333" s="263"/>
      <c r="E333" s="242"/>
      <c r="F333" s="242"/>
      <c r="G333" s="242"/>
      <c r="H333" s="240"/>
      <c r="I333" s="263"/>
      <c r="J333" s="263"/>
      <c r="K333" s="263"/>
      <c r="L333" s="242"/>
      <c r="Q333" s="263"/>
      <c r="R333" s="263"/>
      <c r="S333" s="263"/>
      <c r="T333" s="263"/>
      <c r="U333" s="263"/>
      <c r="V333" s="263"/>
      <c r="W333" s="263"/>
      <c r="X333" s="263"/>
      <c r="Y333" s="263"/>
      <c r="Z333" s="263"/>
      <c r="AA333" s="263"/>
      <c r="AB333" s="263"/>
      <c r="AC333" s="263"/>
      <c r="AD333" s="263"/>
      <c r="AE333" s="263"/>
      <c r="AF333" s="263"/>
      <c r="AG333" s="263"/>
      <c r="AH333" s="263"/>
      <c r="AI333" s="263"/>
      <c r="AJ333" s="263"/>
      <c r="AK333" s="263"/>
      <c r="AL333" s="263"/>
      <c r="AM333" s="242"/>
    </row>
    <row r="334" spans="1:39" ht="18" customHeight="1" x14ac:dyDescent="0.15">
      <c r="A334" s="240"/>
      <c r="B334" s="242"/>
      <c r="C334" s="240"/>
      <c r="D334" s="263"/>
      <c r="E334" s="242"/>
      <c r="F334" s="242"/>
      <c r="G334" s="242"/>
      <c r="H334" s="240"/>
      <c r="I334" s="263"/>
      <c r="J334" s="263"/>
      <c r="K334" s="263"/>
      <c r="L334" s="242"/>
      <c r="Q334" s="263"/>
      <c r="R334" s="263"/>
      <c r="S334" s="263"/>
      <c r="T334" s="263"/>
      <c r="U334" s="263"/>
      <c r="V334" s="263"/>
      <c r="W334" s="263"/>
      <c r="X334" s="263"/>
      <c r="Y334" s="263"/>
      <c r="Z334" s="263"/>
      <c r="AA334" s="263"/>
      <c r="AB334" s="263"/>
      <c r="AC334" s="263"/>
      <c r="AD334" s="263"/>
      <c r="AE334" s="263"/>
      <c r="AF334" s="263"/>
      <c r="AG334" s="263"/>
      <c r="AH334" s="263"/>
      <c r="AI334" s="263"/>
      <c r="AJ334" s="263"/>
      <c r="AK334" s="263"/>
      <c r="AL334" s="263"/>
      <c r="AM334" s="242"/>
    </row>
    <row r="335" spans="1:39" ht="18" customHeight="1" x14ac:dyDescent="0.15">
      <c r="A335" s="240"/>
      <c r="B335" s="242"/>
      <c r="C335" s="240"/>
      <c r="D335" s="263"/>
      <c r="E335" s="242"/>
      <c r="F335" s="242"/>
      <c r="G335" s="242"/>
      <c r="H335" s="240"/>
      <c r="I335" s="263"/>
      <c r="J335" s="263"/>
      <c r="K335" s="263"/>
      <c r="L335" s="242"/>
      <c r="Q335" s="263"/>
      <c r="R335" s="263"/>
      <c r="S335" s="263"/>
      <c r="T335" s="263"/>
      <c r="U335" s="263"/>
      <c r="V335" s="263"/>
      <c r="W335" s="263"/>
      <c r="X335" s="263"/>
      <c r="Y335" s="263"/>
      <c r="Z335" s="263"/>
      <c r="AA335" s="263"/>
      <c r="AB335" s="263"/>
      <c r="AC335" s="263"/>
      <c r="AD335" s="263"/>
      <c r="AE335" s="263"/>
      <c r="AF335" s="263"/>
      <c r="AG335" s="263"/>
      <c r="AH335" s="263"/>
      <c r="AI335" s="263"/>
      <c r="AJ335" s="263"/>
      <c r="AK335" s="263"/>
      <c r="AL335" s="263"/>
      <c r="AM335" s="242"/>
    </row>
    <row r="336" spans="1:39" ht="18" customHeight="1" x14ac:dyDescent="0.15">
      <c r="A336" s="240"/>
      <c r="B336" s="242"/>
      <c r="C336" s="240"/>
      <c r="D336" s="263"/>
      <c r="E336" s="242"/>
      <c r="F336" s="242"/>
      <c r="G336" s="242"/>
      <c r="H336" s="240"/>
      <c r="I336" s="263"/>
      <c r="J336" s="263"/>
      <c r="K336" s="263"/>
      <c r="L336" s="242"/>
      <c r="Q336" s="263"/>
      <c r="R336" s="263"/>
      <c r="S336" s="263"/>
      <c r="T336" s="263"/>
      <c r="U336" s="263"/>
      <c r="V336" s="263"/>
      <c r="W336" s="263"/>
      <c r="X336" s="263"/>
      <c r="Y336" s="263"/>
      <c r="Z336" s="263"/>
      <c r="AA336" s="263"/>
      <c r="AB336" s="263"/>
      <c r="AC336" s="263"/>
      <c r="AD336" s="263"/>
      <c r="AE336" s="263"/>
      <c r="AF336" s="263"/>
      <c r="AG336" s="263"/>
      <c r="AH336" s="263"/>
      <c r="AI336" s="263"/>
      <c r="AJ336" s="263"/>
      <c r="AK336" s="263"/>
      <c r="AL336" s="263"/>
      <c r="AM336" s="242"/>
    </row>
    <row r="337" spans="1:39" ht="18" customHeight="1" x14ac:dyDescent="0.15">
      <c r="A337" s="240"/>
      <c r="B337" s="242"/>
      <c r="C337" s="240"/>
      <c r="D337" s="263"/>
      <c r="E337" s="242"/>
      <c r="F337" s="242"/>
      <c r="G337" s="242"/>
      <c r="H337" s="240"/>
      <c r="I337" s="263"/>
      <c r="J337" s="263"/>
      <c r="K337" s="263"/>
      <c r="L337" s="242"/>
      <c r="Q337" s="263"/>
      <c r="R337" s="263"/>
      <c r="S337" s="263"/>
      <c r="T337" s="263"/>
      <c r="U337" s="263"/>
      <c r="V337" s="263"/>
      <c r="W337" s="263"/>
      <c r="X337" s="263"/>
      <c r="Y337" s="263"/>
      <c r="Z337" s="263"/>
      <c r="AA337" s="263"/>
      <c r="AB337" s="263"/>
      <c r="AC337" s="263"/>
      <c r="AD337" s="263"/>
      <c r="AE337" s="263"/>
      <c r="AF337" s="263"/>
      <c r="AG337" s="263"/>
      <c r="AH337" s="263"/>
      <c r="AI337" s="263"/>
      <c r="AJ337" s="263"/>
      <c r="AK337" s="263"/>
      <c r="AL337" s="263"/>
      <c r="AM337" s="242"/>
    </row>
    <row r="338" spans="1:39" ht="18" customHeight="1" x14ac:dyDescent="0.15">
      <c r="A338" s="240"/>
      <c r="B338" s="242"/>
      <c r="C338" s="240"/>
      <c r="D338" s="263"/>
      <c r="E338" s="242"/>
      <c r="F338" s="242"/>
      <c r="G338" s="242"/>
      <c r="H338" s="240"/>
      <c r="I338" s="263"/>
      <c r="J338" s="263"/>
      <c r="K338" s="263"/>
      <c r="L338" s="242"/>
      <c r="Q338" s="263"/>
      <c r="R338" s="263"/>
      <c r="S338" s="263"/>
      <c r="T338" s="263"/>
      <c r="U338" s="263"/>
      <c r="V338" s="263"/>
      <c r="W338" s="263"/>
      <c r="X338" s="263"/>
      <c r="Y338" s="263"/>
      <c r="Z338" s="263"/>
      <c r="AA338" s="263"/>
      <c r="AB338" s="263"/>
      <c r="AC338" s="263"/>
      <c r="AD338" s="263"/>
      <c r="AE338" s="263"/>
      <c r="AF338" s="263"/>
      <c r="AG338" s="263"/>
      <c r="AH338" s="263"/>
      <c r="AI338" s="263"/>
      <c r="AJ338" s="263"/>
      <c r="AK338" s="263"/>
      <c r="AL338" s="263"/>
      <c r="AM338" s="242"/>
    </row>
    <row r="339" spans="1:39" ht="18" customHeight="1" x14ac:dyDescent="0.15">
      <c r="A339" s="240"/>
      <c r="B339" s="242"/>
      <c r="C339" s="240"/>
      <c r="D339" s="263"/>
      <c r="E339" s="242"/>
      <c r="F339" s="242"/>
      <c r="G339" s="242"/>
      <c r="H339" s="240"/>
      <c r="I339" s="263"/>
      <c r="J339" s="263"/>
      <c r="K339" s="263"/>
      <c r="L339" s="242"/>
      <c r="Q339" s="263"/>
      <c r="R339" s="263"/>
      <c r="S339" s="263"/>
      <c r="T339" s="263"/>
      <c r="U339" s="263"/>
      <c r="V339" s="263"/>
      <c r="W339" s="263"/>
      <c r="X339" s="263"/>
      <c r="Y339" s="263"/>
      <c r="Z339" s="263"/>
      <c r="AA339" s="263"/>
      <c r="AB339" s="263"/>
      <c r="AC339" s="263"/>
      <c r="AD339" s="263"/>
      <c r="AE339" s="263"/>
      <c r="AF339" s="263"/>
      <c r="AG339" s="263"/>
      <c r="AH339" s="263"/>
      <c r="AI339" s="263"/>
      <c r="AJ339" s="263"/>
      <c r="AK339" s="263"/>
      <c r="AL339" s="263"/>
      <c r="AM339" s="242"/>
    </row>
    <row r="340" spans="1:39" ht="18" customHeight="1" x14ac:dyDescent="0.15">
      <c r="A340" s="240"/>
      <c r="B340" s="242"/>
      <c r="C340" s="240"/>
      <c r="D340" s="263"/>
      <c r="E340" s="242"/>
      <c r="F340" s="242"/>
      <c r="G340" s="242"/>
      <c r="H340" s="240"/>
      <c r="I340" s="263"/>
      <c r="J340" s="263"/>
      <c r="K340" s="263"/>
      <c r="L340" s="242"/>
      <c r="Q340" s="263"/>
      <c r="R340" s="263"/>
      <c r="S340" s="263"/>
      <c r="T340" s="263"/>
      <c r="U340" s="263"/>
      <c r="V340" s="263"/>
      <c r="W340" s="263"/>
      <c r="X340" s="263"/>
      <c r="Y340" s="263"/>
      <c r="Z340" s="263"/>
      <c r="AA340" s="263"/>
      <c r="AB340" s="263"/>
      <c r="AC340" s="263"/>
      <c r="AD340" s="263"/>
      <c r="AE340" s="263"/>
      <c r="AF340" s="263"/>
      <c r="AG340" s="263"/>
      <c r="AH340" s="263"/>
      <c r="AI340" s="263"/>
      <c r="AJ340" s="263"/>
      <c r="AK340" s="263"/>
      <c r="AL340" s="263"/>
      <c r="AM340" s="242"/>
    </row>
    <row r="341" spans="1:39" ht="18" customHeight="1" x14ac:dyDescent="0.15">
      <c r="A341" s="240"/>
      <c r="B341" s="242"/>
      <c r="C341" s="240"/>
      <c r="D341" s="263"/>
      <c r="E341" s="242"/>
      <c r="F341" s="242"/>
      <c r="G341" s="242"/>
      <c r="H341" s="240"/>
      <c r="I341" s="263"/>
      <c r="J341" s="263"/>
      <c r="K341" s="263"/>
      <c r="L341" s="242"/>
      <c r="Q341" s="263"/>
      <c r="R341" s="263"/>
      <c r="S341" s="263"/>
      <c r="T341" s="263"/>
      <c r="U341" s="263"/>
      <c r="V341" s="263"/>
      <c r="W341" s="263"/>
      <c r="X341" s="263"/>
      <c r="Y341" s="263"/>
      <c r="Z341" s="263"/>
      <c r="AA341" s="263"/>
      <c r="AB341" s="263"/>
      <c r="AC341" s="263"/>
      <c r="AD341" s="263"/>
      <c r="AE341" s="263"/>
      <c r="AF341" s="263"/>
      <c r="AG341" s="263"/>
      <c r="AH341" s="263"/>
      <c r="AI341" s="263"/>
      <c r="AJ341" s="263"/>
      <c r="AK341" s="263"/>
      <c r="AL341" s="263"/>
      <c r="AM341" s="242"/>
    </row>
    <row r="342" spans="1:39" ht="18" customHeight="1" x14ac:dyDescent="0.15">
      <c r="A342" s="240"/>
      <c r="B342" s="242"/>
      <c r="C342" s="240"/>
      <c r="D342" s="263"/>
      <c r="E342" s="242"/>
      <c r="F342" s="242"/>
      <c r="G342" s="242"/>
      <c r="H342" s="240"/>
      <c r="I342" s="263"/>
      <c r="J342" s="263"/>
      <c r="K342" s="263"/>
      <c r="L342" s="242"/>
      <c r="Q342" s="263"/>
      <c r="R342" s="263"/>
      <c r="S342" s="263"/>
      <c r="T342" s="263"/>
      <c r="U342" s="263"/>
      <c r="V342" s="263"/>
      <c r="W342" s="263"/>
      <c r="X342" s="263"/>
      <c r="Y342" s="263"/>
      <c r="Z342" s="263"/>
      <c r="AA342" s="263"/>
      <c r="AB342" s="263"/>
      <c r="AC342" s="263"/>
      <c r="AD342" s="263"/>
      <c r="AE342" s="263"/>
      <c r="AF342" s="263"/>
      <c r="AG342" s="263"/>
      <c r="AH342" s="263"/>
      <c r="AI342" s="263"/>
      <c r="AJ342" s="263"/>
      <c r="AK342" s="263"/>
      <c r="AL342" s="263"/>
      <c r="AM342" s="242"/>
    </row>
    <row r="343" spans="1:39" ht="18" customHeight="1" x14ac:dyDescent="0.15">
      <c r="A343" s="240"/>
      <c r="B343" s="242"/>
      <c r="C343" s="240"/>
      <c r="D343" s="263"/>
      <c r="E343" s="242"/>
      <c r="F343" s="242"/>
      <c r="G343" s="242"/>
      <c r="H343" s="240"/>
      <c r="I343" s="263"/>
      <c r="J343" s="263"/>
      <c r="K343" s="263"/>
      <c r="L343" s="242"/>
      <c r="Q343" s="263"/>
      <c r="R343" s="263"/>
      <c r="S343" s="263"/>
      <c r="T343" s="263"/>
      <c r="U343" s="263"/>
      <c r="V343" s="263"/>
      <c r="W343" s="263"/>
      <c r="X343" s="263"/>
      <c r="Y343" s="263"/>
      <c r="Z343" s="263"/>
      <c r="AA343" s="263"/>
      <c r="AB343" s="263"/>
      <c r="AC343" s="263"/>
      <c r="AD343" s="263"/>
      <c r="AE343" s="263"/>
      <c r="AF343" s="263"/>
      <c r="AG343" s="263"/>
      <c r="AH343" s="263"/>
      <c r="AI343" s="263"/>
      <c r="AJ343" s="263"/>
      <c r="AK343" s="263"/>
      <c r="AL343" s="263"/>
      <c r="AM343" s="242"/>
    </row>
    <row r="344" spans="1:39" ht="18" customHeight="1" x14ac:dyDescent="0.15">
      <c r="A344" s="240"/>
      <c r="B344" s="242"/>
      <c r="C344" s="240"/>
      <c r="D344" s="263"/>
      <c r="E344" s="242"/>
      <c r="F344" s="242"/>
      <c r="G344" s="242"/>
      <c r="H344" s="240"/>
      <c r="I344" s="263"/>
      <c r="J344" s="263"/>
      <c r="K344" s="263"/>
      <c r="L344" s="242"/>
      <c r="Q344" s="263"/>
      <c r="R344" s="263"/>
      <c r="S344" s="263"/>
      <c r="T344" s="263"/>
      <c r="U344" s="263"/>
      <c r="V344" s="263"/>
      <c r="W344" s="263"/>
      <c r="X344" s="263"/>
      <c r="Y344" s="263"/>
      <c r="Z344" s="263"/>
      <c r="AA344" s="263"/>
      <c r="AB344" s="263"/>
      <c r="AC344" s="263"/>
      <c r="AD344" s="263"/>
      <c r="AE344" s="263"/>
      <c r="AF344" s="263"/>
      <c r="AG344" s="263"/>
      <c r="AH344" s="263"/>
      <c r="AI344" s="263"/>
      <c r="AJ344" s="263"/>
      <c r="AK344" s="263"/>
      <c r="AL344" s="263"/>
      <c r="AM344" s="242"/>
    </row>
    <row r="345" spans="1:39" ht="18" customHeight="1" x14ac:dyDescent="0.15">
      <c r="A345" s="240"/>
      <c r="B345" s="242"/>
      <c r="C345" s="240"/>
      <c r="D345" s="263"/>
      <c r="E345" s="242"/>
      <c r="F345" s="242"/>
      <c r="G345" s="242"/>
      <c r="H345" s="240"/>
      <c r="I345" s="263"/>
      <c r="J345" s="263"/>
      <c r="K345" s="263"/>
      <c r="L345" s="242"/>
      <c r="Q345" s="263"/>
      <c r="R345" s="263"/>
      <c r="S345" s="263"/>
      <c r="T345" s="263"/>
      <c r="U345" s="263"/>
      <c r="V345" s="263"/>
      <c r="W345" s="263"/>
      <c r="X345" s="263"/>
      <c r="Y345" s="263"/>
      <c r="Z345" s="263"/>
      <c r="AA345" s="263"/>
      <c r="AB345" s="263"/>
      <c r="AC345" s="263"/>
      <c r="AD345" s="263"/>
      <c r="AE345" s="263"/>
      <c r="AF345" s="263"/>
      <c r="AG345" s="263"/>
      <c r="AH345" s="263"/>
      <c r="AI345" s="263"/>
      <c r="AJ345" s="263"/>
      <c r="AK345" s="263"/>
      <c r="AL345" s="263"/>
      <c r="AM345" s="242"/>
    </row>
    <row r="346" spans="1:39" ht="18" customHeight="1" x14ac:dyDescent="0.15">
      <c r="A346" s="240"/>
      <c r="B346" s="242"/>
      <c r="C346" s="240"/>
      <c r="D346" s="263"/>
      <c r="E346" s="242"/>
      <c r="F346" s="242"/>
      <c r="G346" s="242"/>
      <c r="H346" s="240"/>
      <c r="I346" s="263"/>
      <c r="J346" s="263"/>
      <c r="K346" s="263"/>
      <c r="L346" s="242"/>
      <c r="Q346" s="263"/>
      <c r="R346" s="263"/>
      <c r="S346" s="263"/>
      <c r="T346" s="263"/>
      <c r="U346" s="263"/>
      <c r="V346" s="263"/>
      <c r="W346" s="263"/>
      <c r="X346" s="263"/>
      <c r="Y346" s="263"/>
      <c r="Z346" s="263"/>
      <c r="AA346" s="263"/>
      <c r="AB346" s="263"/>
      <c r="AC346" s="263"/>
      <c r="AD346" s="263"/>
      <c r="AE346" s="263"/>
      <c r="AF346" s="263"/>
      <c r="AG346" s="263"/>
      <c r="AH346" s="263"/>
      <c r="AI346" s="263"/>
      <c r="AJ346" s="263"/>
      <c r="AK346" s="263"/>
      <c r="AL346" s="263"/>
      <c r="AM346" s="242"/>
    </row>
    <row r="347" spans="1:39" ht="18" customHeight="1" x14ac:dyDescent="0.15">
      <c r="A347" s="240"/>
      <c r="B347" s="242"/>
      <c r="C347" s="240"/>
      <c r="D347" s="263"/>
      <c r="E347" s="242"/>
      <c r="F347" s="242"/>
      <c r="G347" s="242"/>
      <c r="H347" s="240"/>
      <c r="I347" s="263"/>
      <c r="J347" s="263"/>
      <c r="K347" s="263"/>
      <c r="L347" s="242"/>
      <c r="Q347" s="263"/>
      <c r="R347" s="263"/>
      <c r="S347" s="263"/>
      <c r="T347" s="263"/>
      <c r="U347" s="263"/>
      <c r="V347" s="263"/>
      <c r="W347" s="263"/>
      <c r="X347" s="263"/>
      <c r="Y347" s="263"/>
      <c r="Z347" s="263"/>
      <c r="AA347" s="263"/>
      <c r="AB347" s="263"/>
      <c r="AC347" s="263"/>
      <c r="AD347" s="263"/>
      <c r="AE347" s="263"/>
      <c r="AF347" s="263"/>
      <c r="AG347" s="263"/>
      <c r="AH347" s="263"/>
      <c r="AI347" s="263"/>
      <c r="AJ347" s="263"/>
      <c r="AK347" s="263"/>
      <c r="AL347" s="263"/>
      <c r="AM347" s="242"/>
    </row>
    <row r="348" spans="1:39" ht="18" customHeight="1" x14ac:dyDescent="0.15">
      <c r="A348" s="240"/>
      <c r="B348" s="242"/>
      <c r="C348" s="240"/>
      <c r="D348" s="263"/>
      <c r="E348" s="242"/>
      <c r="F348" s="242"/>
      <c r="G348" s="242"/>
      <c r="H348" s="240"/>
      <c r="I348" s="263"/>
      <c r="J348" s="263"/>
      <c r="K348" s="263"/>
      <c r="L348" s="242"/>
      <c r="Q348" s="263"/>
      <c r="R348" s="263"/>
      <c r="S348" s="263"/>
      <c r="T348" s="263"/>
      <c r="U348" s="263"/>
      <c r="V348" s="263"/>
      <c r="W348" s="263"/>
      <c r="X348" s="263"/>
      <c r="Y348" s="263"/>
      <c r="Z348" s="263"/>
      <c r="AA348" s="263"/>
      <c r="AB348" s="263"/>
      <c r="AC348" s="263"/>
      <c r="AD348" s="263"/>
      <c r="AE348" s="263"/>
      <c r="AF348" s="263"/>
      <c r="AG348" s="263"/>
      <c r="AH348" s="263"/>
      <c r="AI348" s="263"/>
      <c r="AJ348" s="263"/>
      <c r="AK348" s="263"/>
      <c r="AL348" s="263"/>
      <c r="AM348" s="242"/>
    </row>
    <row r="349" spans="1:39" ht="18" customHeight="1" x14ac:dyDescent="0.15">
      <c r="A349" s="240"/>
      <c r="B349" s="242"/>
      <c r="C349" s="240"/>
      <c r="D349" s="263"/>
      <c r="E349" s="242"/>
      <c r="F349" s="242"/>
      <c r="G349" s="242"/>
      <c r="H349" s="240"/>
      <c r="I349" s="263"/>
      <c r="J349" s="263"/>
      <c r="K349" s="263"/>
      <c r="L349" s="242"/>
      <c r="Q349" s="263"/>
      <c r="R349" s="263"/>
      <c r="S349" s="263"/>
      <c r="T349" s="263"/>
      <c r="U349" s="263"/>
      <c r="V349" s="263"/>
      <c r="W349" s="263"/>
      <c r="X349" s="263"/>
      <c r="Y349" s="263"/>
      <c r="Z349" s="263"/>
      <c r="AA349" s="263"/>
      <c r="AB349" s="263"/>
      <c r="AC349" s="263"/>
      <c r="AD349" s="263"/>
      <c r="AE349" s="263"/>
      <c r="AF349" s="263"/>
      <c r="AG349" s="263"/>
      <c r="AH349" s="263"/>
      <c r="AI349" s="263"/>
      <c r="AJ349" s="263"/>
      <c r="AK349" s="263"/>
      <c r="AL349" s="263"/>
      <c r="AM349" s="242"/>
    </row>
    <row r="350" spans="1:39" ht="18" customHeight="1" x14ac:dyDescent="0.15">
      <c r="A350" s="240"/>
      <c r="B350" s="242"/>
      <c r="C350" s="240"/>
      <c r="D350" s="263"/>
      <c r="E350" s="242"/>
      <c r="F350" s="242"/>
      <c r="G350" s="242"/>
      <c r="H350" s="240"/>
      <c r="I350" s="263"/>
      <c r="J350" s="263"/>
      <c r="K350" s="263"/>
      <c r="L350" s="242"/>
      <c r="Q350" s="263"/>
      <c r="R350" s="263"/>
      <c r="S350" s="263"/>
      <c r="T350" s="263"/>
      <c r="U350" s="263"/>
      <c r="V350" s="263"/>
      <c r="W350" s="263"/>
      <c r="X350" s="263"/>
      <c r="Y350" s="263"/>
      <c r="Z350" s="263"/>
      <c r="AA350" s="263"/>
      <c r="AB350" s="263"/>
      <c r="AC350" s="263"/>
      <c r="AD350" s="263"/>
      <c r="AE350" s="263"/>
      <c r="AF350" s="263"/>
      <c r="AG350" s="263"/>
      <c r="AH350" s="263"/>
      <c r="AI350" s="263"/>
      <c r="AJ350" s="263"/>
      <c r="AK350" s="263"/>
      <c r="AL350" s="263"/>
      <c r="AM350" s="242"/>
    </row>
    <row r="351" spans="1:39" ht="18" customHeight="1" x14ac:dyDescent="0.15">
      <c r="A351" s="240"/>
      <c r="B351" s="242"/>
      <c r="C351" s="240"/>
      <c r="D351" s="263"/>
      <c r="E351" s="242"/>
      <c r="F351" s="242"/>
      <c r="G351" s="242"/>
      <c r="H351" s="240"/>
      <c r="I351" s="263"/>
      <c r="J351" s="263"/>
      <c r="K351" s="263"/>
      <c r="L351" s="242"/>
      <c r="Q351" s="263"/>
      <c r="R351" s="263"/>
      <c r="S351" s="263"/>
      <c r="T351" s="263"/>
      <c r="U351" s="263"/>
      <c r="V351" s="263"/>
      <c r="W351" s="263"/>
      <c r="X351" s="263"/>
      <c r="Y351" s="263"/>
      <c r="Z351" s="263"/>
      <c r="AA351" s="263"/>
      <c r="AB351" s="263"/>
      <c r="AC351" s="263"/>
      <c r="AD351" s="263"/>
      <c r="AE351" s="263"/>
      <c r="AF351" s="263"/>
      <c r="AG351" s="263"/>
      <c r="AH351" s="263"/>
      <c r="AI351" s="263"/>
      <c r="AJ351" s="263"/>
      <c r="AK351" s="263"/>
      <c r="AL351" s="263"/>
      <c r="AM351" s="242"/>
    </row>
    <row r="352" spans="1:39" ht="18" customHeight="1" x14ac:dyDescent="0.15">
      <c r="A352" s="240"/>
      <c r="B352" s="242"/>
      <c r="C352" s="240"/>
      <c r="D352" s="263"/>
      <c r="E352" s="242"/>
      <c r="F352" s="242"/>
      <c r="G352" s="242"/>
      <c r="H352" s="240"/>
      <c r="I352" s="263"/>
      <c r="J352" s="263"/>
      <c r="K352" s="263"/>
      <c r="L352" s="242"/>
      <c r="Q352" s="263"/>
      <c r="R352" s="263"/>
      <c r="S352" s="263"/>
      <c r="T352" s="263"/>
      <c r="U352" s="263"/>
      <c r="V352" s="263"/>
      <c r="W352" s="263"/>
      <c r="X352" s="263"/>
      <c r="Y352" s="263"/>
      <c r="Z352" s="263"/>
      <c r="AA352" s="263"/>
      <c r="AB352" s="263"/>
      <c r="AC352" s="263"/>
      <c r="AD352" s="263"/>
      <c r="AE352" s="263"/>
      <c r="AF352" s="263"/>
      <c r="AG352" s="263"/>
      <c r="AH352" s="263"/>
      <c r="AI352" s="263"/>
      <c r="AJ352" s="263"/>
      <c r="AK352" s="263"/>
      <c r="AL352" s="263"/>
      <c r="AM352" s="242"/>
    </row>
    <row r="353" spans="1:39" ht="18" customHeight="1" x14ac:dyDescent="0.15">
      <c r="A353" s="240"/>
      <c r="B353" s="242"/>
      <c r="C353" s="240"/>
      <c r="D353" s="263"/>
      <c r="E353" s="242"/>
      <c r="F353" s="242"/>
      <c r="G353" s="242"/>
      <c r="H353" s="240"/>
      <c r="I353" s="263"/>
      <c r="J353" s="263"/>
      <c r="K353" s="263"/>
      <c r="L353" s="242"/>
      <c r="Q353" s="263"/>
      <c r="R353" s="263"/>
      <c r="S353" s="263"/>
      <c r="T353" s="263"/>
      <c r="U353" s="263"/>
      <c r="V353" s="263"/>
      <c r="W353" s="263"/>
      <c r="X353" s="263"/>
      <c r="Y353" s="263"/>
      <c r="Z353" s="263"/>
      <c r="AA353" s="263"/>
      <c r="AB353" s="263"/>
      <c r="AC353" s="263"/>
      <c r="AD353" s="263"/>
      <c r="AE353" s="263"/>
      <c r="AF353" s="263"/>
      <c r="AG353" s="263"/>
      <c r="AH353" s="263"/>
      <c r="AI353" s="263"/>
      <c r="AJ353" s="263"/>
      <c r="AK353" s="263"/>
      <c r="AL353" s="263"/>
      <c r="AM353" s="242"/>
    </row>
    <row r="354" spans="1:39" ht="18" customHeight="1" x14ac:dyDescent="0.15">
      <c r="A354" s="240"/>
      <c r="B354" s="242"/>
      <c r="C354" s="240"/>
      <c r="D354" s="263"/>
      <c r="E354" s="242"/>
      <c r="F354" s="242"/>
      <c r="G354" s="242"/>
      <c r="H354" s="240"/>
      <c r="I354" s="263"/>
      <c r="J354" s="263"/>
      <c r="K354" s="263"/>
      <c r="L354" s="242"/>
      <c r="Q354" s="263"/>
      <c r="R354" s="263"/>
      <c r="S354" s="263"/>
      <c r="T354" s="263"/>
      <c r="U354" s="263"/>
      <c r="V354" s="263"/>
      <c r="W354" s="263"/>
      <c r="X354" s="263"/>
      <c r="Y354" s="263"/>
      <c r="Z354" s="263"/>
      <c r="AA354" s="263"/>
      <c r="AB354" s="263"/>
      <c r="AC354" s="263"/>
      <c r="AD354" s="263"/>
      <c r="AE354" s="263"/>
      <c r="AF354" s="263"/>
      <c r="AG354" s="263"/>
      <c r="AH354" s="263"/>
      <c r="AI354" s="263"/>
      <c r="AJ354" s="263"/>
      <c r="AK354" s="263"/>
      <c r="AL354" s="263"/>
      <c r="AM354" s="242"/>
    </row>
    <row r="355" spans="1:39" ht="18" customHeight="1" x14ac:dyDescent="0.15">
      <c r="A355" s="240"/>
      <c r="B355" s="242"/>
      <c r="C355" s="240"/>
      <c r="D355" s="263"/>
      <c r="E355" s="242"/>
      <c r="F355" s="242"/>
      <c r="G355" s="242"/>
      <c r="H355" s="240"/>
      <c r="I355" s="263"/>
      <c r="J355" s="263"/>
      <c r="K355" s="263"/>
      <c r="L355" s="242"/>
      <c r="Q355" s="263"/>
      <c r="R355" s="263"/>
      <c r="S355" s="263"/>
      <c r="T355" s="263"/>
      <c r="U355" s="263"/>
      <c r="V355" s="263"/>
      <c r="W355" s="263"/>
      <c r="X355" s="263"/>
      <c r="Y355" s="263"/>
      <c r="Z355" s="263"/>
      <c r="AA355" s="263"/>
      <c r="AB355" s="263"/>
      <c r="AC355" s="263"/>
      <c r="AD355" s="263"/>
      <c r="AE355" s="263"/>
      <c r="AF355" s="263"/>
      <c r="AG355" s="263"/>
      <c r="AH355" s="263"/>
      <c r="AI355" s="263"/>
      <c r="AJ355" s="263"/>
      <c r="AK355" s="263"/>
      <c r="AL355" s="263"/>
      <c r="AM355" s="242"/>
    </row>
    <row r="356" spans="1:39" ht="18" customHeight="1" x14ac:dyDescent="0.15">
      <c r="A356" s="240"/>
      <c r="B356" s="242"/>
      <c r="C356" s="240"/>
      <c r="D356" s="263"/>
      <c r="E356" s="242"/>
      <c r="F356" s="242"/>
      <c r="G356" s="242"/>
      <c r="H356" s="240"/>
      <c r="I356" s="263"/>
      <c r="J356" s="263"/>
      <c r="K356" s="263"/>
      <c r="L356" s="242"/>
      <c r="Q356" s="263"/>
      <c r="R356" s="263"/>
      <c r="S356" s="263"/>
      <c r="T356" s="263"/>
      <c r="U356" s="263"/>
      <c r="V356" s="263"/>
      <c r="W356" s="263"/>
      <c r="X356" s="263"/>
      <c r="Y356" s="263"/>
      <c r="Z356" s="263"/>
      <c r="AA356" s="263"/>
      <c r="AB356" s="263"/>
      <c r="AC356" s="263"/>
      <c r="AD356" s="263"/>
      <c r="AE356" s="263"/>
      <c r="AF356" s="263"/>
      <c r="AG356" s="263"/>
      <c r="AH356" s="263"/>
      <c r="AI356" s="263"/>
      <c r="AJ356" s="263"/>
      <c r="AK356" s="263"/>
      <c r="AL356" s="263"/>
      <c r="AM356" s="242"/>
    </row>
    <row r="357" spans="1:39" ht="18" customHeight="1" x14ac:dyDescent="0.15">
      <c r="A357" s="240"/>
      <c r="B357" s="242"/>
      <c r="C357" s="240"/>
      <c r="D357" s="263"/>
      <c r="E357" s="242"/>
      <c r="F357" s="242"/>
      <c r="G357" s="242"/>
      <c r="H357" s="240"/>
      <c r="I357" s="263"/>
      <c r="J357" s="263"/>
      <c r="K357" s="263"/>
      <c r="L357" s="242"/>
      <c r="Q357" s="263"/>
      <c r="R357" s="263"/>
      <c r="S357" s="263"/>
      <c r="T357" s="263"/>
      <c r="U357" s="263"/>
      <c r="V357" s="263"/>
      <c r="W357" s="263"/>
      <c r="X357" s="263"/>
      <c r="Y357" s="263"/>
      <c r="Z357" s="263"/>
      <c r="AA357" s="263"/>
      <c r="AB357" s="263"/>
      <c r="AC357" s="263"/>
      <c r="AD357" s="263"/>
      <c r="AE357" s="263"/>
      <c r="AF357" s="263"/>
      <c r="AG357" s="263"/>
      <c r="AH357" s="263"/>
      <c r="AI357" s="263"/>
      <c r="AJ357" s="263"/>
      <c r="AK357" s="263"/>
      <c r="AL357" s="263"/>
      <c r="AM357" s="242"/>
    </row>
    <row r="358" spans="1:39" ht="18" customHeight="1" x14ac:dyDescent="0.15">
      <c r="A358" s="240"/>
      <c r="B358" s="242"/>
      <c r="C358" s="240"/>
      <c r="D358" s="263"/>
      <c r="E358" s="242"/>
      <c r="F358" s="242"/>
      <c r="G358" s="242"/>
      <c r="H358" s="240"/>
      <c r="I358" s="263"/>
      <c r="J358" s="263"/>
      <c r="K358" s="263"/>
      <c r="L358" s="242"/>
      <c r="Q358" s="263"/>
      <c r="R358" s="263"/>
      <c r="S358" s="263"/>
      <c r="T358" s="263"/>
      <c r="U358" s="263"/>
      <c r="V358" s="263"/>
      <c r="W358" s="263"/>
      <c r="X358" s="263"/>
      <c r="Y358" s="263"/>
      <c r="Z358" s="263"/>
      <c r="AA358" s="263"/>
      <c r="AB358" s="263"/>
      <c r="AC358" s="263"/>
      <c r="AD358" s="263"/>
      <c r="AE358" s="263"/>
      <c r="AF358" s="263"/>
      <c r="AG358" s="263"/>
      <c r="AH358" s="263"/>
      <c r="AI358" s="263"/>
      <c r="AJ358" s="263"/>
      <c r="AK358" s="263"/>
      <c r="AL358" s="263"/>
      <c r="AM358" s="242"/>
    </row>
    <row r="359" spans="1:39" ht="18" customHeight="1" x14ac:dyDescent="0.15">
      <c r="A359" s="240"/>
      <c r="B359" s="242"/>
      <c r="C359" s="240"/>
      <c r="D359" s="263"/>
      <c r="E359" s="242"/>
      <c r="F359" s="242"/>
      <c r="G359" s="242"/>
      <c r="H359" s="240"/>
      <c r="I359" s="263"/>
      <c r="J359" s="263"/>
      <c r="K359" s="263"/>
      <c r="L359" s="242"/>
      <c r="Q359" s="263"/>
      <c r="R359" s="263"/>
      <c r="S359" s="263"/>
      <c r="T359" s="263"/>
      <c r="U359" s="263"/>
      <c r="V359" s="263"/>
      <c r="W359" s="263"/>
      <c r="X359" s="263"/>
      <c r="Y359" s="263"/>
      <c r="Z359" s="263"/>
      <c r="AA359" s="263"/>
      <c r="AB359" s="263"/>
      <c r="AC359" s="263"/>
      <c r="AD359" s="263"/>
      <c r="AE359" s="263"/>
      <c r="AF359" s="263"/>
      <c r="AG359" s="263"/>
      <c r="AH359" s="263"/>
      <c r="AI359" s="263"/>
      <c r="AJ359" s="263"/>
      <c r="AK359" s="263"/>
      <c r="AL359" s="263"/>
      <c r="AM359" s="242"/>
    </row>
    <row r="360" spans="1:39" ht="18" customHeight="1" x14ac:dyDescent="0.15">
      <c r="A360" s="240"/>
      <c r="B360" s="242"/>
      <c r="C360" s="240"/>
      <c r="D360" s="263"/>
      <c r="E360" s="242"/>
      <c r="F360" s="242"/>
      <c r="G360" s="242"/>
      <c r="H360" s="240"/>
      <c r="I360" s="263"/>
      <c r="J360" s="263"/>
      <c r="K360" s="263"/>
      <c r="L360" s="242"/>
      <c r="Q360" s="263"/>
      <c r="R360" s="263"/>
      <c r="S360" s="263"/>
      <c r="T360" s="263"/>
      <c r="U360" s="263"/>
      <c r="V360" s="263"/>
      <c r="W360" s="263"/>
      <c r="X360" s="263"/>
      <c r="Y360" s="263"/>
      <c r="Z360" s="263"/>
      <c r="AA360" s="263"/>
      <c r="AB360" s="263"/>
      <c r="AC360" s="263"/>
      <c r="AD360" s="263"/>
      <c r="AE360" s="263"/>
      <c r="AF360" s="263"/>
      <c r="AG360" s="263"/>
      <c r="AH360" s="263"/>
      <c r="AI360" s="263"/>
      <c r="AJ360" s="263"/>
      <c r="AK360" s="263"/>
      <c r="AL360" s="263"/>
      <c r="AM360" s="242"/>
    </row>
    <row r="361" spans="1:39" ht="18" customHeight="1" x14ac:dyDescent="0.15">
      <c r="A361" s="240"/>
      <c r="B361" s="242"/>
      <c r="C361" s="240"/>
      <c r="D361" s="263"/>
      <c r="E361" s="242"/>
      <c r="F361" s="242"/>
      <c r="G361" s="242"/>
      <c r="H361" s="240"/>
      <c r="I361" s="263"/>
      <c r="J361" s="263"/>
      <c r="K361" s="263"/>
      <c r="L361" s="242"/>
      <c r="Q361" s="263"/>
      <c r="R361" s="263"/>
      <c r="S361" s="263"/>
      <c r="T361" s="263"/>
      <c r="U361" s="263"/>
      <c r="V361" s="263"/>
      <c r="W361" s="263"/>
      <c r="X361" s="263"/>
      <c r="Y361" s="263"/>
      <c r="Z361" s="263"/>
      <c r="AA361" s="263"/>
      <c r="AB361" s="263"/>
      <c r="AC361" s="263"/>
      <c r="AD361" s="263"/>
      <c r="AE361" s="263"/>
      <c r="AF361" s="263"/>
      <c r="AG361" s="263"/>
      <c r="AH361" s="263"/>
      <c r="AI361" s="263"/>
      <c r="AJ361" s="263"/>
      <c r="AK361" s="263"/>
      <c r="AL361" s="263"/>
      <c r="AM361" s="242"/>
    </row>
    <row r="362" spans="1:39" ht="18" customHeight="1" x14ac:dyDescent="0.15">
      <c r="A362" s="240"/>
      <c r="B362" s="242"/>
      <c r="C362" s="240"/>
      <c r="D362" s="263"/>
      <c r="E362" s="242"/>
      <c r="F362" s="242"/>
      <c r="G362" s="242"/>
      <c r="H362" s="240"/>
      <c r="I362" s="263"/>
      <c r="J362" s="263"/>
      <c r="K362" s="263"/>
      <c r="L362" s="242"/>
      <c r="Q362" s="263"/>
      <c r="R362" s="263"/>
      <c r="S362" s="263"/>
      <c r="T362" s="263"/>
      <c r="U362" s="263"/>
      <c r="V362" s="263"/>
      <c r="W362" s="263"/>
      <c r="X362" s="263"/>
      <c r="Y362" s="263"/>
      <c r="Z362" s="263"/>
      <c r="AA362" s="263"/>
      <c r="AB362" s="263"/>
      <c r="AC362" s="263"/>
      <c r="AD362" s="263"/>
      <c r="AE362" s="263"/>
      <c r="AF362" s="263"/>
      <c r="AG362" s="263"/>
      <c r="AH362" s="263"/>
      <c r="AI362" s="263"/>
      <c r="AJ362" s="263"/>
      <c r="AK362" s="263"/>
      <c r="AL362" s="263"/>
      <c r="AM362" s="242"/>
    </row>
    <row r="363" spans="1:39" ht="18" customHeight="1" x14ac:dyDescent="0.15">
      <c r="A363" s="240"/>
      <c r="B363" s="242"/>
      <c r="C363" s="240"/>
      <c r="D363" s="263"/>
      <c r="E363" s="242"/>
      <c r="F363" s="242"/>
      <c r="G363" s="242"/>
      <c r="H363" s="240"/>
      <c r="I363" s="263"/>
      <c r="J363" s="263"/>
      <c r="K363" s="263"/>
      <c r="L363" s="242"/>
      <c r="Q363" s="263"/>
      <c r="R363" s="263"/>
      <c r="S363" s="263"/>
      <c r="T363" s="263"/>
      <c r="U363" s="263"/>
      <c r="V363" s="263"/>
      <c r="W363" s="263"/>
      <c r="X363" s="263"/>
      <c r="Y363" s="263"/>
      <c r="Z363" s="263"/>
      <c r="AA363" s="263"/>
      <c r="AB363" s="263"/>
      <c r="AC363" s="263"/>
      <c r="AD363" s="263"/>
      <c r="AE363" s="263"/>
      <c r="AF363" s="263"/>
      <c r="AG363" s="263"/>
      <c r="AH363" s="263"/>
      <c r="AI363" s="263"/>
      <c r="AJ363" s="263"/>
      <c r="AK363" s="263"/>
      <c r="AL363" s="263"/>
      <c r="AM363" s="242"/>
    </row>
    <row r="364" spans="1:39" ht="18" customHeight="1" x14ac:dyDescent="0.15">
      <c r="A364" s="240"/>
      <c r="B364" s="242"/>
      <c r="C364" s="240"/>
      <c r="D364" s="263"/>
      <c r="E364" s="242"/>
      <c r="F364" s="242"/>
      <c r="G364" s="242"/>
      <c r="H364" s="240"/>
      <c r="I364" s="263"/>
      <c r="J364" s="263"/>
      <c r="K364" s="263"/>
      <c r="L364" s="242"/>
      <c r="Q364" s="263"/>
      <c r="R364" s="263"/>
      <c r="S364" s="263"/>
      <c r="T364" s="263"/>
      <c r="U364" s="263"/>
      <c r="V364" s="263"/>
      <c r="W364" s="263"/>
      <c r="X364" s="263"/>
      <c r="Y364" s="263"/>
      <c r="Z364" s="263"/>
      <c r="AA364" s="263"/>
      <c r="AB364" s="263"/>
      <c r="AC364" s="263"/>
      <c r="AD364" s="263"/>
      <c r="AE364" s="263"/>
      <c r="AF364" s="263"/>
      <c r="AG364" s="263"/>
      <c r="AH364" s="263"/>
      <c r="AI364" s="263"/>
      <c r="AJ364" s="263"/>
      <c r="AK364" s="263"/>
      <c r="AL364" s="263"/>
      <c r="AM364" s="242"/>
    </row>
    <row r="365" spans="1:39" ht="18" customHeight="1" x14ac:dyDescent="0.15">
      <c r="A365" s="240"/>
      <c r="B365" s="242"/>
      <c r="C365" s="240"/>
      <c r="D365" s="263"/>
      <c r="E365" s="242"/>
      <c r="F365" s="242"/>
      <c r="G365" s="242"/>
      <c r="H365" s="240"/>
      <c r="I365" s="263"/>
      <c r="J365" s="263"/>
      <c r="K365" s="263"/>
      <c r="L365" s="242"/>
      <c r="Q365" s="263"/>
      <c r="R365" s="263"/>
      <c r="S365" s="263"/>
      <c r="T365" s="263"/>
      <c r="U365" s="263"/>
      <c r="V365" s="263"/>
      <c r="W365" s="263"/>
      <c r="X365" s="263"/>
      <c r="Y365" s="263"/>
      <c r="Z365" s="263"/>
      <c r="AA365" s="263"/>
      <c r="AB365" s="263"/>
      <c r="AC365" s="263"/>
      <c r="AD365" s="263"/>
      <c r="AE365" s="263"/>
      <c r="AF365" s="263"/>
      <c r="AG365" s="263"/>
      <c r="AH365" s="263"/>
      <c r="AI365" s="263"/>
      <c r="AJ365" s="263"/>
      <c r="AK365" s="263"/>
      <c r="AL365" s="263"/>
      <c r="AM365" s="242"/>
    </row>
    <row r="366" spans="1:39" ht="18" customHeight="1" x14ac:dyDescent="0.15">
      <c r="A366" s="240"/>
      <c r="B366" s="242"/>
      <c r="C366" s="240"/>
      <c r="D366" s="263"/>
      <c r="E366" s="242"/>
      <c r="F366" s="242"/>
      <c r="G366" s="242"/>
      <c r="H366" s="240"/>
      <c r="I366" s="263"/>
      <c r="J366" s="263"/>
      <c r="K366" s="263"/>
      <c r="L366" s="242"/>
      <c r="Q366" s="263"/>
      <c r="R366" s="263"/>
      <c r="S366" s="263"/>
      <c r="T366" s="263"/>
      <c r="U366" s="263"/>
      <c r="V366" s="263"/>
      <c r="W366" s="263"/>
      <c r="X366" s="263"/>
      <c r="Y366" s="263"/>
      <c r="Z366" s="263"/>
      <c r="AA366" s="263"/>
      <c r="AB366" s="263"/>
      <c r="AC366" s="263"/>
      <c r="AD366" s="263"/>
      <c r="AE366" s="263"/>
      <c r="AF366" s="263"/>
      <c r="AG366" s="263"/>
      <c r="AH366" s="263"/>
      <c r="AI366" s="263"/>
      <c r="AJ366" s="263"/>
      <c r="AK366" s="263"/>
      <c r="AL366" s="263"/>
      <c r="AM366" s="242"/>
    </row>
    <row r="367" spans="1:39" ht="18" customHeight="1" x14ac:dyDescent="0.15">
      <c r="A367" s="240"/>
      <c r="B367" s="242"/>
      <c r="C367" s="240"/>
      <c r="D367" s="263"/>
      <c r="E367" s="242"/>
      <c r="F367" s="242"/>
      <c r="G367" s="242"/>
      <c r="H367" s="240"/>
      <c r="I367" s="263"/>
      <c r="J367" s="263"/>
      <c r="K367" s="263"/>
      <c r="L367" s="242"/>
      <c r="Q367" s="263"/>
      <c r="R367" s="263"/>
      <c r="S367" s="263"/>
      <c r="T367" s="263"/>
      <c r="U367" s="263"/>
      <c r="V367" s="263"/>
      <c r="W367" s="263"/>
      <c r="X367" s="263"/>
      <c r="Y367" s="263"/>
      <c r="Z367" s="263"/>
      <c r="AA367" s="263"/>
      <c r="AB367" s="263"/>
      <c r="AC367" s="263"/>
      <c r="AD367" s="263"/>
      <c r="AE367" s="263"/>
      <c r="AF367" s="263"/>
      <c r="AG367" s="263"/>
      <c r="AH367" s="263"/>
      <c r="AI367" s="263"/>
      <c r="AJ367" s="263"/>
      <c r="AK367" s="263"/>
      <c r="AL367" s="263"/>
      <c r="AM367" s="242"/>
    </row>
    <row r="368" spans="1:39" ht="18" customHeight="1" x14ac:dyDescent="0.15">
      <c r="A368" s="240"/>
      <c r="B368" s="242"/>
      <c r="C368" s="240"/>
      <c r="D368" s="263"/>
      <c r="E368" s="242"/>
      <c r="F368" s="242"/>
      <c r="G368" s="242"/>
      <c r="H368" s="240"/>
      <c r="I368" s="263"/>
      <c r="J368" s="263"/>
      <c r="K368" s="263"/>
      <c r="L368" s="242"/>
      <c r="Q368" s="263"/>
      <c r="R368" s="263"/>
      <c r="S368" s="263"/>
      <c r="T368" s="263"/>
      <c r="U368" s="263"/>
      <c r="V368" s="263"/>
      <c r="W368" s="263"/>
      <c r="X368" s="263"/>
      <c r="Y368" s="263"/>
      <c r="Z368" s="263"/>
      <c r="AA368" s="263"/>
      <c r="AB368" s="263"/>
      <c r="AC368" s="263"/>
      <c r="AD368" s="263"/>
      <c r="AE368" s="263"/>
      <c r="AF368" s="263"/>
      <c r="AG368" s="263"/>
      <c r="AH368" s="263"/>
      <c r="AI368" s="263"/>
      <c r="AJ368" s="263"/>
      <c r="AK368" s="263"/>
      <c r="AL368" s="263"/>
      <c r="AM368" s="242"/>
    </row>
    <row r="369" spans="1:39" ht="18" customHeight="1" x14ac:dyDescent="0.15">
      <c r="A369" s="240"/>
      <c r="B369" s="242"/>
      <c r="C369" s="240"/>
      <c r="D369" s="263"/>
      <c r="E369" s="242"/>
      <c r="F369" s="242"/>
      <c r="G369" s="242"/>
      <c r="H369" s="240"/>
      <c r="I369" s="263"/>
      <c r="J369" s="263"/>
      <c r="K369" s="263"/>
      <c r="L369" s="242"/>
      <c r="Q369" s="263"/>
      <c r="R369" s="263"/>
      <c r="S369" s="263"/>
      <c r="T369" s="263"/>
      <c r="U369" s="263"/>
      <c r="V369" s="263"/>
      <c r="W369" s="263"/>
      <c r="X369" s="263"/>
      <c r="Y369" s="263"/>
      <c r="Z369" s="263"/>
      <c r="AA369" s="263"/>
      <c r="AB369" s="263"/>
      <c r="AC369" s="263"/>
      <c r="AD369" s="263"/>
      <c r="AE369" s="263"/>
      <c r="AF369" s="263"/>
      <c r="AG369" s="263"/>
      <c r="AH369" s="263"/>
      <c r="AI369" s="263"/>
      <c r="AJ369" s="263"/>
      <c r="AK369" s="263"/>
      <c r="AL369" s="263"/>
      <c r="AM369" s="242"/>
    </row>
    <row r="370" spans="1:39" ht="18" customHeight="1" x14ac:dyDescent="0.15">
      <c r="A370" s="240"/>
      <c r="B370" s="242"/>
      <c r="C370" s="240"/>
      <c r="D370" s="263"/>
      <c r="E370" s="242"/>
      <c r="F370" s="242"/>
      <c r="G370" s="242"/>
      <c r="H370" s="240"/>
      <c r="I370" s="263"/>
      <c r="J370" s="263"/>
      <c r="K370" s="263"/>
      <c r="L370" s="242"/>
      <c r="Q370" s="263"/>
      <c r="R370" s="263"/>
      <c r="S370" s="263"/>
      <c r="T370" s="263"/>
      <c r="U370" s="263"/>
      <c r="V370" s="263"/>
      <c r="W370" s="263"/>
      <c r="X370" s="263"/>
      <c r="Y370" s="263"/>
      <c r="Z370" s="263"/>
      <c r="AA370" s="263"/>
      <c r="AB370" s="263"/>
      <c r="AC370" s="263"/>
      <c r="AD370" s="263"/>
      <c r="AE370" s="263"/>
      <c r="AF370" s="263"/>
      <c r="AG370" s="263"/>
      <c r="AH370" s="263"/>
      <c r="AI370" s="263"/>
      <c r="AJ370" s="263"/>
      <c r="AK370" s="263"/>
      <c r="AL370" s="263"/>
      <c r="AM370" s="242"/>
    </row>
    <row r="371" spans="1:39" ht="18" customHeight="1" x14ac:dyDescent="0.15">
      <c r="A371" s="240"/>
      <c r="B371" s="242"/>
      <c r="C371" s="240"/>
      <c r="D371" s="263"/>
      <c r="E371" s="242"/>
      <c r="F371" s="242"/>
      <c r="G371" s="242"/>
      <c r="H371" s="240"/>
      <c r="I371" s="263"/>
      <c r="J371" s="263"/>
      <c r="K371" s="263"/>
      <c r="L371" s="242"/>
      <c r="Q371" s="263"/>
      <c r="R371" s="263"/>
      <c r="S371" s="263"/>
      <c r="T371" s="263"/>
      <c r="U371" s="263"/>
      <c r="V371" s="263"/>
      <c r="W371" s="263"/>
      <c r="X371" s="263"/>
      <c r="Y371" s="263"/>
      <c r="Z371" s="263"/>
      <c r="AA371" s="263"/>
      <c r="AB371" s="263"/>
      <c r="AC371" s="263"/>
      <c r="AD371" s="263"/>
      <c r="AE371" s="263"/>
      <c r="AF371" s="263"/>
      <c r="AG371" s="263"/>
      <c r="AH371" s="263"/>
      <c r="AI371" s="263"/>
      <c r="AJ371" s="263"/>
      <c r="AK371" s="263"/>
      <c r="AL371" s="263"/>
      <c r="AM371" s="242"/>
    </row>
    <row r="372" spans="1:39" ht="18" customHeight="1" x14ac:dyDescent="0.15">
      <c r="A372" s="240"/>
      <c r="B372" s="242"/>
      <c r="C372" s="240"/>
      <c r="D372" s="263"/>
      <c r="E372" s="242"/>
      <c r="F372" s="242"/>
      <c r="G372" s="242"/>
      <c r="H372" s="240"/>
      <c r="I372" s="263"/>
      <c r="J372" s="263"/>
      <c r="K372" s="263"/>
      <c r="L372" s="242"/>
      <c r="Q372" s="263"/>
      <c r="R372" s="263"/>
      <c r="S372" s="263"/>
      <c r="T372" s="263"/>
      <c r="U372" s="263"/>
      <c r="V372" s="263"/>
      <c r="W372" s="263"/>
      <c r="X372" s="263"/>
      <c r="Y372" s="263"/>
      <c r="Z372" s="263"/>
      <c r="AA372" s="263"/>
      <c r="AB372" s="263"/>
      <c r="AC372" s="263"/>
      <c r="AD372" s="263"/>
      <c r="AE372" s="263"/>
      <c r="AF372" s="263"/>
      <c r="AG372" s="263"/>
      <c r="AH372" s="263"/>
      <c r="AI372" s="263"/>
      <c r="AJ372" s="263"/>
      <c r="AK372" s="263"/>
      <c r="AL372" s="263"/>
      <c r="AM372" s="242"/>
    </row>
    <row r="373" spans="1:39" ht="18" customHeight="1" x14ac:dyDescent="0.15">
      <c r="A373" s="240"/>
      <c r="B373" s="242"/>
      <c r="C373" s="240"/>
      <c r="D373" s="263"/>
      <c r="E373" s="242"/>
      <c r="F373" s="242"/>
      <c r="G373" s="242"/>
      <c r="H373" s="240"/>
      <c r="I373" s="263"/>
      <c r="J373" s="263"/>
      <c r="K373" s="263"/>
      <c r="L373" s="242"/>
      <c r="Q373" s="263"/>
      <c r="R373" s="263"/>
      <c r="S373" s="263"/>
      <c r="T373" s="263"/>
      <c r="U373" s="263"/>
      <c r="V373" s="263"/>
      <c r="W373" s="263"/>
      <c r="X373" s="263"/>
      <c r="Y373" s="263"/>
      <c r="Z373" s="263"/>
      <c r="AA373" s="263"/>
      <c r="AB373" s="263"/>
      <c r="AC373" s="263"/>
      <c r="AD373" s="263"/>
      <c r="AE373" s="263"/>
      <c r="AF373" s="263"/>
      <c r="AG373" s="263"/>
      <c r="AH373" s="263"/>
      <c r="AI373" s="263"/>
      <c r="AJ373" s="263"/>
      <c r="AK373" s="263"/>
      <c r="AL373" s="263"/>
      <c r="AM373" s="242"/>
    </row>
    <row r="374" spans="1:39" ht="18" customHeight="1" x14ac:dyDescent="0.15">
      <c r="A374" s="240"/>
      <c r="B374" s="242"/>
      <c r="C374" s="240"/>
      <c r="D374" s="263"/>
      <c r="E374" s="242"/>
      <c r="F374" s="242"/>
      <c r="G374" s="242"/>
      <c r="H374" s="240"/>
      <c r="I374" s="263"/>
      <c r="J374" s="263"/>
      <c r="K374" s="263"/>
      <c r="L374" s="242"/>
      <c r="Q374" s="263"/>
      <c r="R374" s="263"/>
      <c r="S374" s="263"/>
      <c r="T374" s="263"/>
      <c r="U374" s="263"/>
      <c r="V374" s="263"/>
      <c r="W374" s="263"/>
      <c r="X374" s="263"/>
      <c r="Y374" s="263"/>
      <c r="Z374" s="263"/>
      <c r="AA374" s="263"/>
      <c r="AB374" s="263"/>
      <c r="AC374" s="263"/>
      <c r="AD374" s="263"/>
      <c r="AE374" s="263"/>
      <c r="AF374" s="263"/>
      <c r="AG374" s="263"/>
      <c r="AH374" s="263"/>
      <c r="AI374" s="263"/>
      <c r="AJ374" s="263"/>
      <c r="AK374" s="263"/>
      <c r="AL374" s="263"/>
      <c r="AM374" s="242"/>
    </row>
    <row r="375" spans="1:39" ht="18" customHeight="1" x14ac:dyDescent="0.15">
      <c r="A375" s="240"/>
      <c r="B375" s="242"/>
      <c r="C375" s="240"/>
      <c r="D375" s="263"/>
      <c r="E375" s="242"/>
      <c r="F375" s="242"/>
      <c r="G375" s="242"/>
      <c r="H375" s="240"/>
      <c r="I375" s="263"/>
      <c r="J375" s="263"/>
      <c r="K375" s="263"/>
      <c r="L375" s="242"/>
      <c r="Q375" s="263"/>
      <c r="R375" s="263"/>
      <c r="S375" s="263"/>
      <c r="T375" s="263"/>
      <c r="U375" s="263"/>
      <c r="V375" s="263"/>
      <c r="W375" s="263"/>
      <c r="X375" s="263"/>
      <c r="Y375" s="263"/>
      <c r="Z375" s="263"/>
      <c r="AA375" s="263"/>
      <c r="AB375" s="263"/>
      <c r="AC375" s="263"/>
      <c r="AD375" s="263"/>
      <c r="AE375" s="263"/>
      <c r="AF375" s="263"/>
      <c r="AG375" s="263"/>
      <c r="AH375" s="263"/>
      <c r="AI375" s="263"/>
      <c r="AJ375" s="263"/>
      <c r="AK375" s="263"/>
      <c r="AL375" s="263"/>
      <c r="AM375" s="242"/>
    </row>
    <row r="376" spans="1:39" ht="18" customHeight="1" x14ac:dyDescent="0.15">
      <c r="A376" s="240"/>
      <c r="B376" s="242"/>
      <c r="C376" s="240"/>
      <c r="D376" s="263"/>
      <c r="E376" s="242"/>
      <c r="F376" s="242"/>
      <c r="G376" s="242"/>
      <c r="H376" s="240"/>
      <c r="I376" s="263"/>
      <c r="J376" s="263"/>
      <c r="K376" s="263"/>
      <c r="L376" s="242"/>
      <c r="Q376" s="263"/>
      <c r="R376" s="263"/>
      <c r="S376" s="263"/>
      <c r="T376" s="263"/>
      <c r="U376" s="263"/>
      <c r="V376" s="263"/>
      <c r="W376" s="263"/>
      <c r="X376" s="263"/>
      <c r="Y376" s="263"/>
      <c r="Z376" s="263"/>
      <c r="AA376" s="263"/>
      <c r="AB376" s="263"/>
      <c r="AC376" s="263"/>
      <c r="AD376" s="263"/>
      <c r="AE376" s="263"/>
      <c r="AF376" s="263"/>
      <c r="AG376" s="263"/>
      <c r="AH376" s="263"/>
      <c r="AI376" s="263"/>
      <c r="AJ376" s="263"/>
      <c r="AK376" s="263"/>
      <c r="AL376" s="263"/>
      <c r="AM376" s="242"/>
    </row>
    <row r="377" spans="1:39" ht="18" customHeight="1" x14ac:dyDescent="0.15">
      <c r="A377" s="240"/>
      <c r="B377" s="242"/>
      <c r="C377" s="240"/>
      <c r="D377" s="263"/>
      <c r="E377" s="242"/>
      <c r="F377" s="242"/>
      <c r="G377" s="242"/>
      <c r="H377" s="240"/>
      <c r="I377" s="263"/>
      <c r="J377" s="263"/>
      <c r="K377" s="263"/>
      <c r="L377" s="242"/>
      <c r="Q377" s="263"/>
      <c r="R377" s="263"/>
      <c r="S377" s="263"/>
      <c r="T377" s="263"/>
      <c r="U377" s="263"/>
      <c r="V377" s="263"/>
      <c r="W377" s="263"/>
      <c r="X377" s="263"/>
      <c r="Y377" s="263"/>
      <c r="Z377" s="263"/>
      <c r="AA377" s="263"/>
      <c r="AB377" s="263"/>
      <c r="AC377" s="263"/>
      <c r="AD377" s="263"/>
      <c r="AE377" s="263"/>
      <c r="AF377" s="263"/>
      <c r="AG377" s="263"/>
      <c r="AH377" s="263"/>
      <c r="AI377" s="263"/>
      <c r="AJ377" s="263"/>
      <c r="AK377" s="263"/>
      <c r="AL377" s="263"/>
      <c r="AM377" s="242"/>
    </row>
    <row r="378" spans="1:39" ht="18" customHeight="1" x14ac:dyDescent="0.15">
      <c r="A378" s="240"/>
      <c r="B378" s="242"/>
      <c r="C378" s="240"/>
      <c r="D378" s="263"/>
      <c r="E378" s="242"/>
      <c r="F378" s="242"/>
      <c r="G378" s="242"/>
      <c r="H378" s="240"/>
      <c r="I378" s="263"/>
      <c r="J378" s="263"/>
      <c r="K378" s="263"/>
      <c r="L378" s="242"/>
      <c r="Q378" s="263"/>
      <c r="R378" s="263"/>
      <c r="S378" s="263"/>
      <c r="T378" s="263"/>
      <c r="U378" s="263"/>
      <c r="V378" s="263"/>
      <c r="W378" s="263"/>
      <c r="X378" s="263"/>
      <c r="Y378" s="263"/>
      <c r="Z378" s="263"/>
      <c r="AA378" s="263"/>
      <c r="AB378" s="263"/>
      <c r="AC378" s="263"/>
      <c r="AD378" s="263"/>
      <c r="AE378" s="263"/>
      <c r="AF378" s="263"/>
      <c r="AG378" s="263"/>
      <c r="AH378" s="263"/>
      <c r="AI378" s="263"/>
      <c r="AJ378" s="263"/>
      <c r="AK378" s="263"/>
      <c r="AL378" s="263"/>
      <c r="AM378" s="242"/>
    </row>
    <row r="379" spans="1:39" ht="18" customHeight="1" x14ac:dyDescent="0.15">
      <c r="A379" s="240"/>
      <c r="B379" s="242"/>
      <c r="C379" s="240"/>
      <c r="D379" s="263"/>
      <c r="E379" s="242"/>
      <c r="F379" s="242"/>
      <c r="G379" s="242"/>
      <c r="H379" s="240"/>
      <c r="I379" s="263"/>
      <c r="J379" s="263"/>
      <c r="K379" s="263"/>
      <c r="L379" s="242"/>
      <c r="Q379" s="263"/>
      <c r="R379" s="263"/>
      <c r="S379" s="263"/>
      <c r="T379" s="263"/>
      <c r="U379" s="263"/>
      <c r="V379" s="263"/>
      <c r="W379" s="263"/>
      <c r="X379" s="263"/>
      <c r="Y379" s="263"/>
      <c r="Z379" s="263"/>
      <c r="AA379" s="263"/>
      <c r="AB379" s="263"/>
      <c r="AC379" s="263"/>
      <c r="AD379" s="263"/>
      <c r="AE379" s="263"/>
      <c r="AF379" s="263"/>
      <c r="AG379" s="263"/>
      <c r="AH379" s="263"/>
      <c r="AI379" s="263"/>
      <c r="AJ379" s="263"/>
      <c r="AK379" s="263"/>
      <c r="AL379" s="263"/>
      <c r="AM379" s="242"/>
    </row>
    <row r="380" spans="1:39" ht="18" customHeight="1" x14ac:dyDescent="0.15">
      <c r="A380" s="240"/>
      <c r="B380" s="242"/>
      <c r="C380" s="240"/>
      <c r="D380" s="263"/>
      <c r="E380" s="242"/>
      <c r="F380" s="242"/>
      <c r="G380" s="242"/>
      <c r="H380" s="240"/>
      <c r="I380" s="263"/>
      <c r="J380" s="263"/>
      <c r="K380" s="263"/>
      <c r="L380" s="242"/>
      <c r="Q380" s="263"/>
      <c r="R380" s="263"/>
      <c r="S380" s="263"/>
      <c r="T380" s="263"/>
      <c r="U380" s="263"/>
      <c r="V380" s="263"/>
      <c r="W380" s="263"/>
      <c r="X380" s="263"/>
      <c r="Y380" s="263"/>
      <c r="Z380" s="263"/>
      <c r="AA380" s="263"/>
      <c r="AB380" s="263"/>
      <c r="AC380" s="263"/>
      <c r="AD380" s="263"/>
      <c r="AE380" s="263"/>
      <c r="AF380" s="263"/>
      <c r="AG380" s="263"/>
      <c r="AH380" s="263"/>
      <c r="AI380" s="263"/>
      <c r="AJ380" s="263"/>
      <c r="AK380" s="263"/>
      <c r="AL380" s="263"/>
      <c r="AM380" s="242"/>
    </row>
    <row r="381" spans="1:39" ht="18" customHeight="1" x14ac:dyDescent="0.15">
      <c r="A381" s="240"/>
      <c r="B381" s="242"/>
      <c r="C381" s="240"/>
      <c r="D381" s="263"/>
      <c r="E381" s="242"/>
      <c r="F381" s="242"/>
      <c r="G381" s="242"/>
      <c r="H381" s="240"/>
      <c r="I381" s="263"/>
      <c r="J381" s="263"/>
      <c r="K381" s="263"/>
      <c r="L381" s="242"/>
      <c r="Q381" s="263"/>
      <c r="R381" s="263"/>
      <c r="S381" s="263"/>
      <c r="T381" s="263"/>
      <c r="U381" s="263"/>
      <c r="V381" s="263"/>
      <c r="W381" s="263"/>
      <c r="X381" s="263"/>
      <c r="Y381" s="263"/>
      <c r="Z381" s="263"/>
      <c r="AA381" s="263"/>
      <c r="AB381" s="263"/>
      <c r="AC381" s="263"/>
      <c r="AD381" s="263"/>
      <c r="AE381" s="263"/>
      <c r="AF381" s="263"/>
      <c r="AG381" s="263"/>
      <c r="AH381" s="263"/>
      <c r="AI381" s="263"/>
      <c r="AJ381" s="263"/>
      <c r="AK381" s="263"/>
      <c r="AL381" s="263"/>
      <c r="AM381" s="242"/>
    </row>
    <row r="382" spans="1:39" ht="18" customHeight="1" x14ac:dyDescent="0.15">
      <c r="A382" s="240"/>
      <c r="B382" s="242"/>
      <c r="C382" s="240"/>
      <c r="D382" s="263"/>
      <c r="E382" s="242"/>
      <c r="F382" s="242"/>
      <c r="G382" s="242"/>
      <c r="H382" s="240"/>
      <c r="I382" s="263"/>
      <c r="J382" s="263"/>
      <c r="K382" s="263"/>
      <c r="L382" s="242"/>
      <c r="Q382" s="263"/>
      <c r="R382" s="263"/>
      <c r="S382" s="263"/>
      <c r="T382" s="263"/>
      <c r="U382" s="263"/>
      <c r="V382" s="263"/>
      <c r="W382" s="263"/>
      <c r="X382" s="263"/>
      <c r="Y382" s="263"/>
      <c r="Z382" s="263"/>
      <c r="AA382" s="263"/>
      <c r="AB382" s="263"/>
      <c r="AC382" s="263"/>
      <c r="AD382" s="263"/>
      <c r="AE382" s="263"/>
      <c r="AF382" s="263"/>
      <c r="AG382" s="263"/>
      <c r="AH382" s="263"/>
      <c r="AI382" s="263"/>
      <c r="AJ382" s="263"/>
      <c r="AK382" s="263"/>
      <c r="AL382" s="263"/>
      <c r="AM382" s="242"/>
    </row>
    <row r="383" spans="1:39" ht="18" customHeight="1" x14ac:dyDescent="0.15">
      <c r="A383" s="240"/>
      <c r="B383" s="242"/>
      <c r="C383" s="240"/>
      <c r="D383" s="263"/>
      <c r="E383" s="242"/>
      <c r="F383" s="242"/>
      <c r="G383" s="242"/>
      <c r="H383" s="240"/>
      <c r="I383" s="263"/>
      <c r="J383" s="263"/>
      <c r="K383" s="263"/>
      <c r="L383" s="242"/>
      <c r="Q383" s="263"/>
      <c r="R383" s="263"/>
      <c r="S383" s="263"/>
      <c r="T383" s="263"/>
      <c r="U383" s="263"/>
      <c r="V383" s="263"/>
      <c r="W383" s="263"/>
      <c r="X383" s="263"/>
      <c r="Y383" s="263"/>
      <c r="Z383" s="263"/>
      <c r="AA383" s="263"/>
      <c r="AB383" s="263"/>
      <c r="AC383" s="263"/>
      <c r="AD383" s="263"/>
      <c r="AE383" s="263"/>
      <c r="AF383" s="263"/>
      <c r="AG383" s="263"/>
      <c r="AH383" s="263"/>
      <c r="AI383" s="263"/>
      <c r="AJ383" s="263"/>
      <c r="AK383" s="263"/>
      <c r="AL383" s="263"/>
      <c r="AM383" s="242"/>
    </row>
    <row r="384" spans="1:39" ht="18" customHeight="1" x14ac:dyDescent="0.15">
      <c r="A384" s="240"/>
      <c r="B384" s="242"/>
      <c r="C384" s="240"/>
      <c r="D384" s="263"/>
      <c r="E384" s="242"/>
      <c r="F384" s="242"/>
      <c r="G384" s="242"/>
      <c r="H384" s="240"/>
      <c r="I384" s="263"/>
      <c r="J384" s="263"/>
      <c r="K384" s="263"/>
      <c r="L384" s="242"/>
      <c r="Q384" s="263"/>
      <c r="R384" s="263"/>
      <c r="S384" s="263"/>
      <c r="T384" s="263"/>
      <c r="U384" s="263"/>
      <c r="V384" s="263"/>
      <c r="W384" s="263"/>
      <c r="X384" s="263"/>
      <c r="Y384" s="263"/>
      <c r="Z384" s="263"/>
      <c r="AA384" s="263"/>
      <c r="AB384" s="263"/>
      <c r="AC384" s="263"/>
      <c r="AD384" s="263"/>
      <c r="AE384" s="263"/>
      <c r="AF384" s="263"/>
      <c r="AG384" s="263"/>
      <c r="AH384" s="263"/>
      <c r="AI384" s="263"/>
      <c r="AJ384" s="263"/>
      <c r="AK384" s="263"/>
      <c r="AL384" s="263"/>
      <c r="AM384" s="242"/>
    </row>
    <row r="385" spans="1:39" ht="18" customHeight="1" x14ac:dyDescent="0.15">
      <c r="A385" s="240"/>
      <c r="B385" s="242"/>
      <c r="C385" s="240"/>
      <c r="D385" s="263"/>
      <c r="E385" s="242"/>
      <c r="F385" s="242"/>
      <c r="G385" s="242"/>
      <c r="H385" s="240"/>
      <c r="I385" s="263"/>
      <c r="J385" s="263"/>
      <c r="K385" s="263"/>
      <c r="L385" s="242"/>
      <c r="Q385" s="263"/>
      <c r="R385" s="263"/>
      <c r="S385" s="263"/>
      <c r="T385" s="263"/>
      <c r="U385" s="263"/>
      <c r="V385" s="263"/>
      <c r="W385" s="263"/>
      <c r="X385" s="263"/>
      <c r="Y385" s="263"/>
      <c r="Z385" s="263"/>
      <c r="AA385" s="263"/>
      <c r="AB385" s="263"/>
      <c r="AC385" s="263"/>
      <c r="AD385" s="263"/>
      <c r="AE385" s="263"/>
      <c r="AF385" s="263"/>
      <c r="AG385" s="263"/>
      <c r="AH385" s="263"/>
      <c r="AI385" s="263"/>
      <c r="AJ385" s="263"/>
      <c r="AK385" s="263"/>
      <c r="AL385" s="263"/>
      <c r="AM385" s="242"/>
    </row>
    <row r="386" spans="1:39" ht="18" customHeight="1" x14ac:dyDescent="0.15">
      <c r="A386" s="240"/>
      <c r="B386" s="242"/>
      <c r="C386" s="240"/>
      <c r="D386" s="263"/>
      <c r="E386" s="242"/>
      <c r="F386" s="242"/>
      <c r="G386" s="242"/>
      <c r="H386" s="240"/>
      <c r="I386" s="263"/>
      <c r="J386" s="263"/>
      <c r="K386" s="263"/>
      <c r="L386" s="242"/>
      <c r="Q386" s="263"/>
      <c r="R386" s="263"/>
      <c r="S386" s="263"/>
      <c r="T386" s="263"/>
      <c r="U386" s="263"/>
      <c r="V386" s="263"/>
      <c r="W386" s="263"/>
      <c r="X386" s="263"/>
      <c r="Y386" s="263"/>
      <c r="Z386" s="263"/>
      <c r="AA386" s="263"/>
      <c r="AB386" s="263"/>
      <c r="AC386" s="263"/>
      <c r="AD386" s="263"/>
      <c r="AE386" s="263"/>
      <c r="AF386" s="263"/>
      <c r="AG386" s="263"/>
      <c r="AH386" s="263"/>
      <c r="AI386" s="263"/>
      <c r="AJ386" s="263"/>
      <c r="AK386" s="263"/>
      <c r="AL386" s="263"/>
      <c r="AM386" s="242"/>
    </row>
    <row r="387" spans="1:39" ht="18" customHeight="1" x14ac:dyDescent="0.15">
      <c r="A387" s="240"/>
      <c r="B387" s="242"/>
      <c r="C387" s="240"/>
      <c r="D387" s="263"/>
      <c r="E387" s="242"/>
      <c r="F387" s="242"/>
      <c r="G387" s="242"/>
      <c r="H387" s="240"/>
      <c r="I387" s="263"/>
      <c r="J387" s="263"/>
      <c r="K387" s="263"/>
      <c r="L387" s="242"/>
      <c r="Q387" s="263"/>
      <c r="R387" s="263"/>
      <c r="S387" s="263"/>
      <c r="T387" s="263"/>
      <c r="U387" s="263"/>
      <c r="V387" s="263"/>
      <c r="W387" s="263"/>
      <c r="X387" s="263"/>
      <c r="Y387" s="263"/>
      <c r="Z387" s="263"/>
      <c r="AA387" s="263"/>
      <c r="AB387" s="263"/>
      <c r="AC387" s="263"/>
      <c r="AD387" s="263"/>
      <c r="AE387" s="263"/>
      <c r="AF387" s="263"/>
      <c r="AG387" s="263"/>
      <c r="AH387" s="263"/>
      <c r="AI387" s="263"/>
      <c r="AJ387" s="263"/>
      <c r="AK387" s="263"/>
      <c r="AL387" s="263"/>
      <c r="AM387" s="242"/>
    </row>
    <row r="388" spans="1:39" ht="18" customHeight="1" x14ac:dyDescent="0.15">
      <c r="A388" s="240"/>
      <c r="B388" s="242"/>
      <c r="C388" s="240"/>
      <c r="D388" s="263"/>
      <c r="E388" s="242"/>
      <c r="F388" s="242"/>
      <c r="G388" s="242"/>
      <c r="H388" s="240"/>
      <c r="I388" s="263"/>
      <c r="J388" s="263"/>
      <c r="K388" s="263"/>
      <c r="L388" s="242"/>
      <c r="Q388" s="263"/>
      <c r="R388" s="263"/>
      <c r="S388" s="263"/>
      <c r="T388" s="263"/>
      <c r="U388" s="263"/>
      <c r="V388" s="263"/>
      <c r="W388" s="263"/>
      <c r="X388" s="263"/>
      <c r="Y388" s="263"/>
      <c r="Z388" s="263"/>
      <c r="AA388" s="263"/>
      <c r="AB388" s="263"/>
      <c r="AC388" s="263"/>
      <c r="AD388" s="263"/>
      <c r="AE388" s="263"/>
      <c r="AF388" s="263"/>
      <c r="AG388" s="263"/>
      <c r="AH388" s="263"/>
      <c r="AI388" s="263"/>
      <c r="AJ388" s="263"/>
      <c r="AK388" s="263"/>
      <c r="AL388" s="263"/>
      <c r="AM388" s="242"/>
    </row>
    <row r="389" spans="1:39" ht="18" customHeight="1" x14ac:dyDescent="0.15">
      <c r="A389" s="240"/>
      <c r="B389" s="242"/>
      <c r="C389" s="240"/>
      <c r="D389" s="263"/>
      <c r="E389" s="242"/>
      <c r="F389" s="242"/>
      <c r="G389" s="242"/>
      <c r="H389" s="240"/>
      <c r="I389" s="263"/>
      <c r="J389" s="263"/>
      <c r="K389" s="263"/>
      <c r="L389" s="242"/>
      <c r="Q389" s="263"/>
      <c r="R389" s="263"/>
      <c r="S389" s="263"/>
      <c r="T389" s="263"/>
      <c r="U389" s="263"/>
      <c r="V389" s="263"/>
      <c r="W389" s="263"/>
      <c r="X389" s="263"/>
      <c r="Y389" s="263"/>
      <c r="Z389" s="263"/>
      <c r="AA389" s="263"/>
      <c r="AB389" s="263"/>
      <c r="AC389" s="263"/>
      <c r="AD389" s="263"/>
      <c r="AE389" s="263"/>
      <c r="AF389" s="263"/>
      <c r="AG389" s="263"/>
      <c r="AH389" s="263"/>
      <c r="AI389" s="263"/>
      <c r="AJ389" s="263"/>
      <c r="AK389" s="263"/>
      <c r="AL389" s="263"/>
      <c r="AM389" s="242"/>
    </row>
    <row r="390" spans="1:39" ht="18" customHeight="1" x14ac:dyDescent="0.15">
      <c r="A390" s="240"/>
      <c r="B390" s="242"/>
      <c r="C390" s="240"/>
      <c r="D390" s="263"/>
      <c r="E390" s="242"/>
      <c r="F390" s="242"/>
      <c r="G390" s="242"/>
      <c r="H390" s="240"/>
      <c r="I390" s="263"/>
      <c r="J390" s="263"/>
      <c r="K390" s="263"/>
      <c r="L390" s="242"/>
      <c r="Q390" s="263"/>
      <c r="R390" s="263"/>
      <c r="S390" s="263"/>
      <c r="T390" s="263"/>
      <c r="U390" s="263"/>
      <c r="V390" s="263"/>
      <c r="W390" s="263"/>
      <c r="X390" s="263"/>
      <c r="Y390" s="263"/>
      <c r="Z390" s="263"/>
      <c r="AA390" s="263"/>
      <c r="AB390" s="263"/>
      <c r="AC390" s="263"/>
      <c r="AD390" s="263"/>
      <c r="AE390" s="263"/>
      <c r="AF390" s="263"/>
      <c r="AG390" s="263"/>
      <c r="AH390" s="263"/>
      <c r="AI390" s="263"/>
      <c r="AJ390" s="263"/>
      <c r="AK390" s="263"/>
      <c r="AL390" s="263"/>
      <c r="AM390" s="242"/>
    </row>
    <row r="391" spans="1:39" ht="18" customHeight="1" x14ac:dyDescent="0.15">
      <c r="A391" s="240"/>
      <c r="B391" s="242"/>
      <c r="C391" s="240"/>
      <c r="D391" s="263"/>
      <c r="E391" s="242"/>
      <c r="F391" s="242"/>
      <c r="G391" s="242"/>
      <c r="H391" s="240"/>
      <c r="I391" s="263"/>
      <c r="J391" s="263"/>
      <c r="K391" s="263"/>
      <c r="L391" s="242"/>
      <c r="Q391" s="263"/>
      <c r="R391" s="263"/>
      <c r="S391" s="263"/>
      <c r="T391" s="263"/>
      <c r="U391" s="263"/>
      <c r="V391" s="263"/>
      <c r="W391" s="263"/>
      <c r="X391" s="263"/>
      <c r="Y391" s="263"/>
      <c r="Z391" s="263"/>
      <c r="AA391" s="263"/>
      <c r="AB391" s="263"/>
      <c r="AC391" s="263"/>
      <c r="AD391" s="263"/>
      <c r="AE391" s="263"/>
      <c r="AF391" s="263"/>
      <c r="AG391" s="263"/>
      <c r="AH391" s="263"/>
      <c r="AI391" s="263"/>
      <c r="AJ391" s="263"/>
      <c r="AK391" s="263"/>
      <c r="AL391" s="263"/>
      <c r="AM391" s="242"/>
    </row>
    <row r="392" spans="1:39" ht="18" customHeight="1" x14ac:dyDescent="0.15">
      <c r="A392" s="240"/>
      <c r="B392" s="242"/>
      <c r="C392" s="240"/>
      <c r="D392" s="263"/>
      <c r="E392" s="242"/>
      <c r="F392" s="242"/>
      <c r="G392" s="242"/>
      <c r="H392" s="240"/>
      <c r="I392" s="263"/>
      <c r="J392" s="263"/>
      <c r="K392" s="263"/>
      <c r="L392" s="242"/>
      <c r="Q392" s="263"/>
      <c r="R392" s="263"/>
      <c r="S392" s="263"/>
      <c r="T392" s="263"/>
      <c r="U392" s="263"/>
      <c r="V392" s="263"/>
      <c r="W392" s="263"/>
      <c r="X392" s="263"/>
      <c r="Y392" s="263"/>
      <c r="Z392" s="263"/>
      <c r="AA392" s="263"/>
      <c r="AB392" s="263"/>
      <c r="AC392" s="263"/>
      <c r="AD392" s="263"/>
      <c r="AE392" s="263"/>
      <c r="AF392" s="263"/>
      <c r="AG392" s="263"/>
      <c r="AH392" s="263"/>
      <c r="AI392" s="263"/>
      <c r="AJ392" s="263"/>
      <c r="AK392" s="263"/>
      <c r="AL392" s="263"/>
      <c r="AM392" s="242"/>
    </row>
    <row r="393" spans="1:39" ht="18" customHeight="1" x14ac:dyDescent="0.15">
      <c r="A393" s="240"/>
      <c r="B393" s="242"/>
      <c r="C393" s="240"/>
      <c r="D393" s="263"/>
      <c r="E393" s="242"/>
      <c r="F393" s="242"/>
      <c r="G393" s="242"/>
      <c r="H393" s="240"/>
      <c r="I393" s="263"/>
      <c r="J393" s="263"/>
      <c r="K393" s="263"/>
      <c r="L393" s="242"/>
      <c r="Q393" s="263"/>
      <c r="R393" s="263"/>
      <c r="S393" s="263"/>
      <c r="T393" s="263"/>
      <c r="U393" s="263"/>
      <c r="V393" s="263"/>
      <c r="W393" s="263"/>
      <c r="X393" s="263"/>
      <c r="Y393" s="263"/>
      <c r="Z393" s="263"/>
      <c r="AA393" s="263"/>
      <c r="AB393" s="263"/>
      <c r="AC393" s="263"/>
      <c r="AD393" s="263"/>
      <c r="AE393" s="263"/>
      <c r="AF393" s="263"/>
      <c r="AG393" s="263"/>
      <c r="AH393" s="263"/>
      <c r="AI393" s="263"/>
      <c r="AJ393" s="263"/>
      <c r="AK393" s="263"/>
      <c r="AL393" s="263"/>
      <c r="AM393" s="242"/>
    </row>
    <row r="394" spans="1:39" ht="18" customHeight="1" x14ac:dyDescent="0.15">
      <c r="A394" s="240"/>
      <c r="B394" s="242"/>
      <c r="C394" s="240"/>
      <c r="D394" s="263"/>
      <c r="E394" s="242"/>
      <c r="F394" s="242"/>
      <c r="G394" s="242"/>
      <c r="H394" s="240"/>
      <c r="I394" s="263"/>
      <c r="J394" s="263"/>
      <c r="K394" s="263"/>
      <c r="L394" s="242"/>
      <c r="Q394" s="263"/>
      <c r="R394" s="263"/>
      <c r="S394" s="263"/>
      <c r="T394" s="263"/>
      <c r="U394" s="263"/>
      <c r="V394" s="263"/>
      <c r="W394" s="263"/>
      <c r="X394" s="263"/>
      <c r="Y394" s="263"/>
      <c r="Z394" s="263"/>
      <c r="AA394" s="263"/>
      <c r="AB394" s="263"/>
      <c r="AC394" s="263"/>
      <c r="AD394" s="263"/>
      <c r="AE394" s="263"/>
      <c r="AF394" s="263"/>
      <c r="AG394" s="263"/>
      <c r="AH394" s="263"/>
      <c r="AI394" s="263"/>
      <c r="AJ394" s="263"/>
      <c r="AK394" s="263"/>
      <c r="AL394" s="263"/>
      <c r="AM394" s="242"/>
    </row>
    <row r="395" spans="1:39" ht="18" customHeight="1" x14ac:dyDescent="0.15">
      <c r="A395" s="240"/>
      <c r="B395" s="242"/>
      <c r="C395" s="240"/>
      <c r="D395" s="263"/>
      <c r="E395" s="242"/>
      <c r="F395" s="242"/>
      <c r="G395" s="242"/>
      <c r="H395" s="240"/>
      <c r="I395" s="263"/>
      <c r="J395" s="263"/>
      <c r="K395" s="263"/>
      <c r="L395" s="242"/>
      <c r="Q395" s="263"/>
      <c r="R395" s="263"/>
      <c r="S395" s="263"/>
      <c r="T395" s="263"/>
      <c r="U395" s="263"/>
      <c r="V395" s="263"/>
      <c r="W395" s="263"/>
      <c r="X395" s="263"/>
      <c r="Y395" s="263"/>
      <c r="Z395" s="263"/>
      <c r="AA395" s="263"/>
      <c r="AB395" s="263"/>
      <c r="AC395" s="263"/>
      <c r="AD395" s="263"/>
      <c r="AE395" s="263"/>
      <c r="AF395" s="263"/>
      <c r="AG395" s="263"/>
      <c r="AH395" s="263"/>
      <c r="AI395" s="263"/>
      <c r="AJ395" s="263"/>
      <c r="AK395" s="263"/>
      <c r="AL395" s="263"/>
      <c r="AM395" s="242"/>
    </row>
    <row r="396" spans="1:39" ht="18" customHeight="1" x14ac:dyDescent="0.15">
      <c r="A396" s="240"/>
      <c r="B396" s="242"/>
      <c r="C396" s="240"/>
      <c r="D396" s="263"/>
      <c r="E396" s="242"/>
      <c r="F396" s="242"/>
      <c r="G396" s="242"/>
      <c r="H396" s="240"/>
      <c r="I396" s="263"/>
      <c r="J396" s="263"/>
      <c r="K396" s="263"/>
      <c r="L396" s="242"/>
      <c r="Q396" s="263"/>
      <c r="R396" s="263"/>
      <c r="S396" s="263"/>
      <c r="T396" s="263"/>
      <c r="U396" s="263"/>
      <c r="V396" s="263"/>
      <c r="W396" s="263"/>
      <c r="X396" s="263"/>
      <c r="Y396" s="263"/>
      <c r="Z396" s="263"/>
      <c r="AA396" s="263"/>
      <c r="AB396" s="263"/>
      <c r="AC396" s="263"/>
      <c r="AD396" s="263"/>
      <c r="AE396" s="263"/>
      <c r="AF396" s="263"/>
      <c r="AG396" s="263"/>
      <c r="AH396" s="263"/>
      <c r="AI396" s="263"/>
      <c r="AJ396" s="263"/>
      <c r="AK396" s="263"/>
      <c r="AL396" s="263"/>
      <c r="AM396" s="242"/>
    </row>
    <row r="397" spans="1:39" ht="18" customHeight="1" x14ac:dyDescent="0.15">
      <c r="A397" s="240"/>
      <c r="B397" s="242"/>
      <c r="C397" s="240"/>
      <c r="D397" s="263"/>
      <c r="E397" s="242"/>
      <c r="F397" s="242"/>
      <c r="G397" s="242"/>
      <c r="H397" s="240"/>
      <c r="I397" s="263"/>
      <c r="J397" s="263"/>
      <c r="K397" s="263"/>
      <c r="L397" s="242"/>
      <c r="Q397" s="263"/>
      <c r="R397" s="263"/>
      <c r="S397" s="263"/>
      <c r="T397" s="263"/>
      <c r="U397" s="263"/>
      <c r="V397" s="263"/>
      <c r="W397" s="263"/>
      <c r="X397" s="263"/>
      <c r="Y397" s="263"/>
      <c r="Z397" s="263"/>
      <c r="AA397" s="263"/>
      <c r="AB397" s="263"/>
      <c r="AC397" s="263"/>
      <c r="AD397" s="263"/>
      <c r="AE397" s="263"/>
      <c r="AF397" s="263"/>
      <c r="AG397" s="263"/>
      <c r="AH397" s="263"/>
      <c r="AI397" s="263"/>
      <c r="AJ397" s="263"/>
      <c r="AK397" s="263"/>
      <c r="AL397" s="263"/>
      <c r="AM397" s="242"/>
    </row>
    <row r="398" spans="1:39" ht="18" customHeight="1" x14ac:dyDescent="0.15">
      <c r="A398" s="240"/>
      <c r="B398" s="242"/>
      <c r="C398" s="240"/>
      <c r="D398" s="263"/>
      <c r="E398" s="242"/>
      <c r="F398" s="242"/>
      <c r="G398" s="242"/>
      <c r="H398" s="240"/>
      <c r="I398" s="263"/>
      <c r="J398" s="263"/>
      <c r="K398" s="263"/>
      <c r="L398" s="242"/>
      <c r="Q398" s="263"/>
      <c r="R398" s="263"/>
      <c r="S398" s="263"/>
      <c r="T398" s="263"/>
      <c r="U398" s="263"/>
      <c r="V398" s="263"/>
      <c r="W398" s="263"/>
      <c r="X398" s="263"/>
      <c r="Y398" s="263"/>
      <c r="Z398" s="263"/>
      <c r="AA398" s="263"/>
      <c r="AB398" s="263"/>
      <c r="AC398" s="263"/>
      <c r="AD398" s="263"/>
      <c r="AE398" s="263"/>
      <c r="AF398" s="263"/>
      <c r="AG398" s="263"/>
      <c r="AH398" s="263"/>
      <c r="AI398" s="263"/>
      <c r="AJ398" s="263"/>
      <c r="AK398" s="263"/>
      <c r="AL398" s="263"/>
      <c r="AM398" s="242"/>
    </row>
    <row r="399" spans="1:39" ht="18" customHeight="1" x14ac:dyDescent="0.15">
      <c r="A399" s="240"/>
      <c r="B399" s="242"/>
      <c r="C399" s="240"/>
      <c r="D399" s="263"/>
      <c r="E399" s="242"/>
      <c r="F399" s="242"/>
      <c r="G399" s="242"/>
      <c r="H399" s="240"/>
      <c r="I399" s="263"/>
      <c r="J399" s="263"/>
      <c r="K399" s="263"/>
      <c r="L399" s="242"/>
      <c r="Q399" s="263"/>
      <c r="R399" s="263"/>
      <c r="S399" s="263"/>
      <c r="T399" s="263"/>
      <c r="U399" s="263"/>
      <c r="V399" s="263"/>
      <c r="W399" s="263"/>
      <c r="X399" s="263"/>
      <c r="Y399" s="263"/>
      <c r="Z399" s="263"/>
      <c r="AA399" s="263"/>
      <c r="AB399" s="263"/>
      <c r="AC399" s="263"/>
      <c r="AD399" s="263"/>
      <c r="AE399" s="263"/>
      <c r="AF399" s="263"/>
      <c r="AG399" s="263"/>
      <c r="AH399" s="263"/>
      <c r="AI399" s="263"/>
      <c r="AJ399" s="263"/>
      <c r="AK399" s="263"/>
      <c r="AL399" s="263"/>
      <c r="AM399" s="242"/>
    </row>
    <row r="400" spans="1:39" ht="18" customHeight="1" x14ac:dyDescent="0.15">
      <c r="A400" s="240"/>
      <c r="B400" s="242"/>
      <c r="C400" s="240"/>
      <c r="D400" s="263"/>
      <c r="E400" s="242"/>
      <c r="F400" s="242"/>
      <c r="G400" s="242"/>
      <c r="H400" s="240"/>
      <c r="I400" s="263"/>
      <c r="J400" s="263"/>
      <c r="K400" s="263"/>
      <c r="L400" s="242"/>
      <c r="Q400" s="263"/>
      <c r="R400" s="263"/>
      <c r="S400" s="263"/>
      <c r="T400" s="263"/>
      <c r="U400" s="263"/>
      <c r="V400" s="263"/>
      <c r="W400" s="263"/>
      <c r="X400" s="263"/>
      <c r="Y400" s="263"/>
      <c r="Z400" s="263"/>
      <c r="AA400" s="263"/>
      <c r="AB400" s="263"/>
      <c r="AC400" s="263"/>
      <c r="AD400" s="263"/>
      <c r="AE400" s="263"/>
      <c r="AF400" s="263"/>
      <c r="AG400" s="263"/>
      <c r="AH400" s="263"/>
      <c r="AI400" s="263"/>
      <c r="AJ400" s="263"/>
      <c r="AK400" s="263"/>
      <c r="AL400" s="263"/>
      <c r="AM400" s="242"/>
    </row>
    <row r="401" spans="1:39" ht="18" customHeight="1" x14ac:dyDescent="0.15">
      <c r="A401" s="240"/>
      <c r="B401" s="242"/>
      <c r="C401" s="240"/>
      <c r="D401" s="263"/>
      <c r="E401" s="242"/>
      <c r="F401" s="242"/>
      <c r="G401" s="242"/>
      <c r="H401" s="240"/>
      <c r="I401" s="263"/>
      <c r="J401" s="263"/>
      <c r="K401" s="263"/>
      <c r="L401" s="242"/>
      <c r="Q401" s="263"/>
      <c r="R401" s="263"/>
      <c r="S401" s="263"/>
      <c r="T401" s="263"/>
      <c r="U401" s="263"/>
      <c r="V401" s="263"/>
      <c r="W401" s="263"/>
      <c r="X401" s="263"/>
      <c r="Y401" s="263"/>
      <c r="Z401" s="263"/>
      <c r="AA401" s="263"/>
      <c r="AB401" s="263"/>
      <c r="AC401" s="263"/>
      <c r="AD401" s="263"/>
      <c r="AE401" s="263"/>
      <c r="AF401" s="263"/>
      <c r="AG401" s="263"/>
      <c r="AH401" s="263"/>
      <c r="AI401" s="263"/>
      <c r="AJ401" s="263"/>
      <c r="AK401" s="263"/>
      <c r="AL401" s="263"/>
      <c r="AM401" s="242"/>
    </row>
    <row r="402" spans="1:39" ht="18" customHeight="1" x14ac:dyDescent="0.15">
      <c r="A402" s="240"/>
      <c r="B402" s="242"/>
      <c r="C402" s="240"/>
      <c r="D402" s="263"/>
      <c r="E402" s="242"/>
      <c r="F402" s="242"/>
      <c r="G402" s="242"/>
      <c r="H402" s="240"/>
      <c r="I402" s="263"/>
      <c r="J402" s="263"/>
      <c r="K402" s="263"/>
      <c r="L402" s="242"/>
      <c r="Q402" s="263"/>
      <c r="R402" s="263"/>
      <c r="S402" s="263"/>
      <c r="T402" s="263"/>
      <c r="U402" s="263"/>
      <c r="V402" s="263"/>
      <c r="W402" s="263"/>
      <c r="X402" s="263"/>
      <c r="Y402" s="263"/>
      <c r="Z402" s="263"/>
      <c r="AA402" s="263"/>
      <c r="AB402" s="263"/>
      <c r="AC402" s="263"/>
      <c r="AD402" s="263"/>
      <c r="AE402" s="263"/>
      <c r="AF402" s="263"/>
      <c r="AG402" s="263"/>
      <c r="AH402" s="263"/>
      <c r="AI402" s="263"/>
      <c r="AJ402" s="263"/>
      <c r="AK402" s="263"/>
      <c r="AL402" s="263"/>
      <c r="AM402" s="242"/>
    </row>
    <row r="403" spans="1:39" ht="18" customHeight="1" x14ac:dyDescent="0.15">
      <c r="A403" s="240"/>
      <c r="B403" s="242"/>
      <c r="C403" s="240"/>
      <c r="D403" s="263"/>
      <c r="E403" s="242"/>
      <c r="F403" s="242"/>
      <c r="G403" s="242"/>
      <c r="H403" s="240"/>
      <c r="I403" s="263"/>
      <c r="J403" s="263"/>
      <c r="K403" s="263"/>
      <c r="L403" s="242"/>
      <c r="Q403" s="263"/>
      <c r="R403" s="263"/>
      <c r="S403" s="263"/>
      <c r="T403" s="263"/>
      <c r="U403" s="263"/>
      <c r="V403" s="263"/>
      <c r="W403" s="263"/>
      <c r="X403" s="263"/>
      <c r="Y403" s="263"/>
      <c r="Z403" s="263"/>
      <c r="AA403" s="263"/>
      <c r="AB403" s="263"/>
      <c r="AC403" s="263"/>
      <c r="AD403" s="263"/>
      <c r="AE403" s="263"/>
      <c r="AF403" s="263"/>
      <c r="AG403" s="263"/>
      <c r="AH403" s="263"/>
      <c r="AI403" s="263"/>
      <c r="AJ403" s="263"/>
      <c r="AK403" s="263"/>
      <c r="AL403" s="263"/>
      <c r="AM403" s="242"/>
    </row>
    <row r="404" spans="1:39" ht="18" customHeight="1" x14ac:dyDescent="0.15">
      <c r="A404" s="240"/>
      <c r="B404" s="242"/>
      <c r="C404" s="240"/>
      <c r="D404" s="263"/>
      <c r="E404" s="242"/>
      <c r="F404" s="242"/>
      <c r="G404" s="242"/>
      <c r="H404" s="240"/>
      <c r="I404" s="263"/>
      <c r="J404" s="263"/>
      <c r="K404" s="263"/>
      <c r="L404" s="242"/>
      <c r="Q404" s="263"/>
      <c r="R404" s="263"/>
      <c r="S404" s="263"/>
      <c r="T404" s="263"/>
      <c r="U404" s="263"/>
      <c r="V404" s="263"/>
      <c r="W404" s="263"/>
      <c r="X404" s="263"/>
      <c r="Y404" s="263"/>
      <c r="Z404" s="263"/>
      <c r="AA404" s="263"/>
      <c r="AB404" s="263"/>
      <c r="AC404" s="263"/>
      <c r="AD404" s="263"/>
      <c r="AE404" s="263"/>
      <c r="AF404" s="263"/>
      <c r="AG404" s="263"/>
      <c r="AH404" s="263"/>
      <c r="AI404" s="263"/>
      <c r="AJ404" s="263"/>
      <c r="AK404" s="263"/>
      <c r="AL404" s="263"/>
      <c r="AM404" s="242"/>
    </row>
    <row r="405" spans="1:39" ht="18" customHeight="1" x14ac:dyDescent="0.15">
      <c r="A405" s="240"/>
      <c r="B405" s="242"/>
      <c r="C405" s="240"/>
      <c r="D405" s="263"/>
      <c r="E405" s="242"/>
      <c r="F405" s="242"/>
      <c r="G405" s="242"/>
      <c r="H405" s="240"/>
      <c r="I405" s="263"/>
      <c r="J405" s="263"/>
      <c r="K405" s="263"/>
      <c r="L405" s="242"/>
      <c r="Q405" s="263"/>
      <c r="R405" s="263"/>
      <c r="S405" s="263"/>
      <c r="T405" s="263"/>
      <c r="U405" s="263"/>
      <c r="V405" s="263"/>
      <c r="W405" s="263"/>
      <c r="X405" s="263"/>
      <c r="Y405" s="263"/>
      <c r="Z405" s="263"/>
      <c r="AA405" s="263"/>
      <c r="AB405" s="263"/>
      <c r="AC405" s="263"/>
      <c r="AD405" s="263"/>
      <c r="AE405" s="263"/>
      <c r="AF405" s="263"/>
      <c r="AG405" s="263"/>
      <c r="AH405" s="263"/>
      <c r="AI405" s="263"/>
      <c r="AJ405" s="263"/>
      <c r="AK405" s="263"/>
      <c r="AL405" s="263"/>
      <c r="AM405" s="242"/>
    </row>
    <row r="406" spans="1:39" ht="18" customHeight="1" x14ac:dyDescent="0.15">
      <c r="A406" s="240"/>
      <c r="B406" s="242"/>
      <c r="C406" s="240"/>
      <c r="D406" s="263"/>
      <c r="E406" s="242"/>
      <c r="F406" s="242"/>
      <c r="G406" s="242"/>
      <c r="H406" s="240"/>
      <c r="I406" s="263"/>
      <c r="J406" s="263"/>
      <c r="K406" s="263"/>
      <c r="L406" s="242"/>
      <c r="Q406" s="263"/>
      <c r="R406" s="263"/>
      <c r="S406" s="263"/>
      <c r="T406" s="263"/>
      <c r="U406" s="263"/>
      <c r="V406" s="263"/>
      <c r="W406" s="263"/>
      <c r="X406" s="263"/>
      <c r="Y406" s="263"/>
      <c r="Z406" s="263"/>
      <c r="AA406" s="263"/>
      <c r="AB406" s="263"/>
      <c r="AC406" s="263"/>
      <c r="AD406" s="263"/>
      <c r="AE406" s="263"/>
      <c r="AF406" s="263"/>
      <c r="AG406" s="263"/>
      <c r="AH406" s="263"/>
      <c r="AI406" s="263"/>
      <c r="AJ406" s="263"/>
      <c r="AK406" s="263"/>
      <c r="AL406" s="263"/>
      <c r="AM406" s="242"/>
    </row>
    <row r="407" spans="1:39" ht="18" customHeight="1" x14ac:dyDescent="0.15">
      <c r="A407" s="240"/>
      <c r="B407" s="242"/>
      <c r="C407" s="240"/>
      <c r="D407" s="263"/>
      <c r="E407" s="242"/>
      <c r="F407" s="242"/>
      <c r="G407" s="242"/>
      <c r="H407" s="240"/>
      <c r="I407" s="263"/>
      <c r="J407" s="263"/>
      <c r="K407" s="263"/>
      <c r="L407" s="242"/>
      <c r="Q407" s="263"/>
      <c r="R407" s="263"/>
      <c r="S407" s="263"/>
      <c r="T407" s="263"/>
      <c r="U407" s="263"/>
      <c r="V407" s="263"/>
      <c r="W407" s="263"/>
      <c r="X407" s="263"/>
      <c r="Y407" s="263"/>
      <c r="Z407" s="263"/>
      <c r="AA407" s="263"/>
      <c r="AB407" s="263"/>
      <c r="AC407" s="263"/>
      <c r="AD407" s="263"/>
      <c r="AE407" s="263"/>
      <c r="AF407" s="263"/>
      <c r="AG407" s="263"/>
      <c r="AH407" s="263"/>
      <c r="AI407" s="263"/>
      <c r="AJ407" s="263"/>
      <c r="AK407" s="263"/>
      <c r="AL407" s="263"/>
      <c r="AM407" s="242"/>
    </row>
    <row r="408" spans="1:39" ht="18" customHeight="1" x14ac:dyDescent="0.15">
      <c r="A408" s="240"/>
      <c r="B408" s="242"/>
      <c r="C408" s="240"/>
      <c r="D408" s="263"/>
      <c r="E408" s="242"/>
      <c r="F408" s="242"/>
      <c r="G408" s="242"/>
      <c r="H408" s="240"/>
      <c r="I408" s="263"/>
      <c r="J408" s="263"/>
      <c r="K408" s="263"/>
      <c r="L408" s="242"/>
      <c r="Q408" s="263"/>
      <c r="R408" s="263"/>
      <c r="S408" s="263"/>
      <c r="T408" s="263"/>
      <c r="U408" s="263"/>
      <c r="V408" s="263"/>
      <c r="W408" s="263"/>
      <c r="X408" s="263"/>
      <c r="Y408" s="263"/>
      <c r="Z408" s="263"/>
      <c r="AA408" s="263"/>
      <c r="AB408" s="263"/>
      <c r="AC408" s="263"/>
      <c r="AD408" s="263"/>
      <c r="AE408" s="263"/>
      <c r="AF408" s="263"/>
      <c r="AG408" s="263"/>
      <c r="AH408" s="263"/>
      <c r="AI408" s="263"/>
      <c r="AJ408" s="263"/>
      <c r="AK408" s="263"/>
      <c r="AL408" s="263"/>
      <c r="AM408" s="242"/>
    </row>
    <row r="409" spans="1:39" ht="18" customHeight="1" x14ac:dyDescent="0.15">
      <c r="A409" s="240"/>
      <c r="B409" s="242"/>
      <c r="C409" s="240"/>
      <c r="D409" s="263"/>
      <c r="E409" s="242"/>
      <c r="F409" s="242"/>
      <c r="G409" s="242"/>
      <c r="H409" s="240"/>
      <c r="I409" s="263"/>
      <c r="J409" s="263"/>
      <c r="K409" s="263"/>
      <c r="L409" s="242"/>
      <c r="Q409" s="263"/>
      <c r="R409" s="263"/>
      <c r="S409" s="263"/>
      <c r="T409" s="263"/>
      <c r="U409" s="263"/>
      <c r="V409" s="263"/>
      <c r="W409" s="263"/>
      <c r="X409" s="263"/>
      <c r="Y409" s="263"/>
      <c r="Z409" s="263"/>
      <c r="AA409" s="263"/>
      <c r="AB409" s="263"/>
      <c r="AC409" s="263"/>
      <c r="AD409" s="263"/>
      <c r="AE409" s="263"/>
      <c r="AF409" s="263"/>
      <c r="AG409" s="263"/>
      <c r="AH409" s="263"/>
      <c r="AI409" s="263"/>
      <c r="AJ409" s="263"/>
      <c r="AK409" s="263"/>
      <c r="AL409" s="263"/>
      <c r="AM409" s="242"/>
    </row>
    <row r="410" spans="1:39" ht="18" customHeight="1" x14ac:dyDescent="0.15">
      <c r="A410" s="240"/>
      <c r="B410" s="242"/>
      <c r="C410" s="240"/>
      <c r="D410" s="263"/>
      <c r="E410" s="242"/>
      <c r="F410" s="242"/>
      <c r="G410" s="242"/>
      <c r="H410" s="240"/>
      <c r="I410" s="263"/>
      <c r="J410" s="263"/>
      <c r="K410" s="263"/>
      <c r="L410" s="242"/>
      <c r="Q410" s="263"/>
      <c r="R410" s="263"/>
      <c r="S410" s="263"/>
      <c r="T410" s="263"/>
      <c r="U410" s="263"/>
      <c r="V410" s="263"/>
      <c r="W410" s="263"/>
      <c r="X410" s="263"/>
      <c r="Y410" s="263"/>
      <c r="Z410" s="263"/>
      <c r="AA410" s="263"/>
      <c r="AB410" s="263"/>
      <c r="AC410" s="263"/>
      <c r="AD410" s="263"/>
      <c r="AE410" s="263"/>
      <c r="AF410" s="263"/>
      <c r="AG410" s="263"/>
      <c r="AH410" s="263"/>
      <c r="AI410" s="263"/>
      <c r="AJ410" s="263"/>
      <c r="AK410" s="263"/>
      <c r="AL410" s="263"/>
      <c r="AM410" s="242"/>
    </row>
    <row r="411" spans="1:39" ht="18" customHeight="1" x14ac:dyDescent="0.15">
      <c r="A411" s="240"/>
      <c r="B411" s="242"/>
      <c r="C411" s="240"/>
      <c r="D411" s="263"/>
      <c r="E411" s="242"/>
      <c r="F411" s="242"/>
      <c r="G411" s="242"/>
      <c r="H411" s="240"/>
      <c r="I411" s="263"/>
      <c r="J411" s="263"/>
      <c r="K411" s="263"/>
      <c r="L411" s="242"/>
      <c r="Q411" s="263"/>
      <c r="R411" s="263"/>
      <c r="S411" s="263"/>
      <c r="T411" s="263"/>
      <c r="U411" s="263"/>
      <c r="V411" s="263"/>
      <c r="W411" s="263"/>
      <c r="X411" s="263"/>
      <c r="Y411" s="263"/>
      <c r="Z411" s="263"/>
      <c r="AA411" s="263"/>
      <c r="AB411" s="263"/>
      <c r="AC411" s="263"/>
      <c r="AD411" s="263"/>
      <c r="AE411" s="263"/>
      <c r="AF411" s="263"/>
      <c r="AG411" s="263"/>
      <c r="AH411" s="263"/>
      <c r="AI411" s="263"/>
      <c r="AJ411" s="263"/>
      <c r="AK411" s="263"/>
      <c r="AL411" s="263"/>
      <c r="AM411" s="242"/>
    </row>
    <row r="412" spans="1:39" ht="18" customHeight="1" x14ac:dyDescent="0.15">
      <c r="A412" s="240"/>
      <c r="B412" s="242"/>
      <c r="C412" s="240"/>
      <c r="D412" s="263"/>
      <c r="E412" s="242"/>
      <c r="F412" s="242"/>
      <c r="G412" s="242"/>
      <c r="H412" s="240"/>
      <c r="I412" s="263"/>
      <c r="J412" s="263"/>
      <c r="K412" s="263"/>
      <c r="L412" s="242"/>
      <c r="Q412" s="263"/>
      <c r="R412" s="263"/>
      <c r="S412" s="263"/>
      <c r="T412" s="263"/>
      <c r="U412" s="263"/>
      <c r="V412" s="263"/>
      <c r="W412" s="263"/>
      <c r="X412" s="263"/>
      <c r="Y412" s="263"/>
      <c r="Z412" s="263"/>
      <c r="AA412" s="263"/>
      <c r="AB412" s="263"/>
      <c r="AC412" s="263"/>
      <c r="AD412" s="263"/>
      <c r="AE412" s="263"/>
      <c r="AF412" s="263"/>
      <c r="AG412" s="263"/>
      <c r="AH412" s="263"/>
      <c r="AI412" s="263"/>
      <c r="AJ412" s="263"/>
      <c r="AK412" s="263"/>
      <c r="AL412" s="263"/>
      <c r="AM412" s="242"/>
    </row>
    <row r="413" spans="1:39" ht="18" customHeight="1" x14ac:dyDescent="0.15">
      <c r="A413" s="240"/>
      <c r="B413" s="242"/>
      <c r="C413" s="240"/>
      <c r="D413" s="263"/>
      <c r="E413" s="242"/>
      <c r="F413" s="242"/>
      <c r="G413" s="242"/>
      <c r="H413" s="240"/>
      <c r="I413" s="263"/>
      <c r="J413" s="263"/>
      <c r="K413" s="263"/>
      <c r="L413" s="242"/>
      <c r="Q413" s="263"/>
      <c r="R413" s="263"/>
      <c r="S413" s="263"/>
      <c r="T413" s="263"/>
      <c r="U413" s="263"/>
      <c r="V413" s="263"/>
      <c r="W413" s="263"/>
      <c r="X413" s="263"/>
      <c r="Y413" s="263"/>
      <c r="Z413" s="263"/>
      <c r="AA413" s="263"/>
      <c r="AB413" s="263"/>
      <c r="AC413" s="263"/>
      <c r="AD413" s="263"/>
      <c r="AE413" s="263"/>
      <c r="AF413" s="263"/>
      <c r="AG413" s="263"/>
      <c r="AH413" s="263"/>
      <c r="AI413" s="263"/>
      <c r="AJ413" s="263"/>
      <c r="AK413" s="263"/>
      <c r="AL413" s="263"/>
      <c r="AM413" s="242"/>
    </row>
    <row r="414" spans="1:39" ht="18" customHeight="1" x14ac:dyDescent="0.15">
      <c r="A414" s="240"/>
      <c r="B414" s="242"/>
      <c r="C414" s="240"/>
      <c r="D414" s="263"/>
      <c r="E414" s="242"/>
      <c r="F414" s="242"/>
      <c r="G414" s="242"/>
      <c r="H414" s="240"/>
      <c r="I414" s="263"/>
      <c r="J414" s="263"/>
      <c r="K414" s="263"/>
      <c r="L414" s="242"/>
      <c r="Q414" s="263"/>
      <c r="R414" s="263"/>
      <c r="S414" s="263"/>
      <c r="T414" s="263"/>
      <c r="U414" s="263"/>
      <c r="V414" s="263"/>
      <c r="W414" s="263"/>
      <c r="X414" s="263"/>
      <c r="Y414" s="263"/>
      <c r="Z414" s="263"/>
      <c r="AA414" s="263"/>
      <c r="AB414" s="263"/>
      <c r="AC414" s="263"/>
      <c r="AD414" s="263"/>
      <c r="AE414" s="263"/>
      <c r="AF414" s="263"/>
      <c r="AG414" s="263"/>
      <c r="AH414" s="263"/>
      <c r="AI414" s="263"/>
      <c r="AJ414" s="263"/>
      <c r="AK414" s="263"/>
      <c r="AL414" s="263"/>
      <c r="AM414" s="242"/>
    </row>
    <row r="415" spans="1:39" ht="18" customHeight="1" x14ac:dyDescent="0.15">
      <c r="A415" s="240"/>
      <c r="B415" s="242"/>
      <c r="C415" s="240"/>
      <c r="D415" s="263"/>
      <c r="E415" s="242"/>
      <c r="F415" s="242"/>
      <c r="G415" s="242"/>
      <c r="H415" s="240"/>
      <c r="I415" s="263"/>
      <c r="J415" s="263"/>
      <c r="K415" s="263"/>
      <c r="L415" s="242"/>
      <c r="Q415" s="263"/>
      <c r="R415" s="263"/>
      <c r="S415" s="263"/>
      <c r="T415" s="263"/>
      <c r="U415" s="263"/>
      <c r="V415" s="263"/>
      <c r="W415" s="263"/>
      <c r="X415" s="263"/>
      <c r="Y415" s="263"/>
      <c r="Z415" s="263"/>
      <c r="AA415" s="263"/>
      <c r="AB415" s="263"/>
      <c r="AC415" s="263"/>
      <c r="AD415" s="263"/>
      <c r="AE415" s="263"/>
      <c r="AF415" s="263"/>
      <c r="AG415" s="263"/>
      <c r="AH415" s="263"/>
      <c r="AI415" s="263"/>
      <c r="AJ415" s="263"/>
      <c r="AK415" s="263"/>
      <c r="AL415" s="263"/>
      <c r="AM415" s="242"/>
    </row>
    <row r="416" spans="1:39" ht="18" customHeight="1" x14ac:dyDescent="0.15">
      <c r="A416" s="240"/>
      <c r="B416" s="242"/>
      <c r="C416" s="240"/>
      <c r="D416" s="263"/>
      <c r="E416" s="242"/>
      <c r="F416" s="242"/>
      <c r="G416" s="242"/>
      <c r="H416" s="240"/>
      <c r="I416" s="263"/>
      <c r="J416" s="263"/>
      <c r="K416" s="263"/>
      <c r="L416" s="242"/>
      <c r="Q416" s="263"/>
      <c r="R416" s="263"/>
      <c r="S416" s="263"/>
      <c r="T416" s="263"/>
      <c r="U416" s="263"/>
      <c r="V416" s="263"/>
      <c r="W416" s="263"/>
      <c r="X416" s="263"/>
      <c r="Y416" s="263"/>
      <c r="Z416" s="263"/>
      <c r="AA416" s="263"/>
      <c r="AB416" s="263"/>
      <c r="AC416" s="263"/>
      <c r="AD416" s="263"/>
      <c r="AE416" s="263"/>
      <c r="AF416" s="263"/>
      <c r="AG416" s="263"/>
      <c r="AH416" s="263"/>
      <c r="AI416" s="263"/>
      <c r="AJ416" s="263"/>
      <c r="AK416" s="263"/>
      <c r="AL416" s="263"/>
      <c r="AM416" s="242"/>
    </row>
    <row r="417" spans="1:39" ht="18" customHeight="1" x14ac:dyDescent="0.15">
      <c r="A417" s="240"/>
      <c r="B417" s="242"/>
      <c r="C417" s="240"/>
      <c r="D417" s="263"/>
      <c r="E417" s="242"/>
      <c r="F417" s="242"/>
      <c r="G417" s="242"/>
      <c r="H417" s="240"/>
      <c r="I417" s="263"/>
      <c r="J417" s="263"/>
      <c r="K417" s="263"/>
      <c r="L417" s="242"/>
      <c r="Q417" s="263"/>
      <c r="R417" s="263"/>
      <c r="S417" s="263"/>
      <c r="T417" s="263"/>
      <c r="U417" s="263"/>
      <c r="V417" s="263"/>
      <c r="W417" s="263"/>
      <c r="X417" s="263"/>
      <c r="Y417" s="263"/>
      <c r="Z417" s="263"/>
      <c r="AA417" s="263"/>
      <c r="AB417" s="263"/>
      <c r="AC417" s="263"/>
      <c r="AD417" s="263"/>
      <c r="AE417" s="263"/>
      <c r="AF417" s="263"/>
      <c r="AG417" s="263"/>
      <c r="AH417" s="263"/>
      <c r="AI417" s="263"/>
      <c r="AJ417" s="263"/>
      <c r="AK417" s="263"/>
      <c r="AL417" s="263"/>
      <c r="AM417" s="242"/>
    </row>
    <row r="418" spans="1:39" ht="18" customHeight="1" x14ac:dyDescent="0.15">
      <c r="A418" s="240"/>
      <c r="B418" s="242"/>
      <c r="C418" s="240"/>
      <c r="D418" s="263"/>
      <c r="E418" s="242"/>
      <c r="F418" s="242"/>
      <c r="G418" s="242"/>
      <c r="H418" s="240"/>
      <c r="I418" s="263"/>
      <c r="J418" s="263"/>
      <c r="K418" s="263"/>
      <c r="L418" s="242"/>
      <c r="Q418" s="263"/>
      <c r="R418" s="263"/>
      <c r="S418" s="263"/>
      <c r="T418" s="263"/>
      <c r="U418" s="263"/>
      <c r="V418" s="263"/>
      <c r="W418" s="263"/>
      <c r="X418" s="263"/>
      <c r="Y418" s="263"/>
      <c r="Z418" s="263"/>
      <c r="AA418" s="263"/>
      <c r="AB418" s="263"/>
      <c r="AC418" s="263"/>
      <c r="AD418" s="263"/>
      <c r="AE418" s="263"/>
      <c r="AF418" s="263"/>
      <c r="AG418" s="263"/>
      <c r="AH418" s="263"/>
      <c r="AI418" s="263"/>
      <c r="AJ418" s="263"/>
      <c r="AK418" s="263"/>
      <c r="AL418" s="263"/>
      <c r="AM418" s="242"/>
    </row>
    <row r="419" spans="1:39" ht="18" customHeight="1" x14ac:dyDescent="0.15">
      <c r="A419" s="240"/>
      <c r="B419" s="242"/>
      <c r="C419" s="240"/>
      <c r="D419" s="263"/>
      <c r="E419" s="242"/>
      <c r="F419" s="242"/>
      <c r="G419" s="242"/>
      <c r="H419" s="240"/>
      <c r="I419" s="263"/>
      <c r="J419" s="263"/>
      <c r="K419" s="263"/>
      <c r="L419" s="242"/>
      <c r="Q419" s="263"/>
      <c r="R419" s="263"/>
      <c r="S419" s="263"/>
      <c r="T419" s="263"/>
      <c r="U419" s="263"/>
      <c r="V419" s="263"/>
      <c r="W419" s="263"/>
      <c r="X419" s="263"/>
      <c r="Y419" s="263"/>
      <c r="Z419" s="263"/>
      <c r="AA419" s="263"/>
      <c r="AB419" s="263"/>
      <c r="AC419" s="263"/>
      <c r="AD419" s="263"/>
      <c r="AE419" s="263"/>
      <c r="AF419" s="263"/>
      <c r="AG419" s="263"/>
      <c r="AH419" s="263"/>
      <c r="AI419" s="263"/>
      <c r="AJ419" s="263"/>
      <c r="AK419" s="263"/>
      <c r="AL419" s="263"/>
      <c r="AM419" s="242"/>
    </row>
    <row r="420" spans="1:39" ht="18" customHeight="1" x14ac:dyDescent="0.15">
      <c r="A420" s="240"/>
      <c r="B420" s="242"/>
      <c r="C420" s="240"/>
      <c r="D420" s="263"/>
      <c r="E420" s="242"/>
      <c r="F420" s="242"/>
      <c r="G420" s="242"/>
      <c r="H420" s="240"/>
      <c r="I420" s="263"/>
      <c r="J420" s="263"/>
      <c r="K420" s="263"/>
      <c r="L420" s="242"/>
      <c r="Q420" s="263"/>
      <c r="R420" s="263"/>
      <c r="S420" s="263"/>
      <c r="T420" s="263"/>
      <c r="U420" s="263"/>
      <c r="V420" s="263"/>
      <c r="W420" s="263"/>
      <c r="X420" s="263"/>
      <c r="Y420" s="263"/>
      <c r="Z420" s="263"/>
      <c r="AA420" s="263"/>
      <c r="AB420" s="263"/>
      <c r="AC420" s="263"/>
      <c r="AD420" s="263"/>
      <c r="AE420" s="263"/>
      <c r="AF420" s="263"/>
      <c r="AG420" s="263"/>
      <c r="AH420" s="263"/>
      <c r="AI420" s="263"/>
      <c r="AJ420" s="263"/>
      <c r="AK420" s="263"/>
      <c r="AL420" s="263"/>
      <c r="AM420" s="242"/>
    </row>
    <row r="421" spans="1:39" ht="18" customHeight="1" x14ac:dyDescent="0.15">
      <c r="A421" s="240"/>
      <c r="B421" s="242"/>
      <c r="C421" s="240"/>
      <c r="D421" s="263"/>
      <c r="E421" s="242"/>
      <c r="F421" s="242"/>
      <c r="G421" s="242"/>
      <c r="H421" s="240"/>
      <c r="I421" s="263"/>
      <c r="J421" s="263"/>
      <c r="K421" s="263"/>
      <c r="L421" s="242"/>
      <c r="Q421" s="263"/>
      <c r="R421" s="263"/>
      <c r="S421" s="263"/>
      <c r="T421" s="263"/>
      <c r="U421" s="263"/>
      <c r="V421" s="263"/>
      <c r="W421" s="263"/>
      <c r="X421" s="263"/>
      <c r="Y421" s="263"/>
      <c r="Z421" s="263"/>
      <c r="AA421" s="263"/>
      <c r="AB421" s="263"/>
      <c r="AC421" s="263"/>
      <c r="AD421" s="263"/>
      <c r="AE421" s="263"/>
      <c r="AF421" s="263"/>
      <c r="AG421" s="263"/>
      <c r="AH421" s="263"/>
      <c r="AI421" s="263"/>
      <c r="AJ421" s="263"/>
      <c r="AK421" s="263"/>
      <c r="AL421" s="263"/>
      <c r="AM421" s="242"/>
    </row>
    <row r="422" spans="1:39" ht="18" customHeight="1" x14ac:dyDescent="0.15">
      <c r="A422" s="240"/>
      <c r="B422" s="242"/>
      <c r="C422" s="240"/>
      <c r="D422" s="263"/>
      <c r="E422" s="242"/>
      <c r="F422" s="242"/>
      <c r="G422" s="242"/>
      <c r="H422" s="240"/>
      <c r="I422" s="263"/>
      <c r="J422" s="263"/>
      <c r="K422" s="263"/>
      <c r="L422" s="242"/>
      <c r="Q422" s="263"/>
      <c r="R422" s="263"/>
      <c r="S422" s="263"/>
      <c r="T422" s="263"/>
      <c r="U422" s="263"/>
      <c r="V422" s="263"/>
      <c r="W422" s="263"/>
      <c r="X422" s="263"/>
      <c r="Y422" s="263"/>
      <c r="Z422" s="263"/>
      <c r="AA422" s="263"/>
      <c r="AB422" s="263"/>
      <c r="AC422" s="263"/>
      <c r="AD422" s="263"/>
      <c r="AE422" s="263"/>
      <c r="AF422" s="263"/>
      <c r="AG422" s="263"/>
      <c r="AH422" s="263"/>
      <c r="AI422" s="263"/>
      <c r="AJ422" s="263"/>
      <c r="AK422" s="263"/>
      <c r="AL422" s="263"/>
      <c r="AM422" s="242"/>
    </row>
    <row r="423" spans="1:39" ht="18" customHeight="1" x14ac:dyDescent="0.15">
      <c r="A423" s="240"/>
      <c r="B423" s="242"/>
      <c r="C423" s="240"/>
      <c r="D423" s="263"/>
      <c r="E423" s="242"/>
      <c r="F423" s="242"/>
      <c r="G423" s="242"/>
      <c r="H423" s="240"/>
      <c r="I423" s="263"/>
      <c r="J423" s="263"/>
      <c r="K423" s="263"/>
      <c r="L423" s="242"/>
      <c r="Q423" s="263"/>
      <c r="R423" s="263"/>
      <c r="S423" s="263"/>
      <c r="T423" s="263"/>
      <c r="U423" s="263"/>
      <c r="V423" s="263"/>
      <c r="W423" s="263"/>
      <c r="X423" s="263"/>
      <c r="Y423" s="263"/>
      <c r="Z423" s="263"/>
      <c r="AA423" s="263"/>
      <c r="AB423" s="263"/>
      <c r="AC423" s="263"/>
      <c r="AD423" s="263"/>
      <c r="AE423" s="263"/>
      <c r="AF423" s="263"/>
      <c r="AG423" s="263"/>
      <c r="AH423" s="263"/>
      <c r="AI423" s="263"/>
      <c r="AJ423" s="263"/>
      <c r="AK423" s="263"/>
      <c r="AL423" s="263"/>
      <c r="AM423" s="242"/>
    </row>
    <row r="424" spans="1:39" ht="18" customHeight="1" x14ac:dyDescent="0.15">
      <c r="A424" s="240"/>
      <c r="B424" s="242"/>
      <c r="C424" s="240"/>
      <c r="D424" s="263"/>
      <c r="E424" s="242"/>
      <c r="F424" s="242"/>
      <c r="G424" s="242"/>
      <c r="H424" s="240"/>
      <c r="I424" s="263"/>
      <c r="J424" s="263"/>
      <c r="K424" s="263"/>
      <c r="L424" s="242"/>
      <c r="Q424" s="263"/>
      <c r="R424" s="263"/>
      <c r="S424" s="263"/>
      <c r="T424" s="263"/>
      <c r="U424" s="263"/>
      <c r="V424" s="263"/>
      <c r="W424" s="263"/>
      <c r="X424" s="263"/>
      <c r="Y424" s="263"/>
      <c r="Z424" s="263"/>
      <c r="AA424" s="263"/>
      <c r="AB424" s="263"/>
      <c r="AC424" s="263"/>
      <c r="AD424" s="263"/>
      <c r="AE424" s="263"/>
      <c r="AF424" s="263"/>
      <c r="AG424" s="263"/>
      <c r="AH424" s="263"/>
      <c r="AI424" s="263"/>
      <c r="AJ424" s="263"/>
      <c r="AK424" s="263"/>
      <c r="AL424" s="263"/>
      <c r="AM424" s="242"/>
    </row>
    <row r="425" spans="1:39" ht="18" customHeight="1" x14ac:dyDescent="0.15">
      <c r="A425" s="240"/>
      <c r="B425" s="242"/>
      <c r="C425" s="240"/>
      <c r="D425" s="263"/>
      <c r="E425" s="242"/>
      <c r="F425" s="242"/>
      <c r="G425" s="242"/>
      <c r="H425" s="240"/>
      <c r="I425" s="263"/>
      <c r="J425" s="263"/>
      <c r="K425" s="263"/>
      <c r="L425" s="242"/>
      <c r="Q425" s="263"/>
      <c r="R425" s="263"/>
      <c r="S425" s="263"/>
      <c r="T425" s="263"/>
      <c r="U425" s="263"/>
      <c r="V425" s="263"/>
      <c r="W425" s="263"/>
      <c r="X425" s="263"/>
      <c r="Y425" s="263"/>
      <c r="Z425" s="263"/>
      <c r="AA425" s="263"/>
      <c r="AB425" s="263"/>
      <c r="AC425" s="263"/>
      <c r="AD425" s="263"/>
      <c r="AE425" s="263"/>
      <c r="AF425" s="263"/>
      <c r="AG425" s="263"/>
      <c r="AH425" s="263"/>
      <c r="AI425" s="263"/>
      <c r="AJ425" s="263"/>
      <c r="AK425" s="263"/>
      <c r="AL425" s="263"/>
      <c r="AM425" s="242"/>
    </row>
    <row r="426" spans="1:39" ht="18" customHeight="1" x14ac:dyDescent="0.15">
      <c r="A426" s="240"/>
      <c r="B426" s="242"/>
      <c r="C426" s="240"/>
      <c r="D426" s="263"/>
      <c r="E426" s="242"/>
      <c r="F426" s="242"/>
      <c r="G426" s="242"/>
      <c r="H426" s="240"/>
      <c r="I426" s="263"/>
      <c r="J426" s="263"/>
      <c r="K426" s="263"/>
      <c r="L426" s="242"/>
      <c r="Q426" s="263"/>
      <c r="R426" s="263"/>
      <c r="S426" s="263"/>
      <c r="T426" s="263"/>
      <c r="U426" s="263"/>
      <c r="V426" s="263"/>
      <c r="W426" s="263"/>
      <c r="X426" s="263"/>
      <c r="Y426" s="263"/>
      <c r="Z426" s="263"/>
      <c r="AA426" s="263"/>
      <c r="AB426" s="263"/>
      <c r="AC426" s="263"/>
      <c r="AD426" s="263"/>
      <c r="AE426" s="263"/>
      <c r="AF426" s="263"/>
      <c r="AG426" s="263"/>
      <c r="AH426" s="263"/>
      <c r="AI426" s="263"/>
      <c r="AJ426" s="263"/>
      <c r="AK426" s="263"/>
      <c r="AL426" s="263"/>
      <c r="AM426" s="242"/>
    </row>
    <row r="427" spans="1:39" ht="18" customHeight="1" x14ac:dyDescent="0.15">
      <c r="A427" s="240"/>
      <c r="B427" s="242"/>
      <c r="C427" s="240"/>
      <c r="D427" s="263"/>
      <c r="E427" s="242"/>
      <c r="F427" s="242"/>
      <c r="G427" s="242"/>
      <c r="H427" s="240"/>
      <c r="I427" s="263"/>
      <c r="J427" s="263"/>
      <c r="K427" s="263"/>
      <c r="L427" s="242"/>
      <c r="Q427" s="263"/>
      <c r="R427" s="263"/>
      <c r="S427" s="263"/>
      <c r="T427" s="263"/>
      <c r="U427" s="263"/>
      <c r="V427" s="263"/>
      <c r="W427" s="263"/>
      <c r="X427" s="263"/>
      <c r="Y427" s="263"/>
      <c r="Z427" s="263"/>
      <c r="AA427" s="263"/>
      <c r="AB427" s="263"/>
      <c r="AC427" s="263"/>
      <c r="AD427" s="263"/>
      <c r="AE427" s="263"/>
      <c r="AF427" s="263"/>
      <c r="AG427" s="263"/>
      <c r="AH427" s="263"/>
      <c r="AI427" s="263"/>
      <c r="AJ427" s="263"/>
      <c r="AK427" s="263"/>
      <c r="AL427" s="263"/>
      <c r="AM427" s="242"/>
    </row>
    <row r="428" spans="1:39" ht="18" customHeight="1" x14ac:dyDescent="0.15">
      <c r="A428" s="240"/>
      <c r="B428" s="242"/>
      <c r="C428" s="240"/>
      <c r="D428" s="263"/>
      <c r="E428" s="242"/>
      <c r="F428" s="242"/>
      <c r="G428" s="242"/>
      <c r="H428" s="240"/>
      <c r="I428" s="263"/>
      <c r="J428" s="263"/>
      <c r="K428" s="263"/>
      <c r="L428" s="242"/>
      <c r="Q428" s="263"/>
      <c r="R428" s="263"/>
      <c r="S428" s="263"/>
      <c r="T428" s="263"/>
      <c r="U428" s="263"/>
      <c r="V428" s="263"/>
      <c r="W428" s="263"/>
      <c r="X428" s="263"/>
      <c r="Y428" s="263"/>
      <c r="Z428" s="263"/>
      <c r="AA428" s="263"/>
      <c r="AB428" s="263"/>
      <c r="AC428" s="263"/>
      <c r="AD428" s="263"/>
      <c r="AE428" s="263"/>
      <c r="AF428" s="263"/>
      <c r="AG428" s="263"/>
      <c r="AH428" s="263"/>
      <c r="AI428" s="263"/>
      <c r="AJ428" s="263"/>
      <c r="AK428" s="263"/>
      <c r="AL428" s="263"/>
      <c r="AM428" s="242"/>
    </row>
    <row r="429" spans="1:39" ht="18" customHeight="1" x14ac:dyDescent="0.15">
      <c r="A429" s="240"/>
      <c r="B429" s="242"/>
      <c r="C429" s="240"/>
      <c r="D429" s="263"/>
      <c r="E429" s="242"/>
      <c r="F429" s="242"/>
      <c r="G429" s="242"/>
      <c r="H429" s="240"/>
      <c r="I429" s="263"/>
      <c r="J429" s="263"/>
      <c r="K429" s="263"/>
      <c r="L429" s="242"/>
      <c r="Q429" s="263"/>
      <c r="R429" s="263"/>
      <c r="S429" s="263"/>
      <c r="T429" s="263"/>
      <c r="U429" s="263"/>
      <c r="V429" s="263"/>
      <c r="W429" s="263"/>
      <c r="X429" s="263"/>
      <c r="Y429" s="263"/>
      <c r="Z429" s="263"/>
      <c r="AA429" s="263"/>
      <c r="AB429" s="263"/>
      <c r="AC429" s="263"/>
      <c r="AD429" s="263"/>
      <c r="AE429" s="263"/>
      <c r="AF429" s="263"/>
      <c r="AG429" s="263"/>
      <c r="AH429" s="263"/>
      <c r="AI429" s="263"/>
      <c r="AJ429" s="263"/>
      <c r="AK429" s="263"/>
      <c r="AL429" s="263"/>
      <c r="AM429" s="242"/>
    </row>
    <row r="430" spans="1:39" ht="18" customHeight="1" x14ac:dyDescent="0.15">
      <c r="A430" s="240"/>
      <c r="B430" s="242"/>
      <c r="C430" s="240"/>
      <c r="D430" s="263"/>
      <c r="E430" s="242"/>
      <c r="F430" s="242"/>
      <c r="G430" s="242"/>
      <c r="H430" s="240"/>
      <c r="I430" s="263"/>
      <c r="J430" s="263"/>
      <c r="K430" s="263"/>
      <c r="L430" s="242"/>
      <c r="Q430" s="263"/>
      <c r="R430" s="263"/>
      <c r="S430" s="263"/>
      <c r="T430" s="263"/>
      <c r="U430" s="263"/>
      <c r="V430" s="263"/>
      <c r="W430" s="263"/>
      <c r="X430" s="263"/>
      <c r="Y430" s="263"/>
      <c r="Z430" s="263"/>
      <c r="AA430" s="263"/>
      <c r="AB430" s="263"/>
      <c r="AC430" s="263"/>
      <c r="AD430" s="263"/>
      <c r="AE430" s="263"/>
      <c r="AF430" s="263"/>
      <c r="AG430" s="263"/>
      <c r="AH430" s="263"/>
      <c r="AI430" s="263"/>
      <c r="AJ430" s="263"/>
      <c r="AK430" s="263"/>
      <c r="AL430" s="263"/>
      <c r="AM430" s="242"/>
    </row>
    <row r="431" spans="1:39" ht="18" customHeight="1" x14ac:dyDescent="0.15">
      <c r="A431" s="240"/>
      <c r="B431" s="242"/>
      <c r="C431" s="240"/>
      <c r="D431" s="263"/>
      <c r="E431" s="242"/>
      <c r="F431" s="242"/>
      <c r="G431" s="242"/>
      <c r="H431" s="240"/>
      <c r="I431" s="263"/>
      <c r="J431" s="263"/>
      <c r="K431" s="263"/>
      <c r="L431" s="242"/>
      <c r="Q431" s="263"/>
      <c r="R431" s="263"/>
      <c r="S431" s="263"/>
      <c r="T431" s="263"/>
      <c r="U431" s="263"/>
      <c r="V431" s="263"/>
      <c r="W431" s="263"/>
      <c r="X431" s="263"/>
      <c r="Y431" s="263"/>
      <c r="Z431" s="263"/>
      <c r="AA431" s="263"/>
      <c r="AB431" s="263"/>
      <c r="AC431" s="263"/>
      <c r="AD431" s="263"/>
      <c r="AE431" s="263"/>
      <c r="AF431" s="263"/>
      <c r="AG431" s="263"/>
      <c r="AH431" s="263"/>
      <c r="AI431" s="263"/>
      <c r="AJ431" s="263"/>
      <c r="AK431" s="263"/>
      <c r="AL431" s="263"/>
      <c r="AM431" s="242"/>
    </row>
    <row r="432" spans="1:39" ht="18" customHeight="1" x14ac:dyDescent="0.15">
      <c r="A432" s="240"/>
      <c r="B432" s="242"/>
      <c r="C432" s="240"/>
      <c r="D432" s="263"/>
      <c r="E432" s="242"/>
      <c r="F432" s="242"/>
      <c r="G432" s="242"/>
      <c r="H432" s="240"/>
      <c r="I432" s="263"/>
      <c r="J432" s="263"/>
      <c r="K432" s="263"/>
      <c r="L432" s="242"/>
      <c r="Q432" s="263"/>
      <c r="R432" s="263"/>
      <c r="S432" s="263"/>
      <c r="T432" s="263"/>
      <c r="U432" s="263"/>
      <c r="V432" s="263"/>
      <c r="W432" s="263"/>
      <c r="X432" s="263"/>
      <c r="Y432" s="263"/>
      <c r="Z432" s="263"/>
      <c r="AA432" s="263"/>
      <c r="AB432" s="263"/>
      <c r="AC432" s="263"/>
      <c r="AD432" s="263"/>
      <c r="AE432" s="263"/>
      <c r="AF432" s="263"/>
      <c r="AG432" s="263"/>
      <c r="AH432" s="263"/>
      <c r="AI432" s="263"/>
      <c r="AJ432" s="263"/>
      <c r="AK432" s="263"/>
      <c r="AL432" s="263"/>
      <c r="AM432" s="242"/>
    </row>
    <row r="433" spans="1:39" ht="18" customHeight="1" x14ac:dyDescent="0.15">
      <c r="A433" s="240"/>
      <c r="B433" s="242"/>
      <c r="C433" s="240"/>
      <c r="D433" s="263"/>
      <c r="E433" s="242"/>
      <c r="F433" s="242"/>
      <c r="G433" s="242"/>
      <c r="H433" s="240"/>
      <c r="I433" s="263"/>
      <c r="J433" s="263"/>
      <c r="K433" s="263"/>
      <c r="L433" s="242"/>
      <c r="Q433" s="263"/>
      <c r="R433" s="263"/>
      <c r="S433" s="263"/>
      <c r="T433" s="263"/>
      <c r="U433" s="263"/>
      <c r="V433" s="263"/>
      <c r="W433" s="263"/>
      <c r="X433" s="263"/>
      <c r="Y433" s="263"/>
      <c r="Z433" s="263"/>
      <c r="AA433" s="263"/>
      <c r="AB433" s="263"/>
      <c r="AC433" s="263"/>
      <c r="AD433" s="263"/>
      <c r="AE433" s="263"/>
      <c r="AF433" s="263"/>
      <c r="AG433" s="263"/>
      <c r="AH433" s="263"/>
      <c r="AI433" s="263"/>
      <c r="AJ433" s="263"/>
      <c r="AK433" s="263"/>
      <c r="AL433" s="263"/>
      <c r="AM433" s="242"/>
    </row>
    <row r="434" spans="1:39" ht="18" customHeight="1" x14ac:dyDescent="0.15">
      <c r="A434" s="240"/>
      <c r="B434" s="242"/>
      <c r="C434" s="240"/>
      <c r="D434" s="263"/>
      <c r="E434" s="242"/>
      <c r="F434" s="242"/>
      <c r="G434" s="242"/>
      <c r="H434" s="240"/>
      <c r="I434" s="263"/>
      <c r="J434" s="263"/>
      <c r="K434" s="263"/>
      <c r="L434" s="242"/>
      <c r="Q434" s="263"/>
      <c r="R434" s="263"/>
      <c r="S434" s="263"/>
      <c r="T434" s="263"/>
      <c r="U434" s="263"/>
      <c r="V434" s="263"/>
      <c r="W434" s="263"/>
      <c r="X434" s="263"/>
      <c r="Y434" s="263"/>
      <c r="Z434" s="263"/>
      <c r="AA434" s="263"/>
      <c r="AB434" s="263"/>
      <c r="AC434" s="263"/>
      <c r="AD434" s="263"/>
      <c r="AE434" s="263"/>
      <c r="AF434" s="263"/>
      <c r="AG434" s="263"/>
      <c r="AH434" s="263"/>
      <c r="AI434" s="263"/>
      <c r="AJ434" s="263"/>
      <c r="AK434" s="263"/>
      <c r="AL434" s="263"/>
      <c r="AM434" s="242"/>
    </row>
    <row r="435" spans="1:39" ht="18" customHeight="1" x14ac:dyDescent="0.15">
      <c r="A435" s="240"/>
      <c r="B435" s="242"/>
      <c r="C435" s="240"/>
      <c r="D435" s="263"/>
      <c r="E435" s="242"/>
      <c r="F435" s="242"/>
      <c r="G435" s="242"/>
      <c r="H435" s="240"/>
      <c r="I435" s="263"/>
      <c r="J435" s="263"/>
      <c r="K435" s="263"/>
      <c r="L435" s="242"/>
      <c r="Q435" s="263"/>
      <c r="R435" s="263"/>
      <c r="S435" s="263"/>
      <c r="T435" s="263"/>
      <c r="U435" s="263"/>
      <c r="V435" s="263"/>
      <c r="W435" s="263"/>
      <c r="X435" s="263"/>
      <c r="Y435" s="263"/>
      <c r="Z435" s="263"/>
      <c r="AA435" s="263"/>
      <c r="AB435" s="263"/>
      <c r="AC435" s="263"/>
      <c r="AD435" s="263"/>
      <c r="AE435" s="263"/>
      <c r="AF435" s="263"/>
      <c r="AG435" s="263"/>
      <c r="AH435" s="263"/>
      <c r="AI435" s="263"/>
      <c r="AJ435" s="263"/>
      <c r="AK435" s="263"/>
      <c r="AL435" s="263"/>
      <c r="AM435" s="242"/>
    </row>
    <row r="436" spans="1:39" ht="18" customHeight="1" x14ac:dyDescent="0.15">
      <c r="A436" s="240"/>
      <c r="B436" s="242"/>
      <c r="C436" s="240"/>
      <c r="D436" s="263"/>
      <c r="E436" s="242"/>
      <c r="F436" s="242"/>
      <c r="G436" s="242"/>
      <c r="H436" s="240"/>
      <c r="I436" s="263"/>
      <c r="J436" s="263"/>
      <c r="K436" s="263"/>
      <c r="L436" s="242"/>
      <c r="Q436" s="263"/>
      <c r="R436" s="263"/>
      <c r="S436" s="263"/>
      <c r="T436" s="263"/>
      <c r="U436" s="263"/>
      <c r="V436" s="263"/>
      <c r="W436" s="263"/>
      <c r="X436" s="263"/>
      <c r="Y436" s="263"/>
      <c r="Z436" s="263"/>
      <c r="AA436" s="263"/>
      <c r="AB436" s="263"/>
      <c r="AC436" s="263"/>
      <c r="AD436" s="263"/>
      <c r="AE436" s="263"/>
      <c r="AF436" s="263"/>
      <c r="AG436" s="263"/>
      <c r="AH436" s="263"/>
      <c r="AI436" s="263"/>
      <c r="AJ436" s="263"/>
      <c r="AK436" s="263"/>
      <c r="AL436" s="263"/>
      <c r="AM436" s="242"/>
    </row>
    <row r="437" spans="1:39" ht="18" customHeight="1" x14ac:dyDescent="0.15">
      <c r="A437" s="240"/>
      <c r="B437" s="242"/>
      <c r="C437" s="240"/>
      <c r="D437" s="263"/>
      <c r="E437" s="242"/>
      <c r="F437" s="242"/>
      <c r="G437" s="242"/>
      <c r="H437" s="240"/>
      <c r="I437" s="263"/>
      <c r="J437" s="263"/>
      <c r="K437" s="263"/>
      <c r="L437" s="242"/>
      <c r="Q437" s="263"/>
      <c r="R437" s="263"/>
      <c r="S437" s="263"/>
      <c r="T437" s="263"/>
      <c r="U437" s="263"/>
      <c r="V437" s="263"/>
      <c r="W437" s="263"/>
      <c r="X437" s="263"/>
      <c r="Y437" s="263"/>
      <c r="Z437" s="263"/>
      <c r="AA437" s="263"/>
      <c r="AB437" s="263"/>
      <c r="AC437" s="263"/>
      <c r="AD437" s="263"/>
      <c r="AE437" s="263"/>
      <c r="AF437" s="263"/>
      <c r="AG437" s="263"/>
      <c r="AH437" s="263"/>
      <c r="AI437" s="263"/>
      <c r="AJ437" s="263"/>
      <c r="AK437" s="263"/>
      <c r="AL437" s="263"/>
      <c r="AM437" s="242"/>
    </row>
    <row r="438" spans="1:39" ht="18" customHeight="1" x14ac:dyDescent="0.15">
      <c r="A438" s="240"/>
      <c r="B438" s="242"/>
      <c r="C438" s="240"/>
      <c r="D438" s="263"/>
      <c r="E438" s="242"/>
      <c r="F438" s="242"/>
      <c r="G438" s="242"/>
      <c r="H438" s="240"/>
      <c r="I438" s="263"/>
      <c r="J438" s="263"/>
      <c r="K438" s="263"/>
      <c r="L438" s="242"/>
      <c r="Q438" s="263"/>
      <c r="R438" s="263"/>
      <c r="S438" s="263"/>
      <c r="T438" s="263"/>
      <c r="U438" s="263"/>
      <c r="V438" s="263"/>
      <c r="W438" s="263"/>
      <c r="X438" s="263"/>
      <c r="Y438" s="263"/>
      <c r="Z438" s="263"/>
      <c r="AA438" s="263"/>
      <c r="AB438" s="263"/>
      <c r="AC438" s="263"/>
      <c r="AD438" s="263"/>
      <c r="AE438" s="263"/>
      <c r="AF438" s="263"/>
      <c r="AG438" s="263"/>
      <c r="AH438" s="263"/>
      <c r="AI438" s="263"/>
      <c r="AJ438" s="263"/>
      <c r="AK438" s="263"/>
      <c r="AL438" s="263"/>
      <c r="AM438" s="242"/>
    </row>
    <row r="439" spans="1:39" ht="18" customHeight="1" x14ac:dyDescent="0.15">
      <c r="A439" s="240"/>
      <c r="B439" s="242"/>
      <c r="C439" s="240"/>
      <c r="D439" s="263"/>
      <c r="E439" s="242"/>
      <c r="F439" s="242"/>
      <c r="G439" s="242"/>
      <c r="H439" s="240"/>
      <c r="I439" s="263"/>
      <c r="J439" s="263"/>
      <c r="K439" s="263"/>
      <c r="L439" s="242"/>
      <c r="Q439" s="263"/>
      <c r="R439" s="263"/>
      <c r="S439" s="263"/>
      <c r="T439" s="263"/>
      <c r="U439" s="263"/>
      <c r="V439" s="263"/>
      <c r="W439" s="263"/>
      <c r="X439" s="263"/>
      <c r="Y439" s="263"/>
      <c r="Z439" s="263"/>
      <c r="AA439" s="263"/>
      <c r="AB439" s="263"/>
      <c r="AC439" s="263"/>
      <c r="AD439" s="263"/>
      <c r="AE439" s="263"/>
      <c r="AF439" s="263"/>
      <c r="AG439" s="263"/>
      <c r="AH439" s="263"/>
      <c r="AI439" s="263"/>
      <c r="AJ439" s="263"/>
      <c r="AK439" s="263"/>
      <c r="AL439" s="263"/>
      <c r="AM439" s="242"/>
    </row>
    <row r="440" spans="1:39" ht="18" customHeight="1" x14ac:dyDescent="0.15">
      <c r="A440" s="240"/>
      <c r="B440" s="242"/>
      <c r="C440" s="240"/>
      <c r="D440" s="263"/>
      <c r="E440" s="242"/>
      <c r="F440" s="242"/>
      <c r="G440" s="242"/>
      <c r="H440" s="240"/>
      <c r="I440" s="263"/>
      <c r="J440" s="263"/>
      <c r="K440" s="263"/>
      <c r="L440" s="242"/>
      <c r="Q440" s="263"/>
      <c r="R440" s="263"/>
      <c r="S440" s="263"/>
      <c r="T440" s="263"/>
      <c r="U440" s="263"/>
      <c r="V440" s="263"/>
      <c r="W440" s="263"/>
      <c r="X440" s="263"/>
      <c r="Y440" s="263"/>
      <c r="Z440" s="263"/>
      <c r="AA440" s="263"/>
      <c r="AB440" s="263"/>
      <c r="AC440" s="263"/>
      <c r="AD440" s="263"/>
      <c r="AE440" s="263"/>
      <c r="AF440" s="263"/>
      <c r="AG440" s="263"/>
      <c r="AH440" s="263"/>
      <c r="AI440" s="263"/>
      <c r="AJ440" s="263"/>
      <c r="AK440" s="263"/>
      <c r="AL440" s="263"/>
      <c r="AM440" s="242"/>
    </row>
    <row r="441" spans="1:39" ht="18" customHeight="1" x14ac:dyDescent="0.15">
      <c r="A441" s="240"/>
      <c r="B441" s="242"/>
      <c r="C441" s="240"/>
      <c r="D441" s="263"/>
      <c r="E441" s="242"/>
      <c r="F441" s="242"/>
      <c r="G441" s="242"/>
      <c r="H441" s="240"/>
      <c r="I441" s="263"/>
      <c r="J441" s="263"/>
      <c r="K441" s="263"/>
      <c r="L441" s="242"/>
      <c r="Q441" s="263"/>
      <c r="R441" s="263"/>
      <c r="S441" s="263"/>
      <c r="T441" s="263"/>
      <c r="U441" s="263"/>
      <c r="V441" s="263"/>
      <c r="W441" s="263"/>
      <c r="X441" s="263"/>
      <c r="Y441" s="263"/>
      <c r="Z441" s="263"/>
      <c r="AA441" s="263"/>
      <c r="AB441" s="263"/>
      <c r="AC441" s="263"/>
      <c r="AD441" s="263"/>
      <c r="AE441" s="263"/>
      <c r="AF441" s="263"/>
      <c r="AG441" s="263"/>
      <c r="AH441" s="263"/>
      <c r="AI441" s="263"/>
      <c r="AJ441" s="263"/>
      <c r="AK441" s="263"/>
      <c r="AL441" s="263"/>
      <c r="AM441" s="242"/>
    </row>
    <row r="442" spans="1:39" ht="18" customHeight="1" x14ac:dyDescent="0.15">
      <c r="A442" s="240"/>
      <c r="B442" s="242"/>
      <c r="C442" s="240"/>
      <c r="D442" s="263"/>
      <c r="E442" s="242"/>
      <c r="F442" s="242"/>
      <c r="G442" s="242"/>
      <c r="H442" s="240"/>
      <c r="I442" s="263"/>
      <c r="J442" s="263"/>
      <c r="K442" s="263"/>
      <c r="L442" s="242"/>
      <c r="Q442" s="263"/>
      <c r="R442" s="263"/>
      <c r="S442" s="263"/>
      <c r="T442" s="263"/>
      <c r="U442" s="263"/>
      <c r="V442" s="263"/>
      <c r="W442" s="263"/>
      <c r="X442" s="263"/>
      <c r="Y442" s="263"/>
      <c r="Z442" s="263"/>
      <c r="AA442" s="263"/>
      <c r="AB442" s="263"/>
      <c r="AC442" s="263"/>
      <c r="AD442" s="263"/>
      <c r="AE442" s="263"/>
      <c r="AF442" s="263"/>
      <c r="AG442" s="263"/>
      <c r="AH442" s="263"/>
      <c r="AI442" s="263"/>
      <c r="AJ442" s="263"/>
      <c r="AK442" s="263"/>
      <c r="AL442" s="263"/>
      <c r="AM442" s="242"/>
    </row>
    <row r="443" spans="1:39" ht="18" customHeight="1" x14ac:dyDescent="0.15">
      <c r="A443" s="240"/>
      <c r="B443" s="242"/>
      <c r="C443" s="240"/>
      <c r="D443" s="263"/>
      <c r="E443" s="242"/>
      <c r="F443" s="242"/>
      <c r="G443" s="242"/>
      <c r="H443" s="240"/>
      <c r="I443" s="263"/>
      <c r="J443" s="263"/>
      <c r="K443" s="263"/>
      <c r="L443" s="242"/>
      <c r="Q443" s="263"/>
      <c r="R443" s="263"/>
      <c r="S443" s="263"/>
      <c r="T443" s="263"/>
      <c r="U443" s="263"/>
      <c r="V443" s="263"/>
      <c r="W443" s="263"/>
      <c r="X443" s="263"/>
      <c r="Y443" s="263"/>
      <c r="Z443" s="263"/>
      <c r="AA443" s="263"/>
      <c r="AB443" s="263"/>
      <c r="AC443" s="263"/>
      <c r="AD443" s="263"/>
      <c r="AE443" s="263"/>
      <c r="AF443" s="263"/>
      <c r="AG443" s="263"/>
      <c r="AH443" s="263"/>
      <c r="AI443" s="263"/>
      <c r="AJ443" s="263"/>
      <c r="AK443" s="263"/>
      <c r="AL443" s="263"/>
      <c r="AM443" s="242"/>
    </row>
    <row r="444" spans="1:39" ht="18" customHeight="1" x14ac:dyDescent="0.15">
      <c r="A444" s="240"/>
      <c r="B444" s="242"/>
      <c r="C444" s="240"/>
      <c r="D444" s="263"/>
      <c r="E444" s="242"/>
      <c r="F444" s="242"/>
      <c r="G444" s="242"/>
      <c r="H444" s="240"/>
      <c r="I444" s="263"/>
      <c r="J444" s="263"/>
      <c r="K444" s="263"/>
      <c r="L444" s="242"/>
      <c r="Q444" s="263"/>
      <c r="R444" s="263"/>
      <c r="S444" s="263"/>
      <c r="T444" s="263"/>
      <c r="U444" s="263"/>
      <c r="V444" s="263"/>
      <c r="W444" s="263"/>
      <c r="X444" s="263"/>
      <c r="Y444" s="263"/>
      <c r="Z444" s="263"/>
      <c r="AA444" s="263"/>
      <c r="AB444" s="263"/>
      <c r="AC444" s="263"/>
      <c r="AD444" s="263"/>
      <c r="AE444" s="263"/>
      <c r="AF444" s="263"/>
      <c r="AG444" s="263"/>
      <c r="AH444" s="263"/>
      <c r="AI444" s="263"/>
      <c r="AJ444" s="263"/>
      <c r="AK444" s="263"/>
      <c r="AL444" s="263"/>
      <c r="AM444" s="242"/>
    </row>
    <row r="445" spans="1:39" ht="18" customHeight="1" x14ac:dyDescent="0.15">
      <c r="A445" s="240"/>
      <c r="B445" s="242"/>
      <c r="C445" s="240"/>
      <c r="D445" s="263"/>
      <c r="E445" s="242"/>
      <c r="F445" s="242"/>
      <c r="G445" s="242"/>
      <c r="H445" s="240"/>
      <c r="I445" s="263"/>
      <c r="J445" s="263"/>
      <c r="K445" s="263"/>
      <c r="L445" s="242"/>
      <c r="Q445" s="263"/>
      <c r="R445" s="263"/>
      <c r="S445" s="263"/>
      <c r="T445" s="263"/>
      <c r="U445" s="263"/>
      <c r="V445" s="263"/>
      <c r="W445" s="263"/>
      <c r="X445" s="263"/>
      <c r="Y445" s="263"/>
      <c r="Z445" s="263"/>
      <c r="AA445" s="263"/>
      <c r="AB445" s="263"/>
      <c r="AC445" s="263"/>
      <c r="AD445" s="263"/>
      <c r="AE445" s="263"/>
      <c r="AF445" s="263"/>
      <c r="AG445" s="263"/>
      <c r="AH445" s="263"/>
      <c r="AI445" s="263"/>
      <c r="AJ445" s="263"/>
      <c r="AK445" s="263"/>
      <c r="AL445" s="263"/>
      <c r="AM445" s="242"/>
    </row>
    <row r="446" spans="1:39" ht="18" customHeight="1" x14ac:dyDescent="0.15">
      <c r="A446" s="240"/>
      <c r="B446" s="242"/>
      <c r="C446" s="240"/>
      <c r="D446" s="263"/>
      <c r="E446" s="242"/>
      <c r="F446" s="242"/>
      <c r="G446" s="242"/>
      <c r="H446" s="240"/>
      <c r="I446" s="263"/>
      <c r="J446" s="263"/>
      <c r="K446" s="263"/>
      <c r="L446" s="242"/>
      <c r="Q446" s="263"/>
      <c r="R446" s="263"/>
      <c r="S446" s="263"/>
      <c r="T446" s="263"/>
      <c r="U446" s="263"/>
      <c r="V446" s="263"/>
      <c r="W446" s="263"/>
      <c r="X446" s="263"/>
      <c r="Y446" s="263"/>
      <c r="Z446" s="263"/>
      <c r="AA446" s="263"/>
      <c r="AB446" s="263"/>
      <c r="AC446" s="263"/>
      <c r="AD446" s="263"/>
      <c r="AE446" s="263"/>
      <c r="AF446" s="263"/>
      <c r="AG446" s="263"/>
      <c r="AH446" s="263"/>
      <c r="AI446" s="263"/>
      <c r="AJ446" s="263"/>
      <c r="AK446" s="263"/>
      <c r="AL446" s="263"/>
      <c r="AM446" s="242"/>
    </row>
    <row r="447" spans="1:39" ht="18" customHeight="1" x14ac:dyDescent="0.15">
      <c r="A447" s="240"/>
      <c r="B447" s="242"/>
      <c r="C447" s="240"/>
      <c r="D447" s="263"/>
      <c r="E447" s="242"/>
      <c r="F447" s="242"/>
      <c r="G447" s="242"/>
      <c r="H447" s="240"/>
      <c r="I447" s="263"/>
      <c r="J447" s="263"/>
      <c r="K447" s="263"/>
      <c r="L447" s="242"/>
      <c r="Q447" s="263"/>
      <c r="R447" s="263"/>
      <c r="S447" s="263"/>
      <c r="T447" s="263"/>
      <c r="U447" s="263"/>
      <c r="V447" s="263"/>
      <c r="W447" s="263"/>
      <c r="X447" s="263"/>
      <c r="Y447" s="263"/>
      <c r="Z447" s="263"/>
      <c r="AA447" s="263"/>
      <c r="AB447" s="263"/>
      <c r="AC447" s="263"/>
      <c r="AD447" s="263"/>
      <c r="AE447" s="263"/>
      <c r="AF447" s="263"/>
      <c r="AG447" s="263"/>
      <c r="AH447" s="263"/>
      <c r="AI447" s="263"/>
      <c r="AJ447" s="263"/>
      <c r="AK447" s="263"/>
      <c r="AL447" s="263"/>
      <c r="AM447" s="242"/>
    </row>
    <row r="448" spans="1:39" ht="18" customHeight="1" x14ac:dyDescent="0.15">
      <c r="A448" s="240"/>
      <c r="B448" s="242"/>
      <c r="C448" s="240"/>
      <c r="D448" s="263"/>
      <c r="E448" s="242"/>
      <c r="F448" s="242"/>
      <c r="G448" s="242"/>
      <c r="H448" s="240"/>
      <c r="I448" s="263"/>
      <c r="J448" s="263"/>
      <c r="K448" s="263"/>
      <c r="L448" s="242"/>
      <c r="Q448" s="263"/>
      <c r="R448" s="263"/>
      <c r="S448" s="263"/>
      <c r="T448" s="263"/>
      <c r="U448" s="263"/>
      <c r="V448" s="263"/>
      <c r="W448" s="263"/>
      <c r="X448" s="263"/>
      <c r="Y448" s="263"/>
      <c r="Z448" s="263"/>
      <c r="AA448" s="263"/>
      <c r="AB448" s="263"/>
      <c r="AC448" s="263"/>
      <c r="AD448" s="263"/>
      <c r="AE448" s="263"/>
      <c r="AF448" s="263"/>
      <c r="AG448" s="263"/>
      <c r="AH448" s="263"/>
      <c r="AI448" s="263"/>
      <c r="AJ448" s="263"/>
      <c r="AK448" s="263"/>
      <c r="AL448" s="263"/>
      <c r="AM448" s="242"/>
    </row>
    <row r="449" spans="1:39" ht="18" customHeight="1" x14ac:dyDescent="0.15">
      <c r="A449" s="240"/>
      <c r="B449" s="242"/>
      <c r="C449" s="240"/>
      <c r="D449" s="263"/>
      <c r="E449" s="242"/>
      <c r="F449" s="242"/>
      <c r="G449" s="242"/>
      <c r="H449" s="240"/>
      <c r="I449" s="263"/>
      <c r="J449" s="263"/>
      <c r="K449" s="263"/>
      <c r="L449" s="242"/>
      <c r="Q449" s="263"/>
      <c r="R449" s="263"/>
      <c r="S449" s="263"/>
      <c r="T449" s="263"/>
      <c r="U449" s="263"/>
      <c r="V449" s="263"/>
      <c r="W449" s="263"/>
      <c r="X449" s="263"/>
      <c r="Y449" s="263"/>
      <c r="Z449" s="263"/>
      <c r="AA449" s="263"/>
      <c r="AB449" s="263"/>
      <c r="AC449" s="263"/>
      <c r="AD449" s="263"/>
      <c r="AE449" s="263"/>
      <c r="AF449" s="263"/>
      <c r="AG449" s="263"/>
      <c r="AH449" s="263"/>
      <c r="AI449" s="263"/>
      <c r="AJ449" s="263"/>
      <c r="AK449" s="263"/>
      <c r="AL449" s="263"/>
      <c r="AM449" s="242"/>
    </row>
    <row r="450" spans="1:39" ht="18" customHeight="1" x14ac:dyDescent="0.15">
      <c r="A450" s="240"/>
      <c r="B450" s="242"/>
      <c r="C450" s="240"/>
      <c r="D450" s="263"/>
      <c r="E450" s="242"/>
      <c r="F450" s="242"/>
      <c r="G450" s="242"/>
      <c r="H450" s="240"/>
      <c r="I450" s="263"/>
      <c r="J450" s="263"/>
      <c r="K450" s="263"/>
      <c r="L450" s="242"/>
      <c r="Q450" s="263"/>
      <c r="R450" s="263"/>
      <c r="S450" s="263"/>
      <c r="T450" s="263"/>
      <c r="U450" s="263"/>
      <c r="V450" s="263"/>
      <c r="W450" s="263"/>
      <c r="X450" s="263"/>
      <c r="Y450" s="263"/>
      <c r="Z450" s="263"/>
      <c r="AA450" s="263"/>
      <c r="AB450" s="263"/>
      <c r="AC450" s="263"/>
      <c r="AD450" s="263"/>
      <c r="AE450" s="263"/>
      <c r="AF450" s="263"/>
      <c r="AG450" s="263"/>
      <c r="AH450" s="263"/>
      <c r="AI450" s="263"/>
      <c r="AJ450" s="263"/>
      <c r="AK450" s="263"/>
      <c r="AL450" s="263"/>
      <c r="AM450" s="242"/>
    </row>
    <row r="451" spans="1:39" ht="18" customHeight="1" x14ac:dyDescent="0.15">
      <c r="A451" s="240"/>
      <c r="B451" s="242"/>
      <c r="C451" s="240"/>
      <c r="D451" s="263"/>
      <c r="E451" s="242"/>
      <c r="F451" s="242"/>
      <c r="G451" s="242"/>
      <c r="H451" s="240"/>
      <c r="I451" s="263"/>
      <c r="J451" s="263"/>
      <c r="K451" s="263"/>
      <c r="L451" s="242"/>
      <c r="Q451" s="263"/>
      <c r="R451" s="263"/>
      <c r="S451" s="263"/>
      <c r="T451" s="263"/>
      <c r="U451" s="263"/>
      <c r="V451" s="263"/>
      <c r="W451" s="263"/>
      <c r="X451" s="263"/>
      <c r="Y451" s="263"/>
      <c r="Z451" s="263"/>
      <c r="AA451" s="263"/>
      <c r="AB451" s="263"/>
      <c r="AC451" s="263"/>
      <c r="AD451" s="263"/>
      <c r="AE451" s="263"/>
      <c r="AF451" s="263"/>
      <c r="AG451" s="263"/>
      <c r="AH451" s="263"/>
      <c r="AI451" s="263"/>
      <c r="AJ451" s="263"/>
      <c r="AK451" s="263"/>
      <c r="AL451" s="263"/>
      <c r="AM451" s="242"/>
    </row>
    <row r="452" spans="1:39" ht="18" customHeight="1" x14ac:dyDescent="0.15">
      <c r="A452" s="240"/>
      <c r="B452" s="242"/>
      <c r="C452" s="240"/>
      <c r="D452" s="263"/>
      <c r="E452" s="242"/>
      <c r="F452" s="242"/>
      <c r="G452" s="242"/>
      <c r="H452" s="240"/>
      <c r="I452" s="263"/>
      <c r="J452" s="263"/>
      <c r="K452" s="263"/>
      <c r="L452" s="242"/>
      <c r="Q452" s="263"/>
      <c r="R452" s="263"/>
      <c r="S452" s="263"/>
      <c r="T452" s="263"/>
      <c r="U452" s="263"/>
      <c r="V452" s="263"/>
      <c r="W452" s="263"/>
      <c r="X452" s="263"/>
      <c r="Y452" s="263"/>
      <c r="Z452" s="263"/>
      <c r="AA452" s="263"/>
      <c r="AB452" s="263"/>
      <c r="AC452" s="263"/>
      <c r="AD452" s="263"/>
      <c r="AE452" s="263"/>
      <c r="AF452" s="263"/>
      <c r="AG452" s="263"/>
      <c r="AH452" s="263"/>
      <c r="AI452" s="263"/>
      <c r="AJ452" s="263"/>
      <c r="AK452" s="263"/>
      <c r="AL452" s="263"/>
      <c r="AM452" s="242"/>
    </row>
    <row r="453" spans="1:39" ht="18" customHeight="1" x14ac:dyDescent="0.15">
      <c r="A453" s="240"/>
      <c r="B453" s="242"/>
      <c r="C453" s="240"/>
      <c r="D453" s="263"/>
      <c r="E453" s="242"/>
      <c r="F453" s="242"/>
      <c r="G453" s="242"/>
      <c r="H453" s="240"/>
      <c r="I453" s="263"/>
      <c r="J453" s="263"/>
      <c r="K453" s="263"/>
      <c r="L453" s="242"/>
      <c r="Q453" s="263"/>
      <c r="R453" s="263"/>
      <c r="S453" s="263"/>
      <c r="T453" s="263"/>
      <c r="U453" s="263"/>
      <c r="V453" s="263"/>
      <c r="W453" s="263"/>
      <c r="X453" s="263"/>
      <c r="Y453" s="263"/>
      <c r="Z453" s="263"/>
      <c r="AA453" s="263"/>
      <c r="AB453" s="263"/>
      <c r="AC453" s="263"/>
      <c r="AD453" s="263"/>
      <c r="AE453" s="263"/>
      <c r="AF453" s="263"/>
      <c r="AG453" s="263"/>
      <c r="AH453" s="263"/>
      <c r="AI453" s="263"/>
      <c r="AJ453" s="263"/>
      <c r="AK453" s="263"/>
      <c r="AL453" s="263"/>
      <c r="AM453" s="242"/>
    </row>
    <row r="454" spans="1:39" ht="18" customHeight="1" x14ac:dyDescent="0.15">
      <c r="A454" s="240"/>
      <c r="B454" s="242"/>
      <c r="C454" s="240"/>
      <c r="D454" s="263"/>
      <c r="E454" s="242"/>
      <c r="F454" s="242"/>
      <c r="G454" s="242"/>
      <c r="H454" s="240"/>
      <c r="I454" s="263"/>
      <c r="J454" s="263"/>
      <c r="K454" s="263"/>
      <c r="L454" s="242"/>
      <c r="Q454" s="263"/>
      <c r="R454" s="263"/>
      <c r="S454" s="263"/>
      <c r="T454" s="263"/>
      <c r="U454" s="263"/>
      <c r="V454" s="263"/>
      <c r="W454" s="263"/>
      <c r="X454" s="263"/>
      <c r="Y454" s="263"/>
      <c r="Z454" s="263"/>
      <c r="AA454" s="263"/>
      <c r="AB454" s="263"/>
      <c r="AC454" s="263"/>
      <c r="AD454" s="263"/>
      <c r="AE454" s="263"/>
      <c r="AF454" s="263"/>
      <c r="AG454" s="263"/>
      <c r="AH454" s="263"/>
      <c r="AI454" s="263"/>
      <c r="AJ454" s="263"/>
      <c r="AK454" s="263"/>
      <c r="AL454" s="263"/>
      <c r="AM454" s="242"/>
    </row>
    <row r="455" spans="1:39" ht="18" customHeight="1" x14ac:dyDescent="0.15">
      <c r="A455" s="240"/>
      <c r="B455" s="242"/>
      <c r="C455" s="240"/>
      <c r="D455" s="263"/>
      <c r="E455" s="242"/>
      <c r="F455" s="242"/>
      <c r="G455" s="242"/>
      <c r="H455" s="240"/>
      <c r="I455" s="263"/>
      <c r="J455" s="263"/>
      <c r="K455" s="263"/>
      <c r="L455" s="242"/>
      <c r="Q455" s="263"/>
      <c r="R455" s="263"/>
      <c r="S455" s="263"/>
      <c r="T455" s="263"/>
      <c r="U455" s="263"/>
      <c r="V455" s="263"/>
      <c r="W455" s="263"/>
      <c r="X455" s="263"/>
      <c r="Y455" s="263"/>
      <c r="Z455" s="263"/>
      <c r="AA455" s="263"/>
      <c r="AB455" s="263"/>
      <c r="AC455" s="263"/>
      <c r="AD455" s="263"/>
      <c r="AE455" s="263"/>
      <c r="AF455" s="263"/>
      <c r="AG455" s="263"/>
      <c r="AH455" s="263"/>
      <c r="AI455" s="263"/>
      <c r="AJ455" s="263"/>
      <c r="AK455" s="263"/>
      <c r="AL455" s="263"/>
      <c r="AM455" s="242"/>
    </row>
    <row r="456" spans="1:39" ht="18" customHeight="1" x14ac:dyDescent="0.15">
      <c r="A456" s="240"/>
      <c r="B456" s="242"/>
      <c r="C456" s="240"/>
      <c r="D456" s="263"/>
      <c r="E456" s="242"/>
      <c r="F456" s="242"/>
      <c r="G456" s="242"/>
      <c r="H456" s="240"/>
      <c r="I456" s="263"/>
      <c r="J456" s="263"/>
      <c r="K456" s="263"/>
      <c r="L456" s="242"/>
      <c r="Q456" s="263"/>
      <c r="R456" s="263"/>
      <c r="S456" s="263"/>
      <c r="T456" s="263"/>
      <c r="U456" s="263"/>
      <c r="V456" s="263"/>
      <c r="W456" s="263"/>
      <c r="X456" s="263"/>
      <c r="Y456" s="263"/>
      <c r="Z456" s="263"/>
      <c r="AA456" s="263"/>
      <c r="AB456" s="263"/>
      <c r="AC456" s="263"/>
      <c r="AD456" s="263"/>
      <c r="AE456" s="263"/>
      <c r="AF456" s="263"/>
      <c r="AG456" s="263"/>
      <c r="AH456" s="263"/>
      <c r="AI456" s="263"/>
      <c r="AJ456" s="263"/>
      <c r="AK456" s="263"/>
      <c r="AL456" s="263"/>
      <c r="AM456" s="242"/>
    </row>
    <row r="457" spans="1:39" ht="18" customHeight="1" x14ac:dyDescent="0.15">
      <c r="A457" s="240"/>
      <c r="B457" s="242"/>
      <c r="C457" s="240"/>
      <c r="D457" s="263"/>
      <c r="E457" s="242"/>
      <c r="F457" s="242"/>
      <c r="G457" s="242"/>
      <c r="H457" s="240"/>
      <c r="I457" s="263"/>
      <c r="J457" s="263"/>
      <c r="K457" s="263"/>
      <c r="L457" s="242"/>
      <c r="Q457" s="263"/>
      <c r="R457" s="263"/>
      <c r="S457" s="263"/>
      <c r="T457" s="263"/>
      <c r="U457" s="263"/>
      <c r="V457" s="263"/>
      <c r="W457" s="263"/>
      <c r="X457" s="263"/>
      <c r="Y457" s="263"/>
      <c r="Z457" s="263"/>
      <c r="AA457" s="263"/>
      <c r="AB457" s="263"/>
      <c r="AC457" s="263"/>
      <c r="AD457" s="263"/>
      <c r="AE457" s="263"/>
      <c r="AF457" s="263"/>
      <c r="AG457" s="263"/>
      <c r="AH457" s="263"/>
      <c r="AI457" s="263"/>
      <c r="AJ457" s="263"/>
      <c r="AK457" s="263"/>
      <c r="AL457" s="263"/>
      <c r="AM457" s="242"/>
    </row>
    <row r="458" spans="1:39" ht="18" customHeight="1" x14ac:dyDescent="0.15">
      <c r="A458" s="240"/>
      <c r="B458" s="242"/>
      <c r="C458" s="240"/>
      <c r="D458" s="263"/>
      <c r="E458" s="242"/>
      <c r="F458" s="242"/>
      <c r="G458" s="242"/>
      <c r="H458" s="240"/>
      <c r="I458" s="263"/>
      <c r="J458" s="263"/>
      <c r="K458" s="263"/>
      <c r="L458" s="242"/>
      <c r="Q458" s="263"/>
      <c r="R458" s="263"/>
      <c r="S458" s="263"/>
      <c r="T458" s="263"/>
      <c r="U458" s="263"/>
      <c r="V458" s="263"/>
      <c r="W458" s="263"/>
      <c r="X458" s="263"/>
      <c r="Y458" s="263"/>
      <c r="Z458" s="263"/>
      <c r="AA458" s="263"/>
      <c r="AB458" s="263"/>
      <c r="AC458" s="263"/>
      <c r="AD458" s="263"/>
      <c r="AE458" s="263"/>
      <c r="AF458" s="263"/>
      <c r="AG458" s="263"/>
      <c r="AH458" s="263"/>
      <c r="AI458" s="263"/>
      <c r="AJ458" s="263"/>
      <c r="AK458" s="263"/>
      <c r="AL458" s="263"/>
      <c r="AM458" s="242"/>
    </row>
    <row r="459" spans="1:39" ht="18" customHeight="1" x14ac:dyDescent="0.15">
      <c r="A459" s="240"/>
      <c r="B459" s="242"/>
      <c r="C459" s="240"/>
      <c r="D459" s="263"/>
      <c r="E459" s="242"/>
      <c r="F459" s="242"/>
      <c r="G459" s="242"/>
      <c r="H459" s="240"/>
      <c r="I459" s="263"/>
      <c r="J459" s="263"/>
      <c r="K459" s="263"/>
      <c r="L459" s="242"/>
      <c r="Q459" s="263"/>
      <c r="R459" s="263"/>
      <c r="S459" s="263"/>
      <c r="T459" s="263"/>
      <c r="U459" s="263"/>
      <c r="V459" s="263"/>
      <c r="W459" s="263"/>
      <c r="X459" s="263"/>
      <c r="Y459" s="263"/>
      <c r="Z459" s="263"/>
      <c r="AA459" s="263"/>
      <c r="AB459" s="263"/>
      <c r="AC459" s="263"/>
      <c r="AD459" s="263"/>
      <c r="AE459" s="263"/>
      <c r="AF459" s="263"/>
      <c r="AG459" s="263"/>
      <c r="AH459" s="263"/>
      <c r="AI459" s="263"/>
      <c r="AJ459" s="263"/>
      <c r="AK459" s="263"/>
      <c r="AL459" s="263"/>
      <c r="AM459" s="242"/>
    </row>
    <row r="460" spans="1:39" ht="18" customHeight="1" x14ac:dyDescent="0.15">
      <c r="A460" s="240"/>
      <c r="B460" s="242"/>
      <c r="C460" s="240"/>
      <c r="D460" s="263"/>
      <c r="E460" s="242"/>
      <c r="F460" s="242"/>
      <c r="G460" s="242"/>
      <c r="H460" s="240"/>
      <c r="I460" s="263"/>
      <c r="J460" s="263"/>
      <c r="K460" s="263"/>
      <c r="L460" s="242"/>
      <c r="Q460" s="263"/>
      <c r="R460" s="263"/>
      <c r="S460" s="263"/>
      <c r="T460" s="263"/>
      <c r="U460" s="263"/>
      <c r="V460" s="263"/>
      <c r="W460" s="263"/>
      <c r="X460" s="263"/>
      <c r="Y460" s="263"/>
      <c r="Z460" s="263"/>
      <c r="AA460" s="263"/>
      <c r="AB460" s="263"/>
      <c r="AC460" s="263"/>
      <c r="AD460" s="263"/>
      <c r="AE460" s="263"/>
      <c r="AF460" s="263"/>
      <c r="AG460" s="263"/>
      <c r="AH460" s="263"/>
      <c r="AI460" s="263"/>
      <c r="AJ460" s="263"/>
      <c r="AK460" s="263"/>
      <c r="AL460" s="263"/>
      <c r="AM460" s="242"/>
    </row>
    <row r="461" spans="1:39" ht="18" customHeight="1" x14ac:dyDescent="0.15">
      <c r="A461" s="240"/>
      <c r="B461" s="242"/>
      <c r="C461" s="240"/>
      <c r="D461" s="263"/>
      <c r="E461" s="242"/>
      <c r="F461" s="242"/>
      <c r="G461" s="242"/>
      <c r="H461" s="240"/>
      <c r="I461" s="263"/>
      <c r="J461" s="263"/>
      <c r="K461" s="263"/>
      <c r="L461" s="242"/>
      <c r="Q461" s="263"/>
      <c r="R461" s="263"/>
      <c r="S461" s="263"/>
      <c r="T461" s="263"/>
      <c r="U461" s="263"/>
      <c r="V461" s="263"/>
      <c r="W461" s="263"/>
      <c r="X461" s="263"/>
      <c r="Y461" s="263"/>
      <c r="Z461" s="263"/>
      <c r="AA461" s="263"/>
      <c r="AB461" s="263"/>
      <c r="AC461" s="263"/>
      <c r="AD461" s="263"/>
      <c r="AE461" s="263"/>
      <c r="AF461" s="263"/>
      <c r="AG461" s="263"/>
      <c r="AH461" s="263"/>
      <c r="AI461" s="263"/>
      <c r="AJ461" s="263"/>
      <c r="AK461" s="263"/>
      <c r="AL461" s="263"/>
      <c r="AM461" s="242"/>
    </row>
    <row r="462" spans="1:39" ht="18" customHeight="1" x14ac:dyDescent="0.15">
      <c r="A462" s="240"/>
      <c r="B462" s="242"/>
      <c r="C462" s="240"/>
      <c r="D462" s="263"/>
      <c r="E462" s="242"/>
      <c r="F462" s="242"/>
      <c r="G462" s="242"/>
      <c r="H462" s="240"/>
      <c r="I462" s="263"/>
      <c r="J462" s="263"/>
      <c r="K462" s="263"/>
      <c r="L462" s="242"/>
      <c r="Q462" s="263"/>
      <c r="R462" s="263"/>
      <c r="S462" s="263"/>
      <c r="T462" s="263"/>
      <c r="U462" s="263"/>
      <c r="V462" s="263"/>
      <c r="W462" s="263"/>
      <c r="X462" s="263"/>
      <c r="Y462" s="263"/>
      <c r="Z462" s="263"/>
      <c r="AA462" s="263"/>
      <c r="AB462" s="263"/>
      <c r="AC462" s="263"/>
      <c r="AD462" s="263"/>
      <c r="AE462" s="263"/>
      <c r="AF462" s="263"/>
      <c r="AG462" s="263"/>
      <c r="AH462" s="263"/>
      <c r="AI462" s="263"/>
      <c r="AJ462" s="263"/>
      <c r="AK462" s="263"/>
      <c r="AL462" s="263"/>
      <c r="AM462" s="242"/>
    </row>
    <row r="463" spans="1:39" ht="18" customHeight="1" x14ac:dyDescent="0.15">
      <c r="A463" s="240"/>
      <c r="B463" s="242"/>
      <c r="C463" s="240"/>
      <c r="D463" s="263"/>
      <c r="E463" s="242"/>
      <c r="F463" s="242"/>
      <c r="G463" s="242"/>
      <c r="H463" s="240"/>
      <c r="I463" s="263"/>
      <c r="J463" s="263"/>
      <c r="K463" s="263"/>
      <c r="L463" s="242"/>
      <c r="Q463" s="263"/>
      <c r="R463" s="263"/>
      <c r="S463" s="263"/>
      <c r="T463" s="263"/>
      <c r="U463" s="263"/>
      <c r="V463" s="263"/>
      <c r="W463" s="263"/>
      <c r="X463" s="263"/>
      <c r="Y463" s="263"/>
      <c r="Z463" s="263"/>
      <c r="AA463" s="263"/>
      <c r="AB463" s="263"/>
      <c r="AC463" s="263"/>
      <c r="AD463" s="263"/>
      <c r="AE463" s="263"/>
      <c r="AF463" s="263"/>
      <c r="AG463" s="263"/>
      <c r="AH463" s="263"/>
      <c r="AI463" s="263"/>
      <c r="AJ463" s="263"/>
      <c r="AK463" s="263"/>
      <c r="AL463" s="263"/>
      <c r="AM463" s="242"/>
    </row>
    <row r="464" spans="1:39" ht="18" customHeight="1" x14ac:dyDescent="0.15">
      <c r="A464" s="240"/>
      <c r="B464" s="242"/>
      <c r="C464" s="240"/>
      <c r="D464" s="263"/>
      <c r="E464" s="242"/>
      <c r="F464" s="242"/>
      <c r="G464" s="242"/>
      <c r="H464" s="240"/>
      <c r="I464" s="263"/>
      <c r="J464" s="263"/>
      <c r="K464" s="263"/>
      <c r="L464" s="242"/>
      <c r="Q464" s="263"/>
      <c r="R464" s="263"/>
      <c r="S464" s="263"/>
      <c r="T464" s="263"/>
      <c r="U464" s="263"/>
      <c r="V464" s="263"/>
      <c r="W464" s="263"/>
      <c r="X464" s="263"/>
      <c r="Y464" s="263"/>
      <c r="Z464" s="263"/>
      <c r="AA464" s="263"/>
      <c r="AB464" s="263"/>
      <c r="AC464" s="263"/>
      <c r="AD464" s="263"/>
      <c r="AE464" s="263"/>
      <c r="AF464" s="263"/>
      <c r="AG464" s="263"/>
      <c r="AH464" s="263"/>
      <c r="AI464" s="263"/>
      <c r="AJ464" s="263"/>
      <c r="AK464" s="263"/>
      <c r="AL464" s="263"/>
      <c r="AM464" s="242"/>
    </row>
    <row r="465" spans="1:39" ht="18" customHeight="1" x14ac:dyDescent="0.15">
      <c r="A465" s="240"/>
      <c r="B465" s="242"/>
      <c r="C465" s="240"/>
      <c r="D465" s="263"/>
      <c r="E465" s="242"/>
      <c r="F465" s="242"/>
      <c r="G465" s="242"/>
      <c r="H465" s="240"/>
      <c r="I465" s="263"/>
      <c r="J465" s="263"/>
      <c r="K465" s="263"/>
      <c r="L465" s="242"/>
      <c r="Q465" s="263"/>
      <c r="R465" s="263"/>
      <c r="S465" s="263"/>
      <c r="T465" s="263"/>
      <c r="U465" s="263"/>
      <c r="V465" s="263"/>
      <c r="W465" s="263"/>
      <c r="X465" s="263"/>
      <c r="Y465" s="263"/>
      <c r="Z465" s="263"/>
      <c r="AA465" s="263"/>
      <c r="AB465" s="263"/>
      <c r="AC465" s="263"/>
      <c r="AD465" s="263"/>
      <c r="AE465" s="263"/>
      <c r="AF465" s="263"/>
      <c r="AG465" s="263"/>
      <c r="AH465" s="263"/>
      <c r="AI465" s="263"/>
      <c r="AJ465" s="263"/>
      <c r="AK465" s="263"/>
      <c r="AL465" s="263"/>
      <c r="AM465" s="242"/>
    </row>
    <row r="466" spans="1:39" ht="18" customHeight="1" x14ac:dyDescent="0.15">
      <c r="A466" s="240"/>
      <c r="B466" s="242"/>
      <c r="C466" s="240"/>
      <c r="D466" s="263"/>
      <c r="E466" s="242"/>
      <c r="F466" s="242"/>
      <c r="G466" s="242"/>
      <c r="H466" s="240"/>
      <c r="I466" s="263"/>
      <c r="J466" s="263"/>
      <c r="K466" s="263"/>
      <c r="L466" s="242"/>
      <c r="Q466" s="263"/>
      <c r="R466" s="263"/>
      <c r="S466" s="263"/>
      <c r="T466" s="263"/>
      <c r="U466" s="263"/>
      <c r="V466" s="263"/>
      <c r="W466" s="263"/>
      <c r="X466" s="263"/>
      <c r="Y466" s="263"/>
      <c r="Z466" s="263"/>
      <c r="AA466" s="263"/>
      <c r="AB466" s="263"/>
      <c r="AC466" s="263"/>
      <c r="AD466" s="263"/>
      <c r="AE466" s="263"/>
      <c r="AF466" s="263"/>
      <c r="AG466" s="263"/>
      <c r="AH466" s="263"/>
      <c r="AI466" s="263"/>
      <c r="AJ466" s="263"/>
      <c r="AK466" s="263"/>
      <c r="AL466" s="263"/>
      <c r="AM466" s="242"/>
    </row>
    <row r="467" spans="1:39" ht="18" customHeight="1" x14ac:dyDescent="0.15">
      <c r="A467" s="240"/>
      <c r="B467" s="242"/>
      <c r="C467" s="240"/>
      <c r="D467" s="263"/>
      <c r="E467" s="242"/>
      <c r="F467" s="242"/>
      <c r="G467" s="242"/>
      <c r="H467" s="240"/>
      <c r="I467" s="263"/>
      <c r="J467" s="263"/>
      <c r="K467" s="263"/>
      <c r="L467" s="242"/>
      <c r="Q467" s="263"/>
      <c r="R467" s="263"/>
      <c r="S467" s="263"/>
      <c r="T467" s="263"/>
      <c r="U467" s="263"/>
      <c r="V467" s="263"/>
      <c r="W467" s="263"/>
      <c r="X467" s="263"/>
      <c r="Y467" s="263"/>
      <c r="Z467" s="263"/>
      <c r="AA467" s="263"/>
      <c r="AB467" s="263"/>
      <c r="AC467" s="263"/>
      <c r="AD467" s="263"/>
      <c r="AE467" s="263"/>
      <c r="AF467" s="263"/>
      <c r="AG467" s="263"/>
      <c r="AH467" s="263"/>
      <c r="AI467" s="263"/>
      <c r="AJ467" s="263"/>
      <c r="AK467" s="263"/>
      <c r="AL467" s="263"/>
      <c r="AM467" s="242"/>
    </row>
    <row r="468" spans="1:39" ht="18" customHeight="1" x14ac:dyDescent="0.15">
      <c r="A468" s="240"/>
      <c r="B468" s="242"/>
      <c r="C468" s="240"/>
      <c r="D468" s="263"/>
      <c r="E468" s="242"/>
      <c r="F468" s="242"/>
      <c r="G468" s="242"/>
      <c r="H468" s="240"/>
      <c r="I468" s="263"/>
      <c r="J468" s="263"/>
      <c r="K468" s="263"/>
      <c r="L468" s="242"/>
      <c r="Q468" s="263"/>
      <c r="R468" s="263"/>
      <c r="S468" s="263"/>
      <c r="T468" s="263"/>
      <c r="U468" s="263"/>
      <c r="V468" s="263"/>
      <c r="W468" s="263"/>
      <c r="X468" s="263"/>
      <c r="Y468" s="263"/>
      <c r="Z468" s="263"/>
      <c r="AA468" s="263"/>
      <c r="AB468" s="263"/>
      <c r="AC468" s="263"/>
      <c r="AD468" s="263"/>
      <c r="AE468" s="263"/>
      <c r="AF468" s="263"/>
      <c r="AG468" s="263"/>
      <c r="AH468" s="263"/>
      <c r="AI468" s="263"/>
      <c r="AJ468" s="263"/>
      <c r="AK468" s="263"/>
      <c r="AL468" s="263"/>
      <c r="AM468" s="242"/>
    </row>
    <row r="469" spans="1:39" ht="18" customHeight="1" x14ac:dyDescent="0.15">
      <c r="A469" s="240"/>
      <c r="B469" s="242"/>
      <c r="C469" s="240"/>
      <c r="D469" s="263"/>
      <c r="E469" s="242"/>
      <c r="F469" s="242"/>
      <c r="G469" s="242"/>
      <c r="H469" s="240"/>
      <c r="I469" s="263"/>
      <c r="J469" s="263"/>
      <c r="K469" s="263"/>
      <c r="L469" s="242"/>
      <c r="Q469" s="263"/>
      <c r="R469" s="263"/>
      <c r="S469" s="263"/>
      <c r="T469" s="263"/>
      <c r="U469" s="263"/>
      <c r="V469" s="263"/>
      <c r="W469" s="263"/>
      <c r="X469" s="263"/>
      <c r="Y469" s="263"/>
      <c r="Z469" s="263"/>
      <c r="AA469" s="263"/>
      <c r="AB469" s="263"/>
      <c r="AC469" s="263"/>
      <c r="AD469" s="263"/>
      <c r="AE469" s="263"/>
      <c r="AF469" s="263"/>
      <c r="AG469" s="263"/>
      <c r="AH469" s="263"/>
      <c r="AI469" s="263"/>
      <c r="AJ469" s="263"/>
      <c r="AK469" s="263"/>
      <c r="AL469" s="263"/>
      <c r="AM469" s="242"/>
    </row>
    <row r="470" spans="1:39" ht="18" customHeight="1" x14ac:dyDescent="0.15">
      <c r="A470" s="240"/>
      <c r="B470" s="242"/>
      <c r="C470" s="240"/>
      <c r="D470" s="263"/>
      <c r="E470" s="242"/>
      <c r="F470" s="242"/>
      <c r="G470" s="242"/>
      <c r="H470" s="240"/>
      <c r="I470" s="263"/>
      <c r="J470" s="263"/>
      <c r="K470" s="263"/>
      <c r="L470" s="242"/>
      <c r="Q470" s="263"/>
      <c r="R470" s="263"/>
      <c r="S470" s="263"/>
      <c r="T470" s="263"/>
      <c r="U470" s="263"/>
      <c r="V470" s="263"/>
      <c r="W470" s="263"/>
      <c r="X470" s="263"/>
      <c r="Y470" s="263"/>
      <c r="Z470" s="263"/>
      <c r="AA470" s="263"/>
      <c r="AB470" s="263"/>
      <c r="AC470" s="263"/>
      <c r="AD470" s="263"/>
      <c r="AE470" s="263"/>
      <c r="AF470" s="263"/>
      <c r="AG470" s="263"/>
      <c r="AH470" s="263"/>
      <c r="AI470" s="263"/>
      <c r="AJ470" s="263"/>
      <c r="AK470" s="263"/>
      <c r="AL470" s="263"/>
      <c r="AM470" s="242"/>
    </row>
    <row r="471" spans="1:39" ht="18" customHeight="1" x14ac:dyDescent="0.15">
      <c r="A471" s="240"/>
      <c r="B471" s="242"/>
      <c r="C471" s="240"/>
      <c r="D471" s="263"/>
      <c r="E471" s="242"/>
      <c r="F471" s="242"/>
      <c r="G471" s="242"/>
      <c r="H471" s="240"/>
      <c r="I471" s="263"/>
      <c r="J471" s="263"/>
      <c r="K471" s="263"/>
      <c r="L471" s="242"/>
      <c r="Q471" s="263"/>
      <c r="R471" s="263"/>
      <c r="S471" s="263"/>
      <c r="T471" s="263"/>
      <c r="U471" s="263"/>
      <c r="V471" s="263"/>
      <c r="W471" s="263"/>
      <c r="X471" s="263"/>
      <c r="Y471" s="263"/>
      <c r="Z471" s="263"/>
      <c r="AA471" s="263"/>
      <c r="AB471" s="263"/>
      <c r="AC471" s="263"/>
      <c r="AD471" s="263"/>
      <c r="AE471" s="263"/>
      <c r="AF471" s="263"/>
      <c r="AG471" s="263"/>
      <c r="AH471" s="263"/>
      <c r="AI471" s="263"/>
      <c r="AJ471" s="263"/>
      <c r="AK471" s="263"/>
      <c r="AL471" s="263"/>
      <c r="AM471" s="242"/>
    </row>
    <row r="472" spans="1:39" ht="18" customHeight="1" x14ac:dyDescent="0.15">
      <c r="A472" s="240"/>
      <c r="B472" s="242"/>
      <c r="C472" s="240"/>
      <c r="D472" s="263"/>
      <c r="E472" s="242"/>
      <c r="F472" s="242"/>
      <c r="G472" s="242"/>
      <c r="H472" s="240"/>
      <c r="I472" s="263"/>
      <c r="J472" s="263"/>
      <c r="K472" s="263"/>
      <c r="L472" s="242"/>
      <c r="Q472" s="263"/>
      <c r="R472" s="263"/>
      <c r="S472" s="263"/>
      <c r="T472" s="263"/>
      <c r="U472" s="263"/>
      <c r="V472" s="263"/>
      <c r="W472" s="263"/>
      <c r="X472" s="263"/>
      <c r="Y472" s="263"/>
      <c r="Z472" s="263"/>
      <c r="AA472" s="263"/>
      <c r="AB472" s="263"/>
      <c r="AC472" s="263"/>
      <c r="AD472" s="263"/>
      <c r="AE472" s="263"/>
      <c r="AF472" s="263"/>
      <c r="AG472" s="263"/>
      <c r="AH472" s="263"/>
      <c r="AI472" s="263"/>
      <c r="AJ472" s="263"/>
      <c r="AK472" s="263"/>
      <c r="AL472" s="263"/>
      <c r="AM472" s="242"/>
    </row>
    <row r="473" spans="1:39" ht="18" customHeight="1" x14ac:dyDescent="0.15">
      <c r="A473" s="240"/>
      <c r="B473" s="242"/>
      <c r="C473" s="240"/>
      <c r="D473" s="263"/>
      <c r="E473" s="242"/>
      <c r="F473" s="242"/>
      <c r="G473" s="242"/>
      <c r="H473" s="240"/>
      <c r="I473" s="263"/>
      <c r="J473" s="263"/>
      <c r="K473" s="263"/>
      <c r="L473" s="242"/>
      <c r="Q473" s="263"/>
      <c r="R473" s="263"/>
      <c r="S473" s="263"/>
      <c r="T473" s="263"/>
      <c r="U473" s="263"/>
      <c r="V473" s="263"/>
      <c r="W473" s="263"/>
      <c r="X473" s="263"/>
      <c r="Y473" s="263"/>
      <c r="Z473" s="263"/>
      <c r="AA473" s="263"/>
      <c r="AB473" s="263"/>
      <c r="AC473" s="263"/>
      <c r="AD473" s="263"/>
      <c r="AE473" s="263"/>
      <c r="AF473" s="263"/>
      <c r="AG473" s="263"/>
      <c r="AH473" s="263"/>
      <c r="AI473" s="263"/>
      <c r="AJ473" s="263"/>
      <c r="AK473" s="263"/>
      <c r="AL473" s="263"/>
      <c r="AM473" s="242"/>
    </row>
    <row r="474" spans="1:39" ht="18" customHeight="1" x14ac:dyDescent="0.15">
      <c r="A474" s="240"/>
      <c r="B474" s="242"/>
      <c r="C474" s="240"/>
      <c r="D474" s="263"/>
      <c r="E474" s="242"/>
      <c r="F474" s="242"/>
      <c r="G474" s="242"/>
      <c r="H474" s="240"/>
      <c r="I474" s="263"/>
      <c r="J474" s="263"/>
      <c r="K474" s="263"/>
      <c r="L474" s="242"/>
      <c r="Q474" s="263"/>
      <c r="R474" s="263"/>
      <c r="S474" s="263"/>
      <c r="T474" s="263"/>
      <c r="U474" s="263"/>
      <c r="V474" s="263"/>
      <c r="W474" s="263"/>
      <c r="X474" s="263"/>
      <c r="Y474" s="263"/>
      <c r="Z474" s="263"/>
      <c r="AA474" s="263"/>
      <c r="AB474" s="263"/>
      <c r="AC474" s="263"/>
      <c r="AD474" s="263"/>
      <c r="AE474" s="263"/>
      <c r="AF474" s="263"/>
      <c r="AG474" s="263"/>
      <c r="AH474" s="263"/>
      <c r="AI474" s="263"/>
      <c r="AJ474" s="263"/>
      <c r="AK474" s="263"/>
      <c r="AL474" s="263"/>
      <c r="AM474" s="242"/>
    </row>
    <row r="475" spans="1:39" ht="18" customHeight="1" x14ac:dyDescent="0.15">
      <c r="A475" s="240"/>
      <c r="B475" s="242"/>
      <c r="C475" s="240"/>
      <c r="D475" s="263"/>
      <c r="E475" s="242"/>
      <c r="F475" s="242"/>
      <c r="G475" s="242"/>
      <c r="H475" s="240"/>
      <c r="I475" s="263"/>
      <c r="J475" s="263"/>
      <c r="K475" s="263"/>
      <c r="L475" s="242"/>
      <c r="Q475" s="263"/>
      <c r="R475" s="263"/>
      <c r="S475" s="263"/>
      <c r="T475" s="263"/>
      <c r="U475" s="263"/>
      <c r="V475" s="263"/>
      <c r="W475" s="263"/>
      <c r="X475" s="263"/>
      <c r="Y475" s="263"/>
      <c r="Z475" s="263"/>
      <c r="AA475" s="263"/>
      <c r="AB475" s="263"/>
      <c r="AC475" s="263"/>
      <c r="AD475" s="263"/>
      <c r="AE475" s="263"/>
      <c r="AF475" s="263"/>
      <c r="AG475" s="263"/>
      <c r="AH475" s="263"/>
      <c r="AI475" s="263"/>
      <c r="AJ475" s="263"/>
      <c r="AK475" s="263"/>
      <c r="AL475" s="263"/>
      <c r="AM475" s="242"/>
    </row>
    <row r="476" spans="1:39" ht="18" customHeight="1" x14ac:dyDescent="0.15">
      <c r="A476" s="240"/>
      <c r="B476" s="242"/>
      <c r="C476" s="240"/>
      <c r="D476" s="263"/>
      <c r="E476" s="242"/>
      <c r="F476" s="242"/>
      <c r="G476" s="242"/>
      <c r="H476" s="240"/>
      <c r="I476" s="263"/>
      <c r="J476" s="263"/>
      <c r="K476" s="263"/>
      <c r="L476" s="242"/>
      <c r="Q476" s="263"/>
      <c r="R476" s="263"/>
      <c r="S476" s="263"/>
      <c r="T476" s="263"/>
      <c r="U476" s="263"/>
      <c r="V476" s="263"/>
      <c r="W476" s="263"/>
      <c r="X476" s="263"/>
      <c r="Y476" s="263"/>
      <c r="Z476" s="263"/>
      <c r="AA476" s="263"/>
      <c r="AB476" s="263"/>
      <c r="AC476" s="263"/>
      <c r="AD476" s="263"/>
      <c r="AE476" s="263"/>
      <c r="AF476" s="263"/>
      <c r="AG476" s="263"/>
      <c r="AH476" s="263"/>
      <c r="AI476" s="263"/>
      <c r="AJ476" s="263"/>
      <c r="AK476" s="263"/>
      <c r="AL476" s="263"/>
      <c r="AM476" s="242"/>
    </row>
    <row r="477" spans="1:39" ht="18" customHeight="1" x14ac:dyDescent="0.15">
      <c r="A477" s="240"/>
      <c r="B477" s="242"/>
      <c r="C477" s="240"/>
      <c r="D477" s="263"/>
      <c r="E477" s="242"/>
      <c r="F477" s="242"/>
      <c r="G477" s="242"/>
      <c r="H477" s="240"/>
      <c r="I477" s="263"/>
      <c r="J477" s="263"/>
      <c r="K477" s="263"/>
      <c r="L477" s="242"/>
      <c r="Q477" s="263"/>
      <c r="R477" s="263"/>
      <c r="S477" s="263"/>
      <c r="T477" s="263"/>
      <c r="U477" s="263"/>
      <c r="V477" s="263"/>
      <c r="W477" s="263"/>
      <c r="X477" s="263"/>
      <c r="Y477" s="263"/>
      <c r="Z477" s="263"/>
      <c r="AA477" s="263"/>
      <c r="AB477" s="263"/>
      <c r="AC477" s="263"/>
      <c r="AD477" s="263"/>
      <c r="AE477" s="263"/>
      <c r="AF477" s="263"/>
      <c r="AG477" s="263"/>
      <c r="AH477" s="263"/>
      <c r="AI477" s="263"/>
      <c r="AJ477" s="263"/>
      <c r="AK477" s="263"/>
      <c r="AL477" s="263"/>
      <c r="AM477" s="242"/>
    </row>
    <row r="478" spans="1:39" ht="18" customHeight="1" x14ac:dyDescent="0.15">
      <c r="A478" s="240"/>
      <c r="B478" s="242"/>
      <c r="C478" s="240"/>
      <c r="D478" s="263"/>
      <c r="E478" s="242"/>
      <c r="F478" s="242"/>
      <c r="G478" s="242"/>
      <c r="H478" s="240"/>
      <c r="I478" s="263"/>
      <c r="J478" s="263"/>
      <c r="K478" s="263"/>
      <c r="L478" s="242"/>
      <c r="Q478" s="263"/>
      <c r="R478" s="263"/>
      <c r="S478" s="263"/>
      <c r="T478" s="263"/>
      <c r="U478" s="263"/>
      <c r="V478" s="263"/>
      <c r="W478" s="263"/>
      <c r="X478" s="263"/>
      <c r="Y478" s="263"/>
      <c r="Z478" s="263"/>
      <c r="AA478" s="263"/>
      <c r="AB478" s="263"/>
      <c r="AC478" s="263"/>
      <c r="AD478" s="263"/>
      <c r="AE478" s="263"/>
      <c r="AF478" s="263"/>
      <c r="AG478" s="263"/>
      <c r="AH478" s="263"/>
      <c r="AI478" s="263"/>
      <c r="AJ478" s="263"/>
      <c r="AK478" s="263"/>
      <c r="AL478" s="263"/>
      <c r="AM478" s="242"/>
    </row>
    <row r="479" spans="1:39" ht="18" customHeight="1" x14ac:dyDescent="0.15">
      <c r="A479" s="240"/>
      <c r="B479" s="242"/>
      <c r="C479" s="240"/>
      <c r="D479" s="263"/>
      <c r="E479" s="242"/>
      <c r="F479" s="242"/>
      <c r="G479" s="242"/>
      <c r="H479" s="240"/>
      <c r="I479" s="263"/>
      <c r="J479" s="263"/>
      <c r="K479" s="263"/>
      <c r="L479" s="242"/>
      <c r="Q479" s="263"/>
      <c r="R479" s="263"/>
      <c r="S479" s="263"/>
      <c r="T479" s="263"/>
      <c r="U479" s="263"/>
      <c r="V479" s="263"/>
      <c r="W479" s="263"/>
      <c r="X479" s="263"/>
      <c r="Y479" s="263"/>
      <c r="Z479" s="263"/>
      <c r="AA479" s="263"/>
      <c r="AB479" s="263"/>
      <c r="AC479" s="263"/>
      <c r="AD479" s="263"/>
      <c r="AE479" s="263"/>
      <c r="AF479" s="263"/>
      <c r="AG479" s="263"/>
      <c r="AH479" s="263"/>
      <c r="AI479" s="263"/>
      <c r="AJ479" s="263"/>
      <c r="AK479" s="263"/>
      <c r="AL479" s="263"/>
      <c r="AM479" s="242"/>
    </row>
    <row r="480" spans="1:39" ht="18" customHeight="1" x14ac:dyDescent="0.15">
      <c r="A480" s="240"/>
      <c r="B480" s="242"/>
      <c r="C480" s="240"/>
      <c r="D480" s="263"/>
      <c r="E480" s="242"/>
      <c r="F480" s="242"/>
      <c r="G480" s="242"/>
      <c r="H480" s="240"/>
      <c r="I480" s="263"/>
      <c r="J480" s="263"/>
      <c r="K480" s="263"/>
      <c r="L480" s="242"/>
      <c r="Q480" s="263"/>
      <c r="R480" s="263"/>
      <c r="S480" s="263"/>
      <c r="T480" s="263"/>
      <c r="U480" s="263"/>
      <c r="V480" s="263"/>
      <c r="W480" s="263"/>
      <c r="X480" s="263"/>
      <c r="Y480" s="263"/>
      <c r="Z480" s="263"/>
      <c r="AA480" s="263"/>
      <c r="AB480" s="263"/>
      <c r="AC480" s="263"/>
      <c r="AD480" s="263"/>
      <c r="AE480" s="263"/>
      <c r="AF480" s="263"/>
      <c r="AG480" s="263"/>
      <c r="AH480" s="263"/>
      <c r="AI480" s="263"/>
      <c r="AJ480" s="263"/>
      <c r="AK480" s="263"/>
      <c r="AL480" s="263"/>
      <c r="AM480" s="242"/>
    </row>
    <row r="481" spans="1:39" ht="18" customHeight="1" x14ac:dyDescent="0.15">
      <c r="A481" s="240"/>
      <c r="B481" s="242"/>
      <c r="C481" s="240"/>
      <c r="D481" s="263"/>
      <c r="E481" s="242"/>
      <c r="F481" s="242"/>
      <c r="G481" s="242"/>
      <c r="H481" s="240"/>
      <c r="I481" s="263"/>
      <c r="J481" s="263"/>
      <c r="K481" s="263"/>
      <c r="L481" s="242"/>
      <c r="Q481" s="263"/>
      <c r="R481" s="263"/>
      <c r="S481" s="263"/>
      <c r="T481" s="263"/>
      <c r="U481" s="263"/>
      <c r="V481" s="263"/>
      <c r="W481" s="263"/>
      <c r="X481" s="263"/>
      <c r="Y481" s="263"/>
      <c r="Z481" s="263"/>
      <c r="AA481" s="263"/>
      <c r="AB481" s="263"/>
      <c r="AC481" s="263"/>
      <c r="AD481" s="263"/>
      <c r="AE481" s="263"/>
      <c r="AF481" s="263"/>
      <c r="AG481" s="263"/>
      <c r="AH481" s="263"/>
      <c r="AI481" s="263"/>
      <c r="AJ481" s="263"/>
      <c r="AK481" s="263"/>
      <c r="AL481" s="263"/>
      <c r="AM481" s="242"/>
    </row>
    <row r="482" spans="1:39" ht="18" customHeight="1" x14ac:dyDescent="0.15">
      <c r="A482" s="240"/>
      <c r="B482" s="242"/>
      <c r="C482" s="240"/>
      <c r="D482" s="263"/>
      <c r="E482" s="242"/>
      <c r="F482" s="242"/>
      <c r="G482" s="242"/>
      <c r="H482" s="240"/>
      <c r="I482" s="263"/>
      <c r="J482" s="263"/>
      <c r="K482" s="263"/>
      <c r="L482" s="242"/>
      <c r="Q482" s="263"/>
      <c r="R482" s="263"/>
      <c r="S482" s="263"/>
      <c r="T482" s="263"/>
      <c r="U482" s="263"/>
      <c r="V482" s="263"/>
      <c r="W482" s="263"/>
      <c r="X482" s="263"/>
      <c r="Y482" s="263"/>
      <c r="Z482" s="263"/>
      <c r="AA482" s="263"/>
      <c r="AB482" s="263"/>
      <c r="AC482" s="263"/>
      <c r="AD482" s="263"/>
      <c r="AE482" s="263"/>
      <c r="AF482" s="263"/>
      <c r="AG482" s="263"/>
      <c r="AH482" s="263"/>
      <c r="AI482" s="263"/>
      <c r="AJ482" s="263"/>
      <c r="AK482" s="263"/>
      <c r="AL482" s="263"/>
      <c r="AM482" s="242"/>
    </row>
    <row r="483" spans="1:39" ht="18" customHeight="1" x14ac:dyDescent="0.15">
      <c r="A483" s="240"/>
      <c r="B483" s="242"/>
      <c r="C483" s="240"/>
      <c r="D483" s="263"/>
      <c r="E483" s="242"/>
      <c r="F483" s="242"/>
      <c r="G483" s="242"/>
      <c r="H483" s="240"/>
      <c r="I483" s="263"/>
      <c r="J483" s="263"/>
      <c r="K483" s="263"/>
      <c r="L483" s="242"/>
      <c r="Q483" s="263"/>
      <c r="R483" s="263"/>
      <c r="S483" s="263"/>
      <c r="T483" s="263"/>
      <c r="U483" s="263"/>
      <c r="V483" s="263"/>
      <c r="W483" s="263"/>
      <c r="X483" s="263"/>
      <c r="Y483" s="263"/>
      <c r="Z483" s="263"/>
      <c r="AA483" s="263"/>
      <c r="AB483" s="263"/>
      <c r="AC483" s="263"/>
      <c r="AD483" s="263"/>
      <c r="AE483" s="263"/>
      <c r="AF483" s="263"/>
      <c r="AG483" s="263"/>
      <c r="AH483" s="263"/>
      <c r="AI483" s="263"/>
      <c r="AJ483" s="263"/>
      <c r="AK483" s="263"/>
      <c r="AL483" s="263"/>
      <c r="AM483" s="242"/>
    </row>
    <row r="484" spans="1:39" ht="18" customHeight="1" x14ac:dyDescent="0.15">
      <c r="A484" s="240"/>
      <c r="B484" s="242"/>
      <c r="C484" s="240"/>
      <c r="D484" s="263"/>
      <c r="E484" s="242"/>
      <c r="F484" s="242"/>
      <c r="G484" s="242"/>
      <c r="H484" s="240"/>
      <c r="I484" s="263"/>
      <c r="J484" s="263"/>
      <c r="K484" s="263"/>
      <c r="L484" s="242"/>
      <c r="Q484" s="263"/>
      <c r="R484" s="263"/>
      <c r="S484" s="263"/>
      <c r="T484" s="263"/>
      <c r="U484" s="263"/>
      <c r="V484" s="263"/>
      <c r="W484" s="263"/>
      <c r="X484" s="263"/>
      <c r="Y484" s="263"/>
      <c r="Z484" s="263"/>
      <c r="AA484" s="263"/>
      <c r="AB484" s="263"/>
      <c r="AC484" s="263"/>
      <c r="AD484" s="263"/>
      <c r="AE484" s="263"/>
      <c r="AF484" s="263"/>
      <c r="AG484" s="263"/>
      <c r="AH484" s="263"/>
      <c r="AI484" s="263"/>
      <c r="AJ484" s="263"/>
      <c r="AK484" s="263"/>
      <c r="AL484" s="263"/>
      <c r="AM484" s="242"/>
    </row>
    <row r="485" spans="1:39" ht="18" customHeight="1" x14ac:dyDescent="0.15">
      <c r="A485" s="240"/>
      <c r="B485" s="242"/>
      <c r="C485" s="240"/>
      <c r="D485" s="263"/>
      <c r="E485" s="242"/>
      <c r="F485" s="242"/>
      <c r="G485" s="242"/>
      <c r="H485" s="240"/>
      <c r="I485" s="263"/>
      <c r="J485" s="263"/>
      <c r="K485" s="263"/>
      <c r="L485" s="242"/>
      <c r="Q485" s="263"/>
      <c r="R485" s="263"/>
      <c r="S485" s="263"/>
      <c r="T485" s="263"/>
      <c r="U485" s="263"/>
      <c r="V485" s="263"/>
      <c r="W485" s="263"/>
      <c r="X485" s="263"/>
      <c r="Y485" s="263"/>
      <c r="Z485" s="263"/>
      <c r="AA485" s="263"/>
      <c r="AB485" s="263"/>
      <c r="AC485" s="263"/>
      <c r="AD485" s="263"/>
      <c r="AE485" s="263"/>
      <c r="AF485" s="263"/>
      <c r="AG485" s="263"/>
      <c r="AH485" s="263"/>
      <c r="AI485" s="263"/>
      <c r="AJ485" s="263"/>
      <c r="AK485" s="263"/>
      <c r="AL485" s="263"/>
      <c r="AM485" s="242"/>
    </row>
    <row r="486" spans="1:39" ht="18" customHeight="1" x14ac:dyDescent="0.15">
      <c r="A486" s="240"/>
      <c r="B486" s="242"/>
      <c r="C486" s="240"/>
      <c r="D486" s="263"/>
      <c r="E486" s="242"/>
      <c r="F486" s="242"/>
      <c r="G486" s="242"/>
      <c r="H486" s="240"/>
      <c r="I486" s="263"/>
      <c r="J486" s="263"/>
      <c r="K486" s="263"/>
      <c r="L486" s="242"/>
      <c r="Q486" s="263"/>
      <c r="R486" s="263"/>
      <c r="S486" s="263"/>
      <c r="T486" s="263"/>
      <c r="U486" s="263"/>
      <c r="V486" s="263"/>
      <c r="W486" s="263"/>
      <c r="X486" s="263"/>
      <c r="Y486" s="263"/>
      <c r="Z486" s="263"/>
      <c r="AA486" s="263"/>
      <c r="AB486" s="263"/>
      <c r="AC486" s="263"/>
      <c r="AD486" s="263"/>
      <c r="AE486" s="263"/>
      <c r="AF486" s="263"/>
      <c r="AG486" s="263"/>
      <c r="AH486" s="263"/>
      <c r="AI486" s="263"/>
      <c r="AJ486" s="263"/>
      <c r="AK486" s="263"/>
      <c r="AL486" s="263"/>
      <c r="AM486" s="242"/>
    </row>
    <row r="487" spans="1:39" ht="18" customHeight="1" x14ac:dyDescent="0.15">
      <c r="A487" s="240"/>
      <c r="B487" s="242"/>
      <c r="C487" s="240"/>
      <c r="D487" s="263"/>
      <c r="E487" s="242"/>
      <c r="F487" s="242"/>
      <c r="G487" s="242"/>
      <c r="H487" s="240"/>
      <c r="I487" s="263"/>
      <c r="J487" s="263"/>
      <c r="K487" s="263"/>
      <c r="L487" s="242"/>
      <c r="Q487" s="263"/>
      <c r="R487" s="263"/>
      <c r="S487" s="263"/>
      <c r="T487" s="263"/>
      <c r="U487" s="263"/>
      <c r="V487" s="263"/>
      <c r="W487" s="263"/>
      <c r="X487" s="263"/>
      <c r="Y487" s="263"/>
      <c r="Z487" s="263"/>
      <c r="AA487" s="263"/>
      <c r="AB487" s="263"/>
      <c r="AC487" s="263"/>
      <c r="AD487" s="263"/>
      <c r="AE487" s="263"/>
      <c r="AF487" s="263"/>
      <c r="AG487" s="263"/>
      <c r="AH487" s="263"/>
      <c r="AI487" s="263"/>
      <c r="AJ487" s="263"/>
      <c r="AK487" s="263"/>
      <c r="AL487" s="263"/>
      <c r="AM487" s="242"/>
    </row>
    <row r="488" spans="1:39" ht="18" customHeight="1" x14ac:dyDescent="0.15">
      <c r="A488" s="240"/>
      <c r="B488" s="242"/>
      <c r="C488" s="240"/>
      <c r="D488" s="263"/>
      <c r="E488" s="242"/>
      <c r="F488" s="242"/>
      <c r="G488" s="242"/>
      <c r="H488" s="240"/>
      <c r="I488" s="263"/>
      <c r="J488" s="263"/>
      <c r="K488" s="263"/>
      <c r="L488" s="242"/>
      <c r="Q488" s="263"/>
      <c r="R488" s="263"/>
      <c r="S488" s="263"/>
      <c r="T488" s="263"/>
      <c r="U488" s="263"/>
      <c r="V488" s="263"/>
      <c r="W488" s="263"/>
      <c r="X488" s="263"/>
      <c r="Y488" s="263"/>
      <c r="Z488" s="263"/>
      <c r="AA488" s="263"/>
      <c r="AB488" s="263"/>
      <c r="AC488" s="263"/>
      <c r="AD488" s="263"/>
      <c r="AE488" s="263"/>
      <c r="AF488" s="263"/>
      <c r="AG488" s="263"/>
      <c r="AH488" s="263"/>
      <c r="AI488" s="263"/>
      <c r="AJ488" s="263"/>
      <c r="AK488" s="263"/>
      <c r="AL488" s="263"/>
      <c r="AM488" s="242"/>
    </row>
    <row r="489" spans="1:39" ht="18" customHeight="1" x14ac:dyDescent="0.15">
      <c r="A489" s="240"/>
      <c r="B489" s="242"/>
      <c r="C489" s="240"/>
      <c r="D489" s="263"/>
      <c r="E489" s="242"/>
      <c r="F489" s="242"/>
      <c r="G489" s="242"/>
      <c r="H489" s="240"/>
      <c r="I489" s="263"/>
      <c r="J489" s="263"/>
      <c r="K489" s="263"/>
      <c r="L489" s="242"/>
      <c r="Q489" s="263"/>
      <c r="R489" s="263"/>
      <c r="S489" s="263"/>
      <c r="T489" s="263"/>
      <c r="U489" s="263"/>
      <c r="V489" s="263"/>
      <c r="W489" s="263"/>
      <c r="X489" s="263"/>
      <c r="Y489" s="263"/>
      <c r="Z489" s="263"/>
      <c r="AA489" s="263"/>
      <c r="AB489" s="263"/>
      <c r="AC489" s="263"/>
      <c r="AD489" s="263"/>
      <c r="AE489" s="263"/>
      <c r="AF489" s="263"/>
      <c r="AG489" s="263"/>
      <c r="AH489" s="263"/>
      <c r="AI489" s="263"/>
      <c r="AJ489" s="263"/>
      <c r="AK489" s="263"/>
      <c r="AL489" s="263"/>
      <c r="AM489" s="242"/>
    </row>
    <row r="490" spans="1:39" ht="18" customHeight="1" x14ac:dyDescent="0.15">
      <c r="A490" s="240"/>
      <c r="B490" s="242"/>
      <c r="C490" s="240"/>
      <c r="D490" s="263"/>
      <c r="E490" s="242"/>
      <c r="F490" s="242"/>
      <c r="G490" s="242"/>
      <c r="H490" s="240"/>
      <c r="I490" s="263"/>
      <c r="J490" s="263"/>
      <c r="K490" s="263"/>
      <c r="L490" s="242"/>
      <c r="Q490" s="263"/>
      <c r="R490" s="263"/>
      <c r="S490" s="263"/>
      <c r="T490" s="263"/>
      <c r="U490" s="263"/>
      <c r="V490" s="263"/>
      <c r="W490" s="263"/>
      <c r="X490" s="263"/>
      <c r="Y490" s="263"/>
      <c r="Z490" s="263"/>
      <c r="AA490" s="263"/>
      <c r="AB490" s="263"/>
      <c r="AC490" s="263"/>
      <c r="AD490" s="263"/>
      <c r="AE490" s="263"/>
      <c r="AF490" s="263"/>
      <c r="AG490" s="263"/>
      <c r="AH490" s="263"/>
      <c r="AI490" s="263"/>
      <c r="AJ490" s="263"/>
      <c r="AK490" s="263"/>
      <c r="AL490" s="263"/>
      <c r="AM490" s="242"/>
    </row>
    <row r="491" spans="1:39" ht="18" customHeight="1" x14ac:dyDescent="0.15">
      <c r="A491" s="240"/>
      <c r="B491" s="242"/>
      <c r="C491" s="240"/>
      <c r="D491" s="263"/>
      <c r="E491" s="242"/>
      <c r="F491" s="242"/>
      <c r="G491" s="242"/>
      <c r="H491" s="240"/>
      <c r="I491" s="263"/>
      <c r="J491" s="263"/>
      <c r="K491" s="263"/>
      <c r="L491" s="242"/>
      <c r="Q491" s="263"/>
      <c r="R491" s="263"/>
      <c r="S491" s="263"/>
      <c r="T491" s="263"/>
      <c r="U491" s="263"/>
      <c r="V491" s="263"/>
      <c r="W491" s="263"/>
      <c r="X491" s="263"/>
      <c r="Y491" s="263"/>
      <c r="Z491" s="263"/>
      <c r="AA491" s="263"/>
      <c r="AB491" s="263"/>
      <c r="AC491" s="263"/>
      <c r="AD491" s="263"/>
      <c r="AE491" s="263"/>
      <c r="AF491" s="263"/>
      <c r="AG491" s="263"/>
      <c r="AH491" s="263"/>
      <c r="AI491" s="263"/>
      <c r="AJ491" s="263"/>
      <c r="AK491" s="263"/>
      <c r="AL491" s="263"/>
      <c r="AM491" s="242"/>
    </row>
    <row r="492" spans="1:39" ht="18" customHeight="1" x14ac:dyDescent="0.15">
      <c r="A492" s="240"/>
      <c r="B492" s="242"/>
      <c r="C492" s="240"/>
      <c r="D492" s="263"/>
      <c r="E492" s="242"/>
      <c r="F492" s="242"/>
      <c r="G492" s="242"/>
      <c r="H492" s="240"/>
      <c r="I492" s="263"/>
      <c r="J492" s="263"/>
      <c r="K492" s="263"/>
      <c r="L492" s="242"/>
      <c r="Q492" s="263"/>
      <c r="R492" s="263"/>
      <c r="S492" s="263"/>
      <c r="T492" s="263"/>
      <c r="U492" s="263"/>
      <c r="V492" s="263"/>
      <c r="W492" s="263"/>
      <c r="X492" s="263"/>
      <c r="Y492" s="263"/>
      <c r="Z492" s="263"/>
      <c r="AA492" s="263"/>
      <c r="AB492" s="263"/>
      <c r="AC492" s="263"/>
      <c r="AD492" s="263"/>
      <c r="AE492" s="263"/>
      <c r="AF492" s="263"/>
      <c r="AG492" s="263"/>
      <c r="AH492" s="263"/>
      <c r="AI492" s="263"/>
      <c r="AJ492" s="263"/>
      <c r="AK492" s="263"/>
      <c r="AL492" s="263"/>
      <c r="AM492" s="242"/>
    </row>
    <row r="493" spans="1:39" ht="18" customHeight="1" x14ac:dyDescent="0.15">
      <c r="A493" s="240"/>
      <c r="B493" s="242"/>
      <c r="C493" s="240"/>
      <c r="D493" s="263"/>
      <c r="E493" s="242"/>
      <c r="F493" s="242"/>
      <c r="G493" s="242"/>
      <c r="H493" s="240"/>
      <c r="I493" s="263"/>
      <c r="J493" s="263"/>
      <c r="K493" s="263"/>
      <c r="L493" s="242"/>
      <c r="Q493" s="263"/>
      <c r="R493" s="263"/>
      <c r="S493" s="263"/>
      <c r="T493" s="263"/>
      <c r="U493" s="263"/>
      <c r="V493" s="263"/>
      <c r="W493" s="263"/>
      <c r="X493" s="263"/>
      <c r="Y493" s="263"/>
      <c r="Z493" s="263"/>
      <c r="AA493" s="263"/>
      <c r="AB493" s="263"/>
      <c r="AC493" s="263"/>
      <c r="AD493" s="263"/>
      <c r="AE493" s="263"/>
      <c r="AF493" s="263"/>
      <c r="AG493" s="263"/>
      <c r="AH493" s="263"/>
      <c r="AI493" s="263"/>
      <c r="AJ493" s="263"/>
      <c r="AK493" s="263"/>
      <c r="AL493" s="263"/>
      <c r="AM493" s="242"/>
    </row>
    <row r="494" spans="1:39" ht="18" customHeight="1" x14ac:dyDescent="0.15">
      <c r="A494" s="240"/>
      <c r="B494" s="242"/>
      <c r="C494" s="240"/>
      <c r="D494" s="263"/>
      <c r="E494" s="242"/>
      <c r="F494" s="242"/>
      <c r="G494" s="242"/>
      <c r="H494" s="240"/>
      <c r="I494" s="263"/>
      <c r="J494" s="263"/>
      <c r="K494" s="263"/>
      <c r="L494" s="242"/>
      <c r="Q494" s="263"/>
      <c r="R494" s="263"/>
      <c r="S494" s="263"/>
      <c r="T494" s="263"/>
      <c r="U494" s="263"/>
      <c r="V494" s="263"/>
      <c r="W494" s="263"/>
      <c r="X494" s="263"/>
      <c r="Y494" s="263"/>
      <c r="Z494" s="263"/>
      <c r="AA494" s="263"/>
      <c r="AB494" s="263"/>
      <c r="AC494" s="263"/>
      <c r="AD494" s="263"/>
      <c r="AE494" s="263"/>
      <c r="AF494" s="263"/>
      <c r="AG494" s="263"/>
      <c r="AH494" s="263"/>
      <c r="AI494" s="263"/>
      <c r="AJ494" s="263"/>
      <c r="AK494" s="263"/>
      <c r="AL494" s="263"/>
      <c r="AM494" s="242"/>
    </row>
    <row r="495" spans="1:39" ht="18" customHeight="1" x14ac:dyDescent="0.15">
      <c r="A495" s="240"/>
      <c r="B495" s="242"/>
      <c r="C495" s="240"/>
      <c r="D495" s="263"/>
      <c r="E495" s="242"/>
      <c r="F495" s="242"/>
      <c r="G495" s="242"/>
      <c r="H495" s="240"/>
      <c r="I495" s="263"/>
      <c r="J495" s="263"/>
      <c r="K495" s="263"/>
      <c r="L495" s="242"/>
      <c r="Q495" s="263"/>
      <c r="R495" s="263"/>
      <c r="S495" s="263"/>
      <c r="T495" s="263"/>
      <c r="U495" s="263"/>
      <c r="V495" s="263"/>
      <c r="W495" s="263"/>
      <c r="X495" s="263"/>
      <c r="Y495" s="263"/>
      <c r="Z495" s="263"/>
      <c r="AA495" s="263"/>
      <c r="AB495" s="263"/>
      <c r="AC495" s="263"/>
      <c r="AD495" s="263"/>
      <c r="AE495" s="263"/>
      <c r="AF495" s="263"/>
      <c r="AG495" s="263"/>
      <c r="AH495" s="263"/>
      <c r="AI495" s="263"/>
      <c r="AJ495" s="263"/>
      <c r="AK495" s="263"/>
      <c r="AL495" s="263"/>
      <c r="AM495" s="242"/>
    </row>
    <row r="496" spans="1:39" ht="18" customHeight="1" x14ac:dyDescent="0.15">
      <c r="A496" s="240"/>
      <c r="B496" s="242"/>
      <c r="C496" s="240"/>
      <c r="D496" s="263"/>
      <c r="E496" s="242"/>
      <c r="F496" s="242"/>
      <c r="G496" s="242"/>
      <c r="H496" s="240"/>
      <c r="I496" s="263"/>
      <c r="J496" s="263"/>
      <c r="K496" s="263"/>
      <c r="L496" s="242"/>
      <c r="M496" s="240"/>
      <c r="N496" s="240"/>
      <c r="O496" s="240"/>
      <c r="P496" s="240"/>
      <c r="Q496" s="263"/>
      <c r="R496" s="263"/>
      <c r="S496" s="263"/>
      <c r="T496" s="263"/>
      <c r="U496" s="263"/>
      <c r="V496" s="263"/>
      <c r="W496" s="263"/>
      <c r="X496" s="263"/>
      <c r="Y496" s="263"/>
      <c r="Z496" s="263"/>
      <c r="AA496" s="263"/>
      <c r="AB496" s="263"/>
      <c r="AC496" s="263"/>
      <c r="AD496" s="263"/>
      <c r="AE496" s="263"/>
      <c r="AF496" s="263"/>
      <c r="AG496" s="263"/>
      <c r="AH496" s="263"/>
      <c r="AI496" s="263"/>
      <c r="AJ496" s="263"/>
      <c r="AK496" s="263"/>
      <c r="AL496" s="263"/>
      <c r="AM496" s="242"/>
    </row>
  </sheetData>
  <sheetProtection algorithmName="SHA-512" hashValue="OL0NrBUH8O8wLijXjq7/xTXjLH1VX9PYVruHKb8tBXbPtY5gv2VlpfnbD94rBjSAZZ6dCPU/opax+6sWR69esQ==" saltValue="EDE2nE/oxMStXSHvGjgHUA==" spinCount="100000" sheet="1" scenarios="1" formatCells="0" formatColumns="0" formatRows="0" insertColumns="0" insertRows="0" deleteColumns="0" deleteRows="0" sort="0" autoFilter="0" pivotTables="0"/>
  <protectedRanges>
    <protectedRange sqref="E45 B6 K29:K35 K38:K43 E9:F15 E29:F35 G34:G37 K18:K27 G25:G31 G15:G23 E18:F27 P29:P32 P38:P43 P9:P13 P18:P25 B28:D28 H16:J17 B36:D37 B3:D4 G6:G12 G42:G45 E72:F72 R109:R115 B72 E120:F120 P167 K9:K15 E38:F43 B5:C5 H44:J47 B16:D17 B7:D8 H36:J37 H28:J28 H5:J5 B44:D47 E48:F48 B48 P48:P70 B120:B137 B139:B166 AN1:XFD2 AM46:AN162 M497:M1048576 M36:O37 P120 M16:O17 M7:O8 M3:O5 M28:O28 Q7:Q45 S7:XFD45 R10:R45 H7:J8 O146:P146 J151:K151 J146:K146 J138:K138 J157:K157 J12 O12 J31 O128:P129 J128:K129 E151 E146:F146 E138:F138 E157:F157 E128:F129 O115 P34:P35 P15 P27 O104 O31 O157:P157 O138:P138 M44:O47 P7 G3:K4 E2:F6 K6:K7 E167:F1048576 B167:C1048576 AM163:XFD1048576 L163:L1048576 G163:G1048576 P3:XFD6 M3:M331 H3:H167 H332:H1048576 P117 P72:P115" name="Range1"/>
    <protectedRange sqref="C6:D6 B38:D43 B9:D15 M9:O11 H9:J11 H29:J30 P26 I6:J6 H18:J27 M38:O43 B18:D27 B29:D35 M18:O27 N6:O6 P14 M29:O30 M13:O15 H38:J43 M32:O35 M12:N12 H13:J15 H12:I12 H32:J35 H31:I31 P33 M31:N31" name="Range1_5"/>
    <protectedRange sqref="C119 B61:B64 I48:J48 H61:H64 M61:M64 N167:O167 G5 C48 N48:O48 I119:J119 E50:F58 AO46:XFD162 G46:G162 N119:O119" name="Range1_3"/>
    <protectedRange sqref="C66:D69 C61:D64 I50:J59 C50:D59 I66:J69 N50:O59 N61:O64 I61:J64 N66:O69" name="Range1_1_2"/>
    <protectedRange sqref="C65:D65 C60:D60 C49:D49 I70:J70 I60:J60 I49:J49 C70:D70 N60:O60 N65:O65 N49:O49 I65:J65 N70:O70" name="Range1_5_1"/>
    <protectedRange sqref="B49:B60 H49:H60 M49:M60 B65:B70 H65:H70 M65:M70" name="Range1_1_1_1"/>
    <protectedRange sqref="C157 C120 C129 C151 C146 C138 I146 I138 I157 I129 I151 N157 N138 N146 N151 N129 I120:J120 O147:P156 J152:K156 J147:K150 J158:K166 J139:K145 J130:K137 J121:K127 F147:F156 E152:E156 E147:E150 E158:F166 E139:F145 E130:F137 E121:F127 O121:P127 O139:P145 O130:P137 O158:P166 N120:O120" name="Range1_7"/>
    <protectedRange sqref="C139:C145 C147:C150 C158:C166 I152:I156 C152:C156 C121:C128 I121:I128 I130:I137 I139:I145 I147:I150 N121:N128 N158:N166 N147:N150 N139:N145 N152:N156 I158:I166 C130:C137 N130:N137" name="Range1_1_2_1"/>
    <protectedRange sqref="E92:F95 E99:F104 E106:F110 E88:F90 I72:J72 E77:F81 E74:F75 C72 N72:O72 E113:F117" name="Range1_4"/>
    <protectedRange sqref="C88:D90 C77:D81 C83:C84 C92:D93 C99:D104 I106:J110 I99:J103 I77:J79 I88:J90 I83:J84 N99:O103 N113:O114 N83:O84 N88:O90 N106:O110 I92:J93 N92:O93 I81:J81 C106:D110 I80 I113:J116 N104 I104 N77:O81 C113:D116 N115:N116 K114:K116 O116:P116" name="Range1_1_3"/>
    <protectedRange sqref="D94:D95 B97:F98 B76:F76 B83:B84 B73:F73 B85:F87 D83:F84 B74:D75 H83:H84 M83:M84 H91:J91 H94:J98 H105:J105 D96:F96 B91:F91 H111:J112 H117:J117 B105:F105 H73:J76 H82:J82 B117:D117 M111:O112 B82:F82 B94:C96 B111:F112 M105:O105 M94:O98 M91:O91 M85:O87 M82:O82 M73:O76 H85:J87 M117:O117" name="Range1_5_2"/>
    <protectedRange sqref="B92:B93 B88:B90 B106:B110 B99:B104 B77:B81 H92:H93 H88:H90 H106:H110 H99:H104 H77:H81 M92:M93 M88:M90 M106:M110 M99:M104 M77:M81 B113:B116 H113:H116 M113:M116" name="Range1_1_1_2"/>
  </protectedRanges>
  <dataConsolidate link="1"/>
  <phoneticPr fontId="14" type="noConversion"/>
  <hyperlinks>
    <hyperlink ref="N80" location="Sheet_PhaiThuDauTu!A1" display="Phải thu cho vay ngắn hạn" xr:uid="{0A1CEF01-2BB6-4B50-936C-B7E218C979DE}"/>
    <hyperlink ref="N92"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8</xdr:col>
                    <xdr:colOff>1247775</xdr:colOff>
                    <xdr:row>0</xdr:row>
                    <xdr:rowOff>152400</xdr:rowOff>
                  </from>
                  <to>
                    <xdr:col>8</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8</xdr:col>
                    <xdr:colOff>1714500</xdr:colOff>
                    <xdr:row>0</xdr:row>
                    <xdr:rowOff>152400</xdr:rowOff>
                  </from>
                  <to>
                    <xdr:col>8</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8</xdr:col>
                    <xdr:colOff>2181225</xdr:colOff>
                    <xdr:row>0</xdr:row>
                    <xdr:rowOff>152400</xdr:rowOff>
                  </from>
                  <to>
                    <xdr:col>8</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8</xdr:col>
                    <xdr:colOff>2657475</xdr:colOff>
                    <xdr:row>0</xdr:row>
                    <xdr:rowOff>152400</xdr:rowOff>
                  </from>
                  <to>
                    <xdr:col>8</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8</xdr:col>
                    <xdr:colOff>1133475</xdr:colOff>
                    <xdr:row>0</xdr:row>
                    <xdr:rowOff>104775</xdr:rowOff>
                  </from>
                  <to>
                    <xdr:col>8</xdr:col>
                    <xdr:colOff>3124200</xdr:colOff>
                    <xdr:row>2</xdr:row>
                    <xdr:rowOff>9525</xdr:rowOff>
                  </to>
                </anchor>
              </controlPr>
            </control>
          </mc:Choice>
        </mc:AlternateContent>
        <mc:AlternateContent xmlns:mc="http://schemas.openxmlformats.org/markup-compatibility/2006">
          <mc:Choice Requires="x14">
            <control shapeId="2" r:id="rId9" name="Button 10">
              <controlPr defaultSize="0" print="0" autoFill="0" autoPict="0" macro="[0]!AddColumn">
                <anchor moveWithCells="1" sizeWithCells="1">
                  <from>
                    <xdr:col>10</xdr:col>
                    <xdr:colOff>152400</xdr:colOff>
                    <xdr:row>0</xdr:row>
                    <xdr:rowOff>114300</xdr:rowOff>
                  </from>
                  <to>
                    <xdr:col>10</xdr:col>
                    <xdr:colOff>514350</xdr:colOff>
                    <xdr:row>1</xdr:row>
                    <xdr:rowOff>142875</xdr:rowOff>
                  </to>
                </anchor>
              </controlPr>
            </control>
          </mc:Choice>
        </mc:AlternateContent>
        <mc:AlternateContent xmlns:mc="http://schemas.openxmlformats.org/markup-compatibility/2006">
          <mc:Choice Requires="x14">
            <control shapeId="3" r:id="rId10" name="Button 11">
              <controlPr defaultSize="0" print="0" autoFill="0" autoPict="0" macro="[0]!DeleteColumn">
                <anchor moveWithCells="1" sizeWithCells="1">
                  <from>
                    <xdr:col>10</xdr:col>
                    <xdr:colOff>561975</xdr:colOff>
                    <xdr:row>0</xdr:row>
                    <xdr:rowOff>114300</xdr:rowOff>
                  </from>
                  <to>
                    <xdr:col>10</xdr:col>
                    <xdr:colOff>923925</xdr:colOff>
                    <xdr:row>1</xdr:row>
                    <xdr:rowOff>142875</xdr:rowOff>
                  </to>
                </anchor>
              </controlPr>
            </control>
          </mc:Choice>
        </mc:AlternateContent>
        <mc:AlternateContent xmlns:mc="http://schemas.openxmlformats.org/markup-compatibility/2006">
          <mc:Choice Requires="x14">
            <control shapeId="4" r:id="rId11" name="Button 14">
              <controlPr defaultSize="0" print="0" autoFill="0" autoPict="0" macro="[0]!AddColumn">
                <anchor moveWithCells="1" sizeWithCells="1">
                  <from>
                    <xdr:col>15</xdr:col>
                    <xdr:colOff>152400</xdr:colOff>
                    <xdr:row>0</xdr:row>
                    <xdr:rowOff>114300</xdr:rowOff>
                  </from>
                  <to>
                    <xdr:col>15</xdr:col>
                    <xdr:colOff>514350</xdr:colOff>
                    <xdr:row>1</xdr:row>
                    <xdr:rowOff>142875</xdr:rowOff>
                  </to>
                </anchor>
              </controlPr>
            </control>
          </mc:Choice>
        </mc:AlternateContent>
        <mc:AlternateContent xmlns:mc="http://schemas.openxmlformats.org/markup-compatibility/2006">
          <mc:Choice Requires="x14">
            <control shapeId="10" r:id="rId12" name="Button 15">
              <controlPr defaultSize="0" print="0" autoFill="0" autoPict="0" macro="[0]!DeleteColumn">
                <anchor moveWithCells="1" sizeWithCells="1">
                  <from>
                    <xdr:col>15</xdr:col>
                    <xdr:colOff>561975</xdr:colOff>
                    <xdr:row>0</xdr:row>
                    <xdr:rowOff>114300</xdr:rowOff>
                  </from>
                  <to>
                    <xdr:col>15</xdr:col>
                    <xdr:colOff>923925</xdr:colOff>
                    <xdr:row>1</xdr:row>
                    <xdr:rowOff>142875</xdr:rowOff>
                  </to>
                </anchor>
              </controlPr>
            </control>
          </mc:Choice>
        </mc:AlternateContent>
        <mc:AlternateContent xmlns:mc="http://schemas.openxmlformats.org/markup-compatibility/2006">
          <mc:Choice Requires="x14">
            <control shapeId="52230" r:id="rId13" name="Group Box 6">
              <controlPr defaultSize="0" autoFill="0" autoPict="0">
                <anchor moveWithCells="1" sizeWithCells="1">
                  <from>
                    <xdr:col>7</xdr:col>
                    <xdr:colOff>19050</xdr:colOff>
                    <xdr:row>0</xdr:row>
                    <xdr:rowOff>104775</xdr:rowOff>
                  </from>
                  <to>
                    <xdr:col>8</xdr:col>
                    <xdr:colOff>1085850</xdr:colOff>
                    <xdr:row>2</xdr:row>
                    <xdr:rowOff>9525</xdr:rowOff>
                  </to>
                </anchor>
              </controlPr>
            </control>
          </mc:Choice>
        </mc:AlternateContent>
        <mc:AlternateContent xmlns:mc="http://schemas.openxmlformats.org/markup-compatibility/2006">
          <mc:Choice Requires="x14">
            <control shapeId="52231" r:id="rId14" name="Button 7">
              <controlPr defaultSize="0" autoFill="0" autoPict="0" macro="[0]!NhanNghin">
                <anchor moveWithCells="1" sizeWithCells="1">
                  <from>
                    <xdr:col>7</xdr:col>
                    <xdr:colOff>104775</xdr:colOff>
                    <xdr:row>0</xdr:row>
                    <xdr:rowOff>200025</xdr:rowOff>
                  </from>
                  <to>
                    <xdr:col>7</xdr:col>
                    <xdr:colOff>571500</xdr:colOff>
                    <xdr:row>1</xdr:row>
                    <xdr:rowOff>142875</xdr:rowOff>
                  </to>
                </anchor>
              </controlPr>
            </control>
          </mc:Choice>
        </mc:AlternateContent>
        <mc:AlternateContent xmlns:mc="http://schemas.openxmlformats.org/markup-compatibility/2006">
          <mc:Choice Requires="x14">
            <control shapeId="52232" r:id="rId15" name="Button 8">
              <controlPr defaultSize="0" autoFill="0" autoPict="0" macro="[0]!NhanTrieu">
                <anchor moveWithCells="1" sizeWithCells="1">
                  <from>
                    <xdr:col>8</xdr:col>
                    <xdr:colOff>28575</xdr:colOff>
                    <xdr:row>0</xdr:row>
                    <xdr:rowOff>200025</xdr:rowOff>
                  </from>
                  <to>
                    <xdr:col>8</xdr:col>
                    <xdr:colOff>495300</xdr:colOff>
                    <xdr:row>1</xdr:row>
                    <xdr:rowOff>142875</xdr:rowOff>
                  </to>
                </anchor>
              </controlPr>
            </control>
          </mc:Choice>
        </mc:AlternateContent>
        <mc:AlternateContent xmlns:mc="http://schemas.openxmlformats.org/markup-compatibility/2006">
          <mc:Choice Requires="x14">
            <control shapeId="52233" r:id="rId16" name="Button 9">
              <controlPr defaultSize="0" autoFill="0" autoPict="0" macro="[0]!NhanTy">
                <anchor moveWithCells="1" sizeWithCells="1">
                  <from>
                    <xdr:col>8</xdr:col>
                    <xdr:colOff>542925</xdr:colOff>
                    <xdr:row>0</xdr:row>
                    <xdr:rowOff>200025</xdr:rowOff>
                  </from>
                  <to>
                    <xdr:col>8</xdr:col>
                    <xdr:colOff>1009650</xdr:colOff>
                    <xdr:row>1</xdr:row>
                    <xdr:rowOff>142875</xdr:rowOff>
                  </to>
                </anchor>
              </controlPr>
            </control>
          </mc:Choice>
        </mc:AlternateContent>
      </controls>
    </mc:Choice>
  </mc:AlternateContent>
  <tableParts count="3">
    <tablePart r:id="rId17"/>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S78:XFD84 A1:XFD2 Q78:Q84 Q85:XFD166 Q10:XFD77 Q3:XFD6 S7:XFD9 Q7:Q9 A496:XFD1048576 A332:L495 Q332:XFD495 A167:XFD167 A168:G331 L168:XFD331 A3:P166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outlinePr summaryRight="0"/>
  </sheetPr>
  <dimension ref="A2:AL39"/>
  <sheetViews>
    <sheetView showGridLines="0" topLeftCell="V16" workbookViewId="0">
      <selection activeCell="AB26" sqref="AB26"/>
    </sheetView>
  </sheetViews>
  <sheetFormatPr defaultRowHeight="18" customHeight="1" outlineLevelRow="1" outlineLevelCol="1" x14ac:dyDescent="0.3"/>
  <cols>
    <col min="1" max="1" width="1.25" style="7" customWidth="1" collapsed="1"/>
    <col min="2" max="2" width="13" style="7" hidden="1" customWidth="1" outlineLevel="1"/>
    <col min="3" max="3" width="16.25" style="7" hidden="1" customWidth="1" outlineLevel="1"/>
    <col min="4" max="4" width="9.625" style="7" hidden="1" customWidth="1" outlineLevel="1"/>
    <col min="5" max="10" width="1.25" style="7" hidden="1" customWidth="1" outlineLevel="1"/>
    <col min="11" max="11" width="1.25" style="7" customWidth="1"/>
    <col min="12" max="12" width="14.25" style="7" customWidth="1"/>
    <col min="13" max="13" width="13.875" style="38" customWidth="1"/>
    <col min="14" max="14" width="10.625" style="7" customWidth="1"/>
    <col min="15" max="15" width="10.625" style="7" bestFit="1" customWidth="1"/>
    <col min="16" max="16" width="13.375" style="7" bestFit="1" customWidth="1"/>
    <col min="17" max="17" width="6.75" style="7" bestFit="1" customWidth="1"/>
    <col min="18" max="18" width="1.625" style="7" customWidth="1"/>
    <col min="19" max="19" width="11.875" style="7" customWidth="1"/>
    <col min="20" max="20" width="10.625" style="7" customWidth="1"/>
    <col min="21" max="21" width="15.25" style="7" customWidth="1"/>
    <col min="22" max="22" width="12.125" style="7" customWidth="1" outlineLevel="1" collapsed="1"/>
    <col min="23" max="23" width="11.875" style="7" customWidth="1" outlineLevel="1"/>
    <col min="24" max="24" width="8.125" style="7" customWidth="1"/>
    <col min="25" max="25" width="1.625" style="7" customWidth="1"/>
    <col min="26" max="26" width="10.875" style="7" customWidth="1"/>
    <col min="27" max="27" width="11.875" style="7" customWidth="1"/>
    <col min="28" max="28" width="16.375" style="7" customWidth="1"/>
    <col min="29" max="29" width="14.25" style="7" customWidth="1" outlineLevel="1"/>
    <col min="30" max="30" width="11.5" style="7" customWidth="1" outlineLevel="1"/>
    <col min="31" max="31" width="8.125" style="7" customWidth="1"/>
    <col min="32" max="32" width="1.625" style="7" customWidth="1"/>
    <col min="33" max="33" width="5.625" style="7" bestFit="1" customWidth="1"/>
    <col min="34" max="34" width="6" style="7" bestFit="1" customWidth="1"/>
    <col min="35" max="35" width="7.125" style="7" bestFit="1" customWidth="1"/>
    <col min="36" max="36" width="10" style="7" bestFit="1" customWidth="1"/>
    <col min="37" max="37" width="14.25" style="38" bestFit="1" customWidth="1"/>
    <col min="38" max="39" width="6.75" style="7" bestFit="1" customWidth="1"/>
    <col min="40" max="16384" width="9" style="7"/>
  </cols>
  <sheetData>
    <row r="2" spans="17:38" ht="18" customHeight="1" x14ac:dyDescent="0.3">
      <c r="Q2" s="221"/>
      <c r="R2" s="12"/>
      <c r="S2" s="12"/>
      <c r="T2" s="12"/>
      <c r="W2" s="12"/>
      <c r="X2" s="12"/>
      <c r="Y2" s="12"/>
      <c r="Z2" s="12"/>
      <c r="AA2" s="12"/>
      <c r="AD2" s="12"/>
      <c r="AE2" s="12"/>
      <c r="AF2" s="12"/>
    </row>
    <row r="3" spans="17:38" s="12" customFormat="1" ht="18" customHeight="1" outlineLevel="1" x14ac:dyDescent="0.3">
      <c r="AC3" s="222"/>
      <c r="AG3" s="7"/>
      <c r="AH3" s="7"/>
      <c r="AI3" s="7"/>
      <c r="AJ3" s="7"/>
      <c r="AL3" s="7"/>
    </row>
    <row r="4" spans="17:38" s="12" customFormat="1" ht="18" customHeight="1" outlineLevel="1" x14ac:dyDescent="0.3">
      <c r="AC4" s="222"/>
      <c r="AG4" s="7"/>
      <c r="AH4" s="7"/>
      <c r="AI4" s="7"/>
      <c r="AJ4" s="7"/>
      <c r="AK4" s="221"/>
      <c r="AL4" s="7"/>
    </row>
    <row r="5" spans="17:38" s="12" customFormat="1" ht="18" customHeight="1" outlineLevel="1" x14ac:dyDescent="0.3">
      <c r="AC5" s="222"/>
      <c r="AG5" s="7"/>
      <c r="AH5" s="7"/>
      <c r="AI5" s="7"/>
      <c r="AJ5" s="7"/>
      <c r="AK5" s="221"/>
      <c r="AL5" s="7"/>
    </row>
    <row r="6" spans="17:38" s="12" customFormat="1" ht="18" customHeight="1" outlineLevel="1" x14ac:dyDescent="0.3">
      <c r="AC6" s="222"/>
      <c r="AG6" s="7"/>
      <c r="AH6" s="7"/>
      <c r="AI6" s="7"/>
      <c r="AJ6" s="7"/>
      <c r="AK6" s="221"/>
      <c r="AL6" s="7"/>
    </row>
    <row r="7" spans="17:38" s="12" customFormat="1" ht="18" customHeight="1" outlineLevel="1" x14ac:dyDescent="0.3">
      <c r="AC7" s="222"/>
      <c r="AG7" s="7"/>
      <c r="AH7" s="7"/>
      <c r="AI7" s="7"/>
      <c r="AJ7" s="7"/>
      <c r="AK7" s="221"/>
      <c r="AL7" s="7"/>
    </row>
    <row r="8" spans="17:38" s="12" customFormat="1" ht="18" customHeight="1" outlineLevel="1" x14ac:dyDescent="0.3">
      <c r="AC8" s="222"/>
      <c r="AG8" s="7"/>
      <c r="AH8" s="7"/>
      <c r="AI8" s="7"/>
      <c r="AJ8" s="7"/>
      <c r="AK8" s="221"/>
      <c r="AL8" s="7"/>
    </row>
    <row r="9" spans="17:38" s="12" customFormat="1" ht="18" customHeight="1" outlineLevel="1" x14ac:dyDescent="0.3">
      <c r="AC9" s="222"/>
      <c r="AG9" s="7"/>
      <c r="AH9" s="7"/>
      <c r="AI9" s="7"/>
      <c r="AJ9" s="7"/>
      <c r="AK9" s="221"/>
      <c r="AL9" s="7"/>
    </row>
    <row r="10" spans="17:38" s="12" customFormat="1" ht="18" customHeight="1" outlineLevel="1" x14ac:dyDescent="0.3">
      <c r="AC10" s="222"/>
      <c r="AG10" s="7"/>
      <c r="AH10" s="7"/>
      <c r="AI10" s="7"/>
      <c r="AJ10" s="7"/>
      <c r="AK10" s="221"/>
      <c r="AL10" s="7"/>
    </row>
    <row r="11" spans="17:38" s="12" customFormat="1" ht="18" customHeight="1" outlineLevel="1" x14ac:dyDescent="0.3">
      <c r="AC11" s="222"/>
      <c r="AG11" s="7"/>
      <c r="AH11" s="7"/>
      <c r="AI11" s="7"/>
      <c r="AJ11" s="7"/>
      <c r="AK11" s="221"/>
      <c r="AL11" s="7"/>
    </row>
    <row r="12" spans="17:38" s="12" customFormat="1" ht="18" customHeight="1" outlineLevel="1" x14ac:dyDescent="0.3">
      <c r="AC12" s="222"/>
      <c r="AG12" s="7"/>
      <c r="AH12" s="7"/>
      <c r="AI12" s="7"/>
      <c r="AJ12" s="7"/>
      <c r="AK12" s="221"/>
      <c r="AL12" s="7"/>
    </row>
    <row r="13" spans="17:38" s="12" customFormat="1" ht="18" customHeight="1" outlineLevel="1" x14ac:dyDescent="0.3">
      <c r="AC13" s="222"/>
      <c r="AG13" s="7"/>
      <c r="AH13" s="7"/>
      <c r="AI13" s="7"/>
      <c r="AJ13" s="7"/>
      <c r="AK13" s="221"/>
      <c r="AL13" s="7"/>
    </row>
    <row r="14" spans="17:38" s="12" customFormat="1" ht="18" customHeight="1" outlineLevel="1" x14ac:dyDescent="0.3">
      <c r="AC14" s="222"/>
      <c r="AG14" s="7"/>
      <c r="AH14" s="7"/>
      <c r="AI14" s="7"/>
      <c r="AJ14" s="7"/>
      <c r="AK14" s="221"/>
      <c r="AL14" s="7"/>
    </row>
    <row r="15" spans="17:38" s="12" customFormat="1" ht="18" customHeight="1" outlineLevel="1" x14ac:dyDescent="0.3">
      <c r="AC15" s="222"/>
      <c r="AG15" s="7"/>
      <c r="AH15" s="7"/>
      <c r="AI15" s="7"/>
      <c r="AJ15" s="7"/>
      <c r="AK15" s="221"/>
      <c r="AL15" s="7"/>
    </row>
    <row r="16" spans="17:38" s="12" customFormat="1" ht="18" customHeight="1" outlineLevel="1" x14ac:dyDescent="0.3">
      <c r="AC16" s="222"/>
      <c r="AG16" s="7"/>
      <c r="AH16" s="7"/>
      <c r="AI16" s="7"/>
      <c r="AJ16" s="7"/>
      <c r="AK16" s="221"/>
      <c r="AL16" s="7"/>
    </row>
    <row r="17" spans="2:38" s="12" customFormat="1" ht="18" customHeight="1" outlineLevel="1" x14ac:dyDescent="0.3">
      <c r="AC17" s="222"/>
      <c r="AG17" s="7"/>
      <c r="AH17" s="7"/>
      <c r="AI17" s="7"/>
      <c r="AJ17" s="7"/>
      <c r="AK17" s="221"/>
      <c r="AL17" s="7"/>
    </row>
    <row r="18" spans="2:38" s="12" customFormat="1" ht="18" customHeight="1" outlineLevel="1" x14ac:dyDescent="0.3">
      <c r="AC18" s="222"/>
      <c r="AG18" s="7"/>
      <c r="AH18" s="7"/>
      <c r="AI18" s="7"/>
      <c r="AJ18" s="7"/>
      <c r="AK18" s="221"/>
      <c r="AL18" s="7"/>
    </row>
    <row r="19" spans="2:38" s="12" customFormat="1" ht="18" customHeight="1" outlineLevel="1" x14ac:dyDescent="0.3">
      <c r="AC19" s="222"/>
      <c r="AG19" s="7"/>
      <c r="AH19" s="7"/>
      <c r="AI19" s="7"/>
      <c r="AJ19" s="7"/>
      <c r="AK19" s="221"/>
      <c r="AL19" s="7"/>
    </row>
    <row r="20" spans="2:38" s="12" customFormat="1" ht="18" customHeight="1" x14ac:dyDescent="0.3">
      <c r="AC20" s="222"/>
      <c r="AG20" s="7"/>
      <c r="AH20" s="7"/>
      <c r="AI20" s="7"/>
      <c r="AJ20" s="7"/>
      <c r="AK20" s="221" cm="1">
        <f t="array" ref="AK20" xml:space="preserve">
+IFERROR(
SUM(_xlfn._xlws.FILTER(Table_TSCD[Giá trị sổ sách],
(ISBLANK(Table_TSCD[Ngày thanh lý]))*
(Table_TSCD[Mã Tài sản] = NoXau_MaNCC) *
(Table_TSCD[Ngày mua] &lt; NoXau_NgayTheoDoi)
)),0)
+IFERROR(
SUM(_xlfn._xlws.FILTER(Table_TSCD[Giá trị sổ sách],
(NOT(ISBLANK(Table_TSCD[Ngày thanh lý])))*
(Table_TSCD[Mã Tài sản] = NoXau_MaNCC) *
(Table_TSCD[Ngày thanh lý] &gt;= NoXau_NgayTheoDoi)*
(Table_TSCD[Ngày mua] &lt; NoXau_NgayTheoDoi)
)),0)
+ IFERROR(
SUM(_xlfn._xlws.FILTER(Table_DonMua[Phải trả],
(Table_DonMua[Mã Đối tác] = NoXau_MaNCC) *
(Table_DonMua[Ngày lập] &lt; NoXau_NgayTheoDoi)
)),0)
+IFERROR(
SUM(_xlfn._xlws.FILTER(#REF!,
(Table_DonBan[Kênh] = NoXau_MaNCC)*
(Table_DonBan[Ngày lập]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+IFERROR(
SUM(_xlfn._xlws.FILTER(Table_ChiPhiNV[Lương net],
(Table_ChiPhiNV[Nhân viên] = NoXau_MaNCC) *
(Table_ChiPhiNV[Kỳ] &lt; NoXau_NgayTheoDoi)
)),0)
+ IFERROR(
SUM(_xlfn._xlws.FILTER(Table_ChiPhiKD[Giá trị],
( Table_ChiPhiKD[Vendor] = NoXau_MaNCC) *
(NOT(ISBLANK(Table_ChiPhiKD[Tháng]))) *
(Table_ChiPhiKD[Kỳ] &lt; NoXau_NgayTheoDoi)
)),0)
+IFERROR(
SUM(_xlfn._xlws.FILTER(Table_ChiPhiKD[Giá trị],
(Table_ChiPhiKD[Vendor]=NoXau_MaNCC) *
(ISBLANK(Table_ChiPhiKD[Tháng])) *
(Table_ChiPhiKD[Phân bổ đến]&lt;NoXau_NgayTheoDoi)
)),0)
+IFERROR(
SUMPRODUCT(
_xlfn._xlws.FILTER(Table_ChiPhiKD[Giá trị],
(Table_ChiPhiKD[Vendor]=NoXau_MaNCC) *
(ISBLANK(Table_ChiPhiKD[Tháng])) *
(Table_ChiPhiKD[Phân bổ từ]&lt;NoXau_NgayTheoDoi)*
(Table_ChiPhiKD[Phân bổ đến]&gt;NoXau_NgayTheoDoi)
),
_xlfn._xlws.FILTER(ROUND((DATE(YEAR(P$21),MONTH(P$21)+1, 1) - 1 - Table_ChiPhiKD[Phân bổ từ]) / (362.25 / 12 ), 0),
(Table_ChiPhiKD[Vendor]=NoXau_MaNCC) *
(ISBLANK(Table_ChiPhiKD[Tháng])) *
(Table_ChiPhiKD[Phân bổ từ]&lt;NoXau_NgayTheoDoi)*
(Table_ChiPhiKD[Phân bổ đến]&gt;NoXau_NgayTheoDoi)
),
_xlfn._xlws.FILTER(1/ROUND((Table_ChiPhiKD[Phân bổ đến] - Table_ChiPhiKD[Phân bổ từ]) / (362.25 / 12 ), 0),
(Table_ChiPhiKD[Vendor]=NoXau_MaNCC) *
(ISBLANK(Table_ChiPhiKD[Tháng])) *
(Table_ChiPhiKD[Phân bổ từ]&lt;NoXau_NgayTheoDoi)*
(Table_ChiPhiKD[Phân bổ đến]&gt;NoXau_NgayTheoDoi)
)
),0)
- IFERROR(
SUM(_xlfn._xlws.FILTER(Table_LaiKhac[Giá trị],
( Table_LaiKhac[Đối tác]=NoXau_MaNCC) *
(NOT(ISBLANK(Table_LaiKhac[Tháng]))) *
(Table_LaiKhac[Kỳ] &lt;NoXau_NgayTheoDoi)
)),0)
- IFERROR(
SUM(_xlfn._xlws.FILTER(Table_LaiKhac[Giá trị],
( Table_LaiKhac[Đối tác]=NoXau_MaNCC) *
(ISBLANK(Table_LaiKhac[Tháng])) *
(Table_LaiKhac[Phân bổ đến] &lt; NoXau_NgayTheoDoi)
)),0)
-IFERROR(
SUMPRODUCT(
_xlfn._xlws.FILTER(Table_LaiKhac[Giá trị],
( Table_LaiKhac[Đối tác]=NoXau_MaNCC) *
(ISBLANK(Table_LaiKhac[Tháng])) *
(Table_ChiPhiKD[Phân bổ từ]&lt;NoXau_NgayTheoDoi)*
(Table_ChiPhiKD[Phân bổ đến]&gt;NoXau_NgayTheoDoi)
),
_xlfn._xlws.FILTER(ROUND((DATE(YEAR(P$21),MONTH(P$21)+1, 1) - 1 - Table_ChiPhiKD[Phân bổ từ]) / (362.25 / 12 ), 0),
( Table_LaiKhac[Đối tác]=NoXau_MaNCC) *
(ISBLANK(Table_LaiKhac[Tháng])) *
(Table_ChiPhiKD[Phân bổ từ]&lt;NoXau_NgayTheoDoi)*
(Table_ChiPhiKD[Phân bổ đến]&gt;NoXau_NgayTheoDoi)
),
_xlfn._xlws.FILTER(1/ROUND((Table_ChiPhiKD[Phân bổ đến] - Table_ChiPhiKD[Phân bổ từ]) / (362.25 / 12 ), 0),
( Table_LaiKhac[Đối tác]=NoXau_MaNCC) *
(ISBLANK(Table_LaiKhac[Tháng])) *
(Table_ChiPhiKD[Phân bổ từ]&lt;NoXau_NgayTheoDoi)*
(Table_ChiPhiKD[Phân bổ đến]&gt;NoXau_NgayTheoDoi)
)
),0)</f>
        <v>0</v>
      </c>
      <c r="AL20" s="7"/>
    </row>
    <row r="21" spans="2:38" ht="18" customHeight="1" x14ac:dyDescent="0.15">
      <c r="M21" s="12" t="s">
        <v>533</v>
      </c>
      <c r="N21" s="402"/>
      <c r="O21" s="12"/>
      <c r="P21" s="221">
        <f>SUM(Table_PhaiThu_DuPhong[Giá trị dự phòng])</f>
        <v>0</v>
      </c>
      <c r="U21" s="220"/>
      <c r="V21" s="222" cm="1">
        <f t="array" ref="V21" xml:space="preserve">
IFERROR(
SUM(_xlfn._xlws.FILTER(Table_ThuChiKD[Giá trị GD],
(Table_ThuChiKD[Đối tác] = NoXau_MaKH) *
(Table_ThuChiKD[Loại GD] = "THU") *
(Table_ThuChiKD[Ngày GD] &lt;= NoXau_NgayTheoDoi)
)),0)
- IFERROR(
SUM(_xlfn._xlws.FILTER(Table_ThuChiKD[Giá trị GD],
(Table_ThuChiKD[Đối tác] = NoXau_MaKH) *
(Table_ThuChiKD[Loại GD] = "CHI") *
(Table_ThuChiKD[Ngày GD] &lt;= NoXau_NgayTheoDoi)
)),0)</f>
        <v>0</v>
      </c>
      <c r="AB21" s="220"/>
      <c r="AC21" s="551" cm="1">
        <f t="array" ref="AC21" xml:space="preserve">
+ IFERROR(
SUM(_xlfn._xlws.FILTER(Table_DonMua[Phải trả],
(Table_DonMua[Mã Đối tác] = NoXau_MaNCC) *
(Table_DonMua[Ngày lập] &lt;= NoXau_NgayTheoDoi)
)),0)
+IFERROR(
SUM(_xlfn._xlws.FILTER(Table_ChiPhiNV[Lương net],
(Table_ChiPhiNV[Nhân viên] = NoXau_MaNCC) *
(NOT(ISBLANK(Table_ChiPhiNV[Tháng]))) *
(Table_ChiPhiNV[Kỳ] &lt;= NoXau_NgayTheoDoi)
)),0)
+IFERROR(
SUM(_xlfn._xlws.FILTER(Table_Main[CK kênh],
(Table_Main[Kênh]=NoXau_MaNCC) *
(Table_Main[Ngày lên đơn]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 IFERROR(
SUM(_xlfn._xlws.FILTER(Table_ChiPhiKD[Giá trị],
( Table_ChiPhiKD[Vendor] = NoXau_MaNCC) *
(NOT(ISBLANK(Table_ChiPhiKD[Tháng]))) *
(Table_ChiPhiKD[Kỳ] &lt;= NoXau_NgayTheoDoi)
)),0)
+ IFERROR(
SUM(_xlfn._xlws.FILTER(Table_ChiPhiKD[Giá trị],
(Table_ChiPhiKD[Vendor] = NoXau_MaNCC) *
(ISBLANK(Table_ChiPhiKD[Tháng])) *
(Table_ChiPhiKD[Phân bổ đến]&lt;= NoXau_NgayTheoDoi)
)),0)
+IFERROR(
SUMPRODUCT(
_xlfn._xlws.FILTER(Table_ChiPhiKD[Giá trị],
(Table_ChiPhiKD[Vendor]=NoXau_MaNCC) *
(ISBLANK(Table_ChiPhiKD[Tháng])) *
(Table_ChiPhiKD[Phân bổ từ]&lt;= NoXau_NgayTheoDoi)*
(Table_ChiPhiKD[Phân bổ đến]&gt;= NoXau_NgayTheoDoi)
),
_xlfn._xlws.FILTER(ROUND((NoXau_NgayTheoDoi - 1 - Table_ChiPhiKD[Phân bổ từ]) / (362.25 / 12 ), 0),
(Table_ChiPhiKD[Vendor]=NoXau_MaNCC) *
(ISBLANK(Table_ChiPhiKD[Tháng])) *
(Table_ChiPhiKD[Phân bổ từ]&lt;= NoXau_NgayTheoDoi)*
(Table_ChiPhiKD[Phân bổ đến]&gt;= NoXau_NgayTheoDoi)
),
_xlfn._xlws.FILTER(1 / ROUND((Table_ChiPhiKD[Phân bổ đến] - Table_ChiPhiKD[Phân bổ từ])/ (362.25 / 12 ),0),
(Table_ChiPhiKD[Vendor]=NoXau_MaNCC) *
(ISBLANK(Table_ChiPhiKD[Tháng])) *
(Table_ChiPhiKD[Phân bổ từ]&lt;= NoXau_NgayTheoDoi)*
(Table_ChiPhiKD[Phân bổ đến]&gt;= NoXau_NgayTheoDoi)
)),0)</f>
        <v>0</v>
      </c>
      <c r="AG21" s="180">
        <f>IFERROR(
IF(ISBLANK(AI21),
DATE(AH21,12,1),
DATE(AH21,AI21,1)),0)</f>
        <v>693932</v>
      </c>
      <c r="AH21" s="223">
        <f>IF(MONTH(NoXau_NgayTheoDoi)=1, YEAR(NoXau_NgayTheoDoi)-1, YEAR(NoXau_NgayTheoDoi))</f>
        <v>1899</v>
      </c>
      <c r="AI21" s="223">
        <f>IF(MONTH(NoXau_NgayTheoDoi)=1,12, MONTH(NoXau_NgayTheoDoi)-1)</f>
        <v>12</v>
      </c>
      <c r="AJ21" s="223">
        <f>IF(ISBLANK(NoXau_MaKH),NoXau_MaNCC,NoXau_MaKH)</f>
        <v>0</v>
      </c>
      <c r="AK21" s="401">
        <f>P21</f>
        <v>0</v>
      </c>
      <c r="AL21" s="224"/>
    </row>
    <row r="22" spans="2:38" ht="16.5" x14ac:dyDescent="0.3">
      <c r="B22" s="97" t="s">
        <v>1228</v>
      </c>
      <c r="C22" s="97" t="s">
        <v>1156</v>
      </c>
      <c r="D22"/>
      <c r="E22"/>
      <c r="F22"/>
      <c r="G22"/>
      <c r="H22"/>
      <c r="I22"/>
      <c r="J22"/>
      <c r="M22" s="7" t="s">
        <v>540</v>
      </c>
      <c r="N22" s="7" t="s">
        <v>541</v>
      </c>
      <c r="O22" s="7" t="s">
        <v>542</v>
      </c>
      <c r="P22" s="7" t="s">
        <v>1244</v>
      </c>
      <c r="Q22" s="7" t="s">
        <v>873</v>
      </c>
      <c r="U22" s="7" t="s">
        <v>543</v>
      </c>
      <c r="V22" s="7" t="s">
        <v>1246</v>
      </c>
      <c r="W22" s="7" t="s">
        <v>544</v>
      </c>
      <c r="X22" s="7" t="s">
        <v>873</v>
      </c>
      <c r="AB22" s="7" t="s">
        <v>545</v>
      </c>
      <c r="AC22" s="7" t="s">
        <v>1246</v>
      </c>
      <c r="AD22" s="7" t="s">
        <v>544</v>
      </c>
      <c r="AE22" s="7" t="s">
        <v>873</v>
      </c>
      <c r="AG22" s="7" t="s">
        <v>3</v>
      </c>
      <c r="AH22" s="7" t="s">
        <v>2</v>
      </c>
      <c r="AI22" s="7" t="s">
        <v>1</v>
      </c>
      <c r="AJ22" s="7" t="s">
        <v>546</v>
      </c>
      <c r="AK22" s="7" t="s">
        <v>547</v>
      </c>
      <c r="AL22" s="7" t="s">
        <v>873</v>
      </c>
    </row>
    <row r="23" spans="2:38" ht="16.5" x14ac:dyDescent="0.3">
      <c r="B23" s="97" t="s">
        <v>23</v>
      </c>
      <c r="C23" t="s">
        <v>1195</v>
      </c>
      <c r="D23" t="s">
        <v>1196</v>
      </c>
      <c r="E23" s="504"/>
      <c r="F23" s="504"/>
      <c r="G23" s="504"/>
      <c r="H23" s="504"/>
      <c r="I23" s="504"/>
      <c r="J23"/>
      <c r="M23" s="15"/>
      <c r="N23" s="15"/>
      <c r="O23" s="45"/>
      <c r="P23" s="18" cm="1">
        <f t="array" ref="P23"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Q23" s="212"/>
      <c r="S23" s="7" t="str" cm="1">
        <f t="array" ref="S23:S25">_xlfn.SORTBY(Table_KhachHang[Mã KH], Table_KhachHang[Dư nợ],-1)</f>
        <v>KH1</v>
      </c>
      <c r="T23" s="7" t="e" cm="1" vm="1">
        <f t="array" ref="T23">_xlfn.UNIQUE(
_xlfn._xlws.FILTER(Table_DonBan[Ngày lập],
(Table_DonBan[Ngày lập] &lt; NoXau_NgayTheoDoi) *
(Table_DonBan[Mã Khách] = NoXau_MaKH)
))</f>
        <v>#VALUE!</v>
      </c>
      <c r="U23" s="392" t="s">
        <v>1265</v>
      </c>
      <c r="V23" s="18" cm="1">
        <f t="array" ref="V23" xml:space="preserve">
IF(Table_PhaiThu_TuoiNoKH[[#This Row],[Ngày lên đơn]]&gt;NoXau_NgayTheoDoi,0,
MAX(0,
IFERROR(
SUM(_xlfn._xlws.FILTER(Table_DonBan[Phải thu],
(Table_DonBan[Mã Khách] = NoXau_MaKH) *
(ISBLANK(Table_DonBan[Phân bổ từ]))*
(ISBLANK(Table_DonBan[Phân bổ đến]))*
(Table_DonBan[Ngày lập] &lt;= Table_PhaiThu_TuoiNoKH[[#This Row],[Ngày lên đơn]])
)),0)
+IFERROR(
SUMPRODUCT(
_xlfn._xlws.FILTER(Table_DonBan[Phải thu],
(Table_DonBan[Mã Khách] = NoXau_MaKH) *
(Table_DonBan[Phân bổ từ]&lt;= NoXau_NgayTheoDoi)*
(Table_DonBan[Phân bổ đến]&gt;= NoXau_NgayTheoDoi)
),
_xlfn._xlws.FILTER(
ROUND(
(NoXau_NgayTheoDoi - 1 - Table_DonBan[Phân bổ từ]) / (362.25 / 12 ),
0),
(Table_DonBan[Mã Khách] = NoXau_MaKH) *
(Table_DonBan[Phân bổ từ]&lt;= NoXau_NgayTheoDoi)*
(Table_DonBan[Phân bổ đến]&gt;= NoXau_NgayTheoDoi)
),
_xlfn._xlws.FILTER(
1 / ROUND((Table_DonBan[Phân bổ đến] - Table_DonBan[Phân bổ từ]) / (362.25 / 12 ), 0),
(Table_DonBan[Mã Khách] = NoXau_MaKH) *
(Table_DonBan[Phân bổ từ]&lt;= NoXau_NgayTheoDoi)*
(Table_DonBan[Phân bổ đến]&gt;= NoXau_NgayTheoDoi)
)),0)
- NoXau_NhanThanhToan
))</f>
        <v>0</v>
      </c>
      <c r="W23" s="18">
        <f>IF(Table_PhaiThu_TuoiNoKH[[#This Row],[Giá trị nợ]] =0, 0, NoXau_NgayTheoDoi-Table_PhaiThu_TuoiNoKH[[#This Row],[Ngày lên đơn]])</f>
        <v>0</v>
      </c>
      <c r="X23" s="212"/>
      <c r="Z23" s="7" t="str" cm="1">
        <f t="array" ref="Z23:Z33">_xlfn.SORTBY(Table_NhaCungCap[Mã Đối tác], Table_NhaCungCap[Dư nợ],1)</f>
        <v>NCC2</v>
      </c>
      <c r="AA23" s="7" t="e" cm="1" vm="1">
        <f t="array" ref="AA23">_xlfn.UNIQUE(
_xlfn._xlws.FILTER(Table_ThuChiKD[Ngày GD],
(Table_ThuChiKD[Ngày GD] &lt; NoXau_NgayTheoDoi) *
(Table_ThuChiKD[Đối tác] = NoXau_MaNCC)
))</f>
        <v>#VALUE!</v>
      </c>
      <c r="AB23" s="392"/>
      <c r="AC23" s="18" cm="1">
        <f t="array" ref="AC23"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f>
        <v>0</v>
      </c>
      <c r="AD23" s="18" cm="1">
        <f t="array" ref="AD23">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f>
        <v>0</v>
      </c>
      <c r="AE23" s="212"/>
      <c r="AG23" s="33">
        <f>IFERROR(
IF(ISBLANK(Table_DuPhong[[#This Row],[Tháng]]),
DATE(Table_DuPhong[[#This Row],[Năm]],12,1),
DATE(Table_DuPhong[[#This Row],[Năm]],Table_DuPhong[[#This Row],[Tháng]],1)),0)</f>
        <v>45778</v>
      </c>
      <c r="AH23" s="7">
        <v>2025</v>
      </c>
      <c r="AI23" s="7">
        <v>5</v>
      </c>
      <c r="AJ23" s="7" t="s">
        <v>1196</v>
      </c>
      <c r="AK23" s="15">
        <v>100000</v>
      </c>
    </row>
    <row r="24" spans="2:38" ht="16.5" x14ac:dyDescent="0.3">
      <c r="B24" s="519">
        <v>45717</v>
      </c>
      <c r="C24" s="504">
        <v>100000</v>
      </c>
      <c r="D24" s="504">
        <v>200000</v>
      </c>
      <c r="E24" s="504"/>
      <c r="F24" s="504"/>
      <c r="G24" s="504"/>
      <c r="H24" s="504"/>
      <c r="I24" s="504"/>
      <c r="J24"/>
      <c r="S24" s="7" t="str">
        <v>KH2</v>
      </c>
      <c r="Z24" s="7" t="str">
        <v>NCC3</v>
      </c>
      <c r="AG24" s="33">
        <f>IFERROR(
IF(ISBLANK(Table_DuPhong[[#This Row],[Tháng]]),
DATE(Table_DuPhong[[#This Row],[Năm]],12,1),
DATE(Table_DuPhong[[#This Row],[Năm]],Table_DuPhong[[#This Row],[Tháng]],1)),0)</f>
        <v>45778</v>
      </c>
      <c r="AH24" s="7">
        <v>2025</v>
      </c>
      <c r="AI24" s="7">
        <v>5</v>
      </c>
      <c r="AJ24" s="7" t="s">
        <v>1195</v>
      </c>
      <c r="AK24" s="15">
        <v>200000</v>
      </c>
    </row>
    <row r="25" spans="2:38" ht="16.5" x14ac:dyDescent="0.3">
      <c r="B25" s="519">
        <v>45748</v>
      </c>
      <c r="C25" s="504">
        <v>200000</v>
      </c>
      <c r="D25" s="504">
        <v>100000</v>
      </c>
      <c r="E25" s="504"/>
      <c r="F25" s="504"/>
      <c r="G25" s="504"/>
      <c r="H25" s="504"/>
      <c r="I25" s="504"/>
      <c r="J25"/>
      <c r="S25" s="7" t="str">
        <v>KH3</v>
      </c>
      <c r="Z25" s="7" t="str">
        <v>Secu</v>
      </c>
      <c r="AG25" s="33">
        <f>IFERROR(
IF(ISBLANK(Table_DuPhong[[#This Row],[Tháng]]),
DATE(Table_DuPhong[[#This Row],[Năm]],12,1),
DATE(Table_DuPhong[[#This Row],[Năm]],Table_DuPhong[[#This Row],[Tháng]],1)),0)</f>
        <v>45748</v>
      </c>
      <c r="AH25" s="7">
        <v>2025</v>
      </c>
      <c r="AI25" s="7">
        <v>4</v>
      </c>
      <c r="AJ25" s="7" t="s">
        <v>1196</v>
      </c>
      <c r="AK25" s="15">
        <v>100000</v>
      </c>
    </row>
    <row r="26" spans="2:38" ht="16.5" x14ac:dyDescent="0.3">
      <c r="B26" s="519">
        <v>45778</v>
      </c>
      <c r="C26" s="504">
        <v>200000</v>
      </c>
      <c r="D26" s="504">
        <v>100000</v>
      </c>
      <c r="E26" s="504"/>
      <c r="F26" s="504"/>
      <c r="G26" s="504"/>
      <c r="H26" s="504"/>
      <c r="I26" s="504"/>
      <c r="J26"/>
      <c r="Z26" s="7" t="str">
        <v>Soft1</v>
      </c>
      <c r="AG26" s="33">
        <f>IFERROR(
IF(ISBLANK(Table_DuPhong[[#This Row],[Tháng]]),
DATE(Table_DuPhong[[#This Row],[Năm]],12,1),
DATE(Table_DuPhong[[#This Row],[Năm]],Table_DuPhong[[#This Row],[Tháng]],1)),0)</f>
        <v>45748</v>
      </c>
      <c r="AH26" s="7">
        <v>2025</v>
      </c>
      <c r="AI26" s="7">
        <v>4</v>
      </c>
      <c r="AJ26" s="7" t="s">
        <v>1195</v>
      </c>
      <c r="AK26" s="15">
        <v>200000</v>
      </c>
    </row>
    <row r="27" spans="2:38" ht="16.5" x14ac:dyDescent="0.3">
      <c r="B27" s="519" t="s">
        <v>1102</v>
      </c>
      <c r="C27" s="504">
        <v>500000</v>
      </c>
      <c r="D27" s="504">
        <v>400000</v>
      </c>
      <c r="E27"/>
      <c r="F27"/>
      <c r="G27"/>
      <c r="H27"/>
      <c r="I27"/>
      <c r="J27"/>
      <c r="Z27" s="7" t="str">
        <v>Agency1</v>
      </c>
      <c r="AG27" s="33">
        <f>IFERROR(
IF(ISBLANK(Table_DuPhong[[#This Row],[Tháng]]),
DATE(Table_DuPhong[[#This Row],[Năm]],12,1),
DATE(Table_DuPhong[[#This Row],[Năm]],Table_DuPhong[[#This Row],[Tháng]],1)),0)</f>
        <v>45717</v>
      </c>
      <c r="AH27" s="7">
        <v>2025</v>
      </c>
      <c r="AI27" s="7">
        <v>3</v>
      </c>
      <c r="AJ27" s="7" t="s">
        <v>1196</v>
      </c>
      <c r="AK27" s="15">
        <v>200000</v>
      </c>
    </row>
    <row r="28" spans="2:38" ht="16.5" x14ac:dyDescent="0.3">
      <c r="B28"/>
      <c r="C28"/>
      <c r="D28"/>
      <c r="E28"/>
      <c r="F28"/>
      <c r="G28"/>
      <c r="H28"/>
      <c r="I28"/>
      <c r="J28"/>
      <c r="Z28" s="7" t="str">
        <v>Ad1</v>
      </c>
      <c r="AG28" s="33">
        <f>IFERROR(
IF(ISBLANK(Table_DuPhong[[#This Row],[Tháng]]),
DATE(Table_DuPhong[[#This Row],[Năm]],12,1),
DATE(Table_DuPhong[[#This Row],[Năm]],Table_DuPhong[[#This Row],[Tháng]],1)),0)</f>
        <v>45717</v>
      </c>
      <c r="AH28" s="7">
        <v>2025</v>
      </c>
      <c r="AI28" s="7">
        <v>3</v>
      </c>
      <c r="AJ28" s="7" t="s">
        <v>1195</v>
      </c>
      <c r="AK28" s="15">
        <v>100000</v>
      </c>
    </row>
    <row r="29" spans="2:38" ht="16.5" x14ac:dyDescent="0.3">
      <c r="B29"/>
      <c r="C29"/>
      <c r="D29"/>
      <c r="E29"/>
      <c r="F29"/>
      <c r="G29"/>
      <c r="H29"/>
      <c r="I29"/>
      <c r="J29"/>
      <c r="Z29" s="7" t="str">
        <v>MT</v>
      </c>
    </row>
    <row r="30" spans="2:38" ht="16.5" x14ac:dyDescent="0.3">
      <c r="B30"/>
      <c r="C30"/>
      <c r="D30"/>
      <c r="E30"/>
      <c r="F30"/>
      <c r="G30"/>
      <c r="H30"/>
      <c r="I30"/>
      <c r="J30"/>
      <c r="Z30" s="7" t="str">
        <v>O&amp;M</v>
      </c>
    </row>
    <row r="31" spans="2:38" ht="16.5" x14ac:dyDescent="0.3">
      <c r="B31"/>
      <c r="C31"/>
      <c r="D31"/>
      <c r="E31"/>
      <c r="F31"/>
      <c r="G31"/>
      <c r="H31"/>
      <c r="I31"/>
      <c r="J31"/>
      <c r="Z31" s="7" t="str">
        <v>NSG</v>
      </c>
    </row>
    <row r="32" spans="2:38" ht="16.5" x14ac:dyDescent="0.3">
      <c r="B32"/>
      <c r="C32"/>
      <c r="D32"/>
      <c r="E32"/>
      <c r="F32"/>
      <c r="G32"/>
      <c r="H32"/>
      <c r="I32"/>
      <c r="J32"/>
      <c r="Z32" s="7" t="str">
        <v>EVN</v>
      </c>
    </row>
    <row r="33" spans="2:26" ht="16.5" x14ac:dyDescent="0.3">
      <c r="B33"/>
      <c r="C33"/>
      <c r="D33"/>
      <c r="E33"/>
      <c r="F33"/>
      <c r="G33"/>
      <c r="H33"/>
      <c r="I33"/>
      <c r="J33"/>
      <c r="Z33" s="7" t="str">
        <v>NCC1</v>
      </c>
    </row>
    <row r="34" spans="2:26" ht="16.5" x14ac:dyDescent="0.3">
      <c r="B34"/>
      <c r="C34"/>
      <c r="D34"/>
      <c r="E34"/>
      <c r="F34"/>
      <c r="G34"/>
      <c r="H34"/>
      <c r="I34"/>
      <c r="J34"/>
    </row>
    <row r="35" spans="2:26" ht="16.5" x14ac:dyDescent="0.3">
      <c r="B35"/>
      <c r="C35"/>
      <c r="D35"/>
      <c r="E35"/>
      <c r="F35"/>
      <c r="G35"/>
      <c r="H35"/>
      <c r="I35"/>
      <c r="J35"/>
    </row>
    <row r="36" spans="2:26" ht="16.5" x14ac:dyDescent="0.3">
      <c r="B36"/>
      <c r="C36"/>
      <c r="D36"/>
      <c r="E36"/>
      <c r="F36"/>
      <c r="G36"/>
      <c r="H36"/>
      <c r="I36"/>
      <c r="J36"/>
    </row>
    <row r="37" spans="2:26" ht="16.5" x14ac:dyDescent="0.3">
      <c r="B37"/>
      <c r="C37"/>
      <c r="D37"/>
      <c r="E37"/>
      <c r="F37"/>
      <c r="G37"/>
      <c r="H37"/>
      <c r="I37"/>
      <c r="J37"/>
    </row>
    <row r="38" spans="2:26" ht="16.5" x14ac:dyDescent="0.3">
      <c r="B38"/>
      <c r="C38"/>
      <c r="D38"/>
      <c r="E38"/>
      <c r="F38"/>
      <c r="G38"/>
      <c r="H38"/>
      <c r="I38"/>
      <c r="J38"/>
    </row>
    <row r="39" spans="2:26" ht="16.5" x14ac:dyDescent="0.3">
      <c r="B39"/>
      <c r="C39"/>
      <c r="D39"/>
      <c r="E39"/>
      <c r="F39"/>
      <c r="G39"/>
      <c r="H39"/>
      <c r="I39"/>
      <c r="J39"/>
    </row>
  </sheetData>
  <sheetProtection algorithmName="SHA-512" hashValue="XC6n6zc+NvrowMUn7D40wqlmB3vDBhFyk6XIizNUji4zbYc8dI1w2bM24CKQB1YU9AoGJQPXqs5rDQKbavfQWQ==" saltValue="mBcdwJPHIQ6vOId5g0/+Kw==" spinCount="100000" sheet="1" scenarios="1" formatCells="0" formatColumns="0" formatRows="0" insertColumns="0" insertRows="0" deleteColumns="0" deleteRows="0" sort="0" autoFilter="0" pivotTables="0"/>
  <dataValidations count="2">
    <dataValidation type="list" allowBlank="1" showInputMessage="1" showErrorMessage="1" sqref="U21" xr:uid="{FE2EA77E-5DA6-4162-9BDA-B986D00BE2D1}">
      <formula1>MaKhachHang</formula1>
    </dataValidation>
    <dataValidation type="list" allowBlank="1" showInputMessage="1" showErrorMessage="1" sqref="AB21" xr:uid="{C7A0233B-36C5-4D5F-BB48-07D20E6CD6E4}">
      <formula1>MaNhaCungCap</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57" r:id="rId5" name="Button 9">
              <controlPr defaultSize="0" print="0" autoFill="0" autoPict="0" macro="[0]!AddRow">
                <anchor moveWithCells="1">
                  <from>
                    <xdr:col>18</xdr:col>
                    <xdr:colOff>619125</xdr:colOff>
                    <xdr:row>20</xdr:row>
                    <xdr:rowOff>142875</xdr:rowOff>
                  </from>
                  <to>
                    <xdr:col>19</xdr:col>
                    <xdr:colOff>190500</xdr:colOff>
                    <xdr:row>21</xdr:row>
                    <xdr:rowOff>171450</xdr:rowOff>
                  </to>
                </anchor>
              </controlPr>
            </control>
          </mc:Choice>
        </mc:AlternateContent>
        <mc:AlternateContent xmlns:mc="http://schemas.openxmlformats.org/markup-compatibility/2006">
          <mc:Choice Requires="x14">
            <control shapeId="53258" r:id="rId6" name="Button 10">
              <controlPr defaultSize="0" print="0" autoFill="0" autoPict="0" macro="[0]!DeleteRow">
                <anchor moveWithCells="1">
                  <from>
                    <xdr:col>19</xdr:col>
                    <xdr:colOff>228600</xdr:colOff>
                    <xdr:row>20</xdr:row>
                    <xdr:rowOff>142875</xdr:rowOff>
                  </from>
                  <to>
                    <xdr:col>19</xdr:col>
                    <xdr:colOff>704850</xdr:colOff>
                    <xdr:row>21</xdr:row>
                    <xdr:rowOff>171450</xdr:rowOff>
                  </to>
                </anchor>
              </controlPr>
            </control>
          </mc:Choice>
        </mc:AlternateContent>
        <mc:AlternateContent xmlns:mc="http://schemas.openxmlformats.org/markup-compatibility/2006">
          <mc:Choice Requires="x14">
            <control shapeId="53263" r:id="rId7" name="Button 15">
              <controlPr defaultSize="0" print="0" autoFill="0" autoPict="0" macro="[0]!CopyToTable">
                <anchor moveWithCells="1">
                  <from>
                    <xdr:col>37</xdr:col>
                    <xdr:colOff>104775</xdr:colOff>
                    <xdr:row>20</xdr:row>
                    <xdr:rowOff>0</xdr:rowOff>
                  </from>
                  <to>
                    <xdr:col>38</xdr:col>
                    <xdr:colOff>133350</xdr:colOff>
                    <xdr:row>21</xdr:row>
                    <xdr:rowOff>28575</xdr:rowOff>
                  </to>
                </anchor>
              </controlPr>
            </control>
          </mc:Choice>
        </mc:AlternateContent>
        <mc:AlternateContent xmlns:mc="http://schemas.openxmlformats.org/markup-compatibility/2006">
          <mc:Choice Requires="x14">
            <control shapeId="53268" r:id="rId8" name="Option Button 20">
              <controlPr defaultSize="0" autoFill="0" autoLine="0" autoPict="0" macro="[0]!DoiDonViHienThi">
                <anchor moveWithCells="1">
                  <from>
                    <xdr:col>14</xdr:col>
                    <xdr:colOff>9525</xdr:colOff>
                    <xdr:row>0</xdr:row>
                    <xdr:rowOff>152400</xdr:rowOff>
                  </from>
                  <to>
                    <xdr:col>14</xdr:col>
                    <xdr:colOff>600075</xdr:colOff>
                    <xdr:row>1</xdr:row>
                    <xdr:rowOff>200025</xdr:rowOff>
                  </to>
                </anchor>
              </controlPr>
            </control>
          </mc:Choice>
        </mc:AlternateContent>
        <mc:AlternateContent xmlns:mc="http://schemas.openxmlformats.org/markup-compatibility/2006">
          <mc:Choice Requires="x14">
            <control shapeId="53269" r:id="rId9" name="Option Button 21">
              <controlPr defaultSize="0" autoFill="0" autoLine="0" autoPict="0" macro="[0]!DoiDonViHienThi">
                <anchor moveWithCells="1">
                  <from>
                    <xdr:col>14</xdr:col>
                    <xdr:colOff>476250</xdr:colOff>
                    <xdr:row>0</xdr:row>
                    <xdr:rowOff>152400</xdr:rowOff>
                  </from>
                  <to>
                    <xdr:col>15</xdr:col>
                    <xdr:colOff>257175</xdr:colOff>
                    <xdr:row>1</xdr:row>
                    <xdr:rowOff>200025</xdr:rowOff>
                  </to>
                </anchor>
              </controlPr>
            </control>
          </mc:Choice>
        </mc:AlternateContent>
        <mc:AlternateContent xmlns:mc="http://schemas.openxmlformats.org/markup-compatibility/2006">
          <mc:Choice Requires="x14">
            <control shapeId="53270" r:id="rId10" name="Option Button 22">
              <controlPr defaultSize="0" autoFill="0" autoLine="0" autoPict="0" macro="[0]!DoiDonViHienThi">
                <anchor moveWithCells="1">
                  <from>
                    <xdr:col>15</xdr:col>
                    <xdr:colOff>133350</xdr:colOff>
                    <xdr:row>0</xdr:row>
                    <xdr:rowOff>152400</xdr:rowOff>
                  </from>
                  <to>
                    <xdr:col>15</xdr:col>
                    <xdr:colOff>723900</xdr:colOff>
                    <xdr:row>1</xdr:row>
                    <xdr:rowOff>200025</xdr:rowOff>
                  </to>
                </anchor>
              </controlPr>
            </control>
          </mc:Choice>
        </mc:AlternateContent>
        <mc:AlternateContent xmlns:mc="http://schemas.openxmlformats.org/markup-compatibility/2006">
          <mc:Choice Requires="x14">
            <control shapeId="53271" r:id="rId11" name="Option Button 23">
              <controlPr defaultSize="0" autoFill="0" autoLine="0" autoPict="0" macro="[0]!DoiDonViHienThi">
                <anchor moveWithCells="1">
                  <from>
                    <xdr:col>15</xdr:col>
                    <xdr:colOff>609600</xdr:colOff>
                    <xdr:row>0</xdr:row>
                    <xdr:rowOff>152400</xdr:rowOff>
                  </from>
                  <to>
                    <xdr:col>15</xdr:col>
                    <xdr:colOff>962025</xdr:colOff>
                    <xdr:row>1</xdr:row>
                    <xdr:rowOff>200025</xdr:rowOff>
                  </to>
                </anchor>
              </controlPr>
            </control>
          </mc:Choice>
        </mc:AlternateContent>
        <mc:AlternateContent xmlns:mc="http://schemas.openxmlformats.org/markup-compatibility/2006">
          <mc:Choice Requires="x14">
            <control shapeId="53272" r:id="rId12" name="Group Box 24">
              <controlPr defaultSize="0" autoFill="0" autoPict="0">
                <anchor moveWithCells="1">
                  <from>
                    <xdr:col>13</xdr:col>
                    <xdr:colOff>704850</xdr:colOff>
                    <xdr:row>0</xdr:row>
                    <xdr:rowOff>104775</xdr:rowOff>
                  </from>
                  <to>
                    <xdr:col>16</xdr:col>
                    <xdr:colOff>57150</xdr:colOff>
                    <xdr:row>2</xdr:row>
                    <xdr:rowOff>9525</xdr:rowOff>
                  </to>
                </anchor>
              </controlPr>
            </control>
          </mc:Choice>
        </mc:AlternateContent>
        <mc:AlternateContent xmlns:mc="http://schemas.openxmlformats.org/markup-compatibility/2006">
          <mc:Choice Requires="x14">
            <control shapeId="53273" r:id="rId13" name="Group Box 25">
              <controlPr defaultSize="0" autoFill="0" autoPict="0">
                <anchor moveWithCells="1">
                  <from>
                    <xdr:col>12</xdr:col>
                    <xdr:colOff>57150</xdr:colOff>
                    <xdr:row>0</xdr:row>
                    <xdr:rowOff>104775</xdr:rowOff>
                  </from>
                  <to>
                    <xdr:col>13</xdr:col>
                    <xdr:colOff>657225</xdr:colOff>
                    <xdr:row>2</xdr:row>
                    <xdr:rowOff>9525</xdr:rowOff>
                  </to>
                </anchor>
              </controlPr>
            </control>
          </mc:Choice>
        </mc:AlternateContent>
        <mc:AlternateContent xmlns:mc="http://schemas.openxmlformats.org/markup-compatibility/2006">
          <mc:Choice Requires="x14">
            <control shapeId="53274" r:id="rId14" name="Button 26">
              <controlPr defaultSize="0" autoFill="0" autoPict="0" macro="[0]!NhanNghin">
                <anchor moveWithCells="1">
                  <from>
                    <xdr:col>12</xdr:col>
                    <xdr:colOff>142875</xdr:colOff>
                    <xdr:row>0</xdr:row>
                    <xdr:rowOff>200025</xdr:rowOff>
                  </from>
                  <to>
                    <xdr:col>12</xdr:col>
                    <xdr:colOff>609600</xdr:colOff>
                    <xdr:row>1</xdr:row>
                    <xdr:rowOff>142875</xdr:rowOff>
                  </to>
                </anchor>
              </controlPr>
            </control>
          </mc:Choice>
        </mc:AlternateContent>
        <mc:AlternateContent xmlns:mc="http://schemas.openxmlformats.org/markup-compatibility/2006">
          <mc:Choice Requires="x14">
            <control shapeId="53275" r:id="rId15" name="Button 27">
              <controlPr defaultSize="0" autoFill="0" autoPict="0" macro="[0]!NhanTrieu">
                <anchor moveWithCells="1">
                  <from>
                    <xdr:col>12</xdr:col>
                    <xdr:colOff>657225</xdr:colOff>
                    <xdr:row>0</xdr:row>
                    <xdr:rowOff>200025</xdr:rowOff>
                  </from>
                  <to>
                    <xdr:col>13</xdr:col>
                    <xdr:colOff>66675</xdr:colOff>
                    <xdr:row>1</xdr:row>
                    <xdr:rowOff>142875</xdr:rowOff>
                  </to>
                </anchor>
              </controlPr>
            </control>
          </mc:Choice>
        </mc:AlternateContent>
        <mc:AlternateContent xmlns:mc="http://schemas.openxmlformats.org/markup-compatibility/2006">
          <mc:Choice Requires="x14">
            <control shapeId="53276" r:id="rId16" name="Button 28">
              <controlPr defaultSize="0" autoFill="0" autoPict="0" macro="[0]!NhanTy">
                <anchor moveWithCells="1">
                  <from>
                    <xdr:col>13</xdr:col>
                    <xdr:colOff>114300</xdr:colOff>
                    <xdr:row>0</xdr:row>
                    <xdr:rowOff>200025</xdr:rowOff>
                  </from>
                  <to>
                    <xdr:col>13</xdr:col>
                    <xdr:colOff>581025</xdr:colOff>
                    <xdr:row>1</xdr:row>
                    <xdr:rowOff>142875</xdr:rowOff>
                  </to>
                </anchor>
              </controlPr>
            </control>
          </mc:Choice>
        </mc:AlternateContent>
        <mc:AlternateContent xmlns:mc="http://schemas.openxmlformats.org/markup-compatibility/2006">
          <mc:Choice Requires="x14">
            <control shapeId="53277" r:id="rId17" name="Button 29">
              <controlPr defaultSize="0" print="0" autoFill="0" autoPict="0" macro="[0]!AddRow">
                <anchor moveWithCells="1">
                  <from>
                    <xdr:col>11</xdr:col>
                    <xdr:colOff>47625</xdr:colOff>
                    <xdr:row>20</xdr:row>
                    <xdr:rowOff>104775</xdr:rowOff>
                  </from>
                  <to>
                    <xdr:col>11</xdr:col>
                    <xdr:colOff>523875</xdr:colOff>
                    <xdr:row>21</xdr:row>
                    <xdr:rowOff>133350</xdr:rowOff>
                  </to>
                </anchor>
              </controlPr>
            </control>
          </mc:Choice>
        </mc:AlternateContent>
        <mc:AlternateContent xmlns:mc="http://schemas.openxmlformats.org/markup-compatibility/2006">
          <mc:Choice Requires="x14">
            <control shapeId="53278" r:id="rId18" name="Button 30">
              <controlPr defaultSize="0" print="0" autoFill="0" autoPict="0" macro="[0]!DeleteRow">
                <anchor moveWithCells="1">
                  <from>
                    <xdr:col>11</xdr:col>
                    <xdr:colOff>561975</xdr:colOff>
                    <xdr:row>20</xdr:row>
                    <xdr:rowOff>104775</xdr:rowOff>
                  </from>
                  <to>
                    <xdr:col>11</xdr:col>
                    <xdr:colOff>1038225</xdr:colOff>
                    <xdr:row>21</xdr:row>
                    <xdr:rowOff>133350</xdr:rowOff>
                  </to>
                </anchor>
              </controlPr>
            </control>
          </mc:Choice>
        </mc:AlternateContent>
        <mc:AlternateContent xmlns:mc="http://schemas.openxmlformats.org/markup-compatibility/2006">
          <mc:Choice Requires="x14">
            <control shapeId="53279" r:id="rId19" name="Button 31">
              <controlPr defaultSize="0" print="0" autoFill="0" autoPict="0" macro="[0]!AddRow">
                <anchor moveWithCells="1">
                  <from>
                    <xdr:col>25</xdr:col>
                    <xdr:colOff>628650</xdr:colOff>
                    <xdr:row>20</xdr:row>
                    <xdr:rowOff>161925</xdr:rowOff>
                  </from>
                  <to>
                    <xdr:col>26</xdr:col>
                    <xdr:colOff>276225</xdr:colOff>
                    <xdr:row>21</xdr:row>
                    <xdr:rowOff>190500</xdr:rowOff>
                  </to>
                </anchor>
              </controlPr>
            </control>
          </mc:Choice>
        </mc:AlternateContent>
        <mc:AlternateContent xmlns:mc="http://schemas.openxmlformats.org/markup-compatibility/2006">
          <mc:Choice Requires="x14">
            <control shapeId="53280" r:id="rId20" name="Button 32">
              <controlPr defaultSize="0" print="0" autoFill="0" autoPict="0" macro="[0]!DeleteRow">
                <anchor moveWithCells="1">
                  <from>
                    <xdr:col>26</xdr:col>
                    <xdr:colOff>314325</xdr:colOff>
                    <xdr:row>20</xdr:row>
                    <xdr:rowOff>161925</xdr:rowOff>
                  </from>
                  <to>
                    <xdr:col>26</xdr:col>
                    <xdr:colOff>790575</xdr:colOff>
                    <xdr:row>21</xdr:row>
                    <xdr:rowOff>190500</xdr:rowOff>
                  </to>
                </anchor>
              </controlPr>
            </control>
          </mc:Choice>
        </mc:AlternateContent>
        <mc:AlternateContent xmlns:mc="http://schemas.openxmlformats.org/markup-compatibility/2006">
          <mc:Choice Requires="x14">
            <control shapeId="53281" r:id="rId21" name="Button 33">
              <controlPr defaultSize="0" print="0" autoFill="0" autoPict="0" macro="[0]!AddRow">
                <anchor moveWithCells="1">
                  <from>
                    <xdr:col>31</xdr:col>
                    <xdr:colOff>114300</xdr:colOff>
                    <xdr:row>18</xdr:row>
                    <xdr:rowOff>171450</xdr:rowOff>
                  </from>
                  <to>
                    <xdr:col>33</xdr:col>
                    <xdr:colOff>38100</xdr:colOff>
                    <xdr:row>19</xdr:row>
                    <xdr:rowOff>200025</xdr:rowOff>
                  </to>
                </anchor>
              </controlPr>
            </control>
          </mc:Choice>
        </mc:AlternateContent>
        <mc:AlternateContent xmlns:mc="http://schemas.openxmlformats.org/markup-compatibility/2006">
          <mc:Choice Requires="x14">
            <control shapeId="53282" r:id="rId22" name="Button 34">
              <controlPr defaultSize="0" print="0" autoFill="0" autoPict="0" macro="[0]!DeleteRow">
                <anchor moveWithCells="1">
                  <from>
                    <xdr:col>33</xdr:col>
                    <xdr:colOff>76200</xdr:colOff>
                    <xdr:row>18</xdr:row>
                    <xdr:rowOff>171450</xdr:rowOff>
                  </from>
                  <to>
                    <xdr:col>34</xdr:col>
                    <xdr:colOff>95250</xdr:colOff>
                    <xdr:row>19</xdr:row>
                    <xdr:rowOff>200025</xdr:rowOff>
                  </to>
                </anchor>
              </controlPr>
            </control>
          </mc:Choice>
        </mc:AlternateContent>
      </controls>
    </mc:Choice>
  </mc:AlternateContent>
  <tableParts count="4">
    <tablePart r:id="rId23"/>
    <tablePart r:id="rId24"/>
    <tablePart r:id="rId25"/>
    <tablePart r:id="rId26"/>
  </tableParts>
  <extLst>
    <ext xmlns:x14="http://schemas.microsoft.com/office/spreadsheetml/2009/9/main" uri="{78C0D931-6437-407d-A8EE-F0AAD7539E65}">
      <x14:conditionalFormattings>
        <x14:conditionalFormatting xmlns:xm="http://schemas.microsoft.com/office/excel/2006/main">
          <x14:cfRule type="expression" priority="4" id="{42BC291F-022E-461D-935C-1310A28B6F2A}">
            <xm:f>Security!$A$1="NO VBA"</xm:f>
            <x14:dxf>
              <font>
                <color theme="0"/>
              </font>
              <border>
                <vertical/>
                <horizontal/>
              </border>
            </x14:dxf>
          </x14:cfRule>
          <xm:sqref>L2 Q2:T2 W2:AA2 AD2:AJ2 L23:T23 V23:AA23 L21:M21 O21:XFD21 L3:AJ3 AL2:XFD3 AC23:AF23 L24:AF1048576 AG23:XFD1048576 A1:XFD1 A22:XFD22 A4:XFD20</xm:sqref>
        </x14:conditionalFormatting>
        <x14:conditionalFormatting xmlns:xm="http://schemas.microsoft.com/office/excel/2006/main">
          <x14:cfRule type="expression" priority="3" id="{63193F11-22C5-4531-89EE-3BC0F3127578}">
            <xm:f>Security!$A$1="NO VBA"</xm:f>
            <x14:dxf>
              <font>
                <color theme="0"/>
              </font>
              <border>
                <vertical/>
                <horizontal/>
              </border>
            </x14:dxf>
          </x14:cfRule>
          <xm:sqref>U23</xm:sqref>
        </x14:conditionalFormatting>
        <x14:conditionalFormatting xmlns:xm="http://schemas.microsoft.com/office/excel/2006/main">
          <x14:cfRule type="expression" priority="2" id="{ECF3F244-C278-4E32-B5E7-38872E82A08B}">
            <xm:f>Security!$A$1="NO VBA"</xm:f>
            <x14:dxf>
              <font>
                <color theme="0"/>
              </font>
              <border>
                <vertical/>
                <horizontal/>
              </border>
            </x14:dxf>
          </x14:cfRule>
          <xm:sqref>AB23</xm:sqref>
        </x14:conditionalFormatting>
        <x14:conditionalFormatting xmlns:xm="http://schemas.microsoft.com/office/excel/2006/main">
          <x14:cfRule type="expression" priority="1" id="{25628A2B-664C-4689-9DFA-57A0C85DAEEA}">
            <xm:f>Security!$A$1="NO VBA"</xm:f>
            <x14:dxf>
              <font>
                <color theme="0"/>
              </font>
              <border>
                <vertical/>
                <horizontal/>
              </border>
            </x14:dxf>
          </x14:cfRule>
          <xm:sqref>N21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outlinePr summaryRight="0"/>
  </sheetPr>
  <dimension ref="A1:I54"/>
  <sheetViews>
    <sheetView showGridLines="0" topLeftCell="A13" zoomScaleNormal="100" workbookViewId="0">
      <selection activeCell="C16" sqref="C16"/>
    </sheetView>
  </sheetViews>
  <sheetFormatPr defaultRowHeight="17.25" outlineLevelRow="1" outlineLevelCol="1" x14ac:dyDescent="0.3"/>
  <cols>
    <col min="1" max="1" width="12.25" style="343" customWidth="1"/>
    <col min="2" max="2" width="20" style="21" customWidth="1"/>
    <col min="3" max="3" width="12.625" style="1" customWidth="1"/>
    <col min="4" max="7" width="11.75" style="38" customWidth="1" outlineLevel="1"/>
    <col min="8" max="8" width="11.375" style="38" bestFit="1" customWidth="1"/>
    <col min="9" max="9" width="12.625" style="1" customWidth="1"/>
    <col min="10" max="16384" width="9" style="1"/>
  </cols>
  <sheetData>
    <row r="1" spans="1:8" s="7" customFormat="1" ht="17.25" customHeight="1" x14ac:dyDescent="0.3">
      <c r="A1" s="21"/>
      <c r="B1" s="46">
        <v>1</v>
      </c>
      <c r="C1" s="10" t="s">
        <v>1</v>
      </c>
      <c r="D1" s="399"/>
      <c r="E1" s="399">
        <v>45717</v>
      </c>
      <c r="F1" s="399">
        <v>45748</v>
      </c>
      <c r="G1" s="399">
        <v>45778</v>
      </c>
      <c r="H1" s="399"/>
    </row>
    <row r="2" spans="1:8" s="7" customFormat="1" ht="17.25" customHeight="1" x14ac:dyDescent="0.3">
      <c r="A2" s="21"/>
      <c r="B2" s="46">
        <v>2</v>
      </c>
      <c r="C2" s="10" t="s">
        <v>548</v>
      </c>
      <c r="D2" s="397">
        <f>+SUMIF(D$6:D$1048576,"&gt;0",D$6:D$1048576)</f>
        <v>0</v>
      </c>
      <c r="E2" s="397">
        <f>+SUMIF(E$5:E$1048576,"&gt;0",E$5:E$1048576)</f>
        <v>700000</v>
      </c>
      <c r="F2" s="397">
        <f>+SUMIF(F$5:F$1048576,"&gt;0",F$5:F$1048576)</f>
        <v>700000</v>
      </c>
      <c r="G2" s="397">
        <f>+SUMIF(G$5:G$1048576,"&gt;0",G$5:G$1048576)</f>
        <v>700000</v>
      </c>
      <c r="H2" s="397">
        <f>+SUMIF(H$5:H$1048576,"&gt;0",H$5:H$1048576)</f>
        <v>0</v>
      </c>
    </row>
    <row r="3" spans="1:8" s="21" customFormat="1" ht="17.25" customHeight="1" x14ac:dyDescent="0.3">
      <c r="B3" s="46">
        <v>3</v>
      </c>
      <c r="C3" s="9" t="s">
        <v>549</v>
      </c>
      <c r="D3" s="400"/>
      <c r="E3" s="400"/>
      <c r="F3" s="400"/>
      <c r="G3" s="400"/>
      <c r="H3" s="400"/>
    </row>
    <row r="4" spans="1:8" s="7" customFormat="1" ht="17.25" customHeight="1" x14ac:dyDescent="0.3">
      <c r="A4" s="21"/>
      <c r="B4" s="46">
        <v>4</v>
      </c>
      <c r="C4" s="10" t="s">
        <v>550</v>
      </c>
      <c r="D4" s="397">
        <f>-SUMIF(D$6:D$1048576,"&lt;0",D$6:D$1048576)</f>
        <v>0</v>
      </c>
      <c r="E4" s="397">
        <f>-SUMIF(E$5:E$1048576,"&lt;0",E$5:E$1048576)</f>
        <v>0</v>
      </c>
      <c r="F4" s="397">
        <f>-SUMIF(F$5:F$1048576,"&lt;0",F$5:F$1048576)</f>
        <v>500000</v>
      </c>
      <c r="G4" s="397">
        <f>-SUMIF(G$5:G$1048576,"&lt;0",G$5:G$1048576)</f>
        <v>800000</v>
      </c>
      <c r="H4" s="397">
        <f>-SUMIF(H$5:H$1048576,"&lt;0",H$5:H$1048576)</f>
        <v>0</v>
      </c>
    </row>
    <row r="5" spans="1:8" s="21" customFormat="1" ht="17.25" customHeight="1" x14ac:dyDescent="0.3">
      <c r="B5" s="46">
        <v>5</v>
      </c>
      <c r="C5" s="9" t="s">
        <v>549</v>
      </c>
      <c r="D5" s="34"/>
      <c r="E5" s="400"/>
      <c r="F5" s="400"/>
      <c r="G5" s="400"/>
      <c r="H5" s="400"/>
    </row>
    <row r="6" spans="1:8" s="21" customFormat="1" ht="17.25" customHeight="1" outlineLevel="1" x14ac:dyDescent="0.3">
      <c r="B6" s="46"/>
      <c r="C6" s="9"/>
      <c r="D6" s="34"/>
      <c r="E6" s="400"/>
      <c r="F6" s="400"/>
      <c r="G6" s="400"/>
      <c r="H6" s="400"/>
    </row>
    <row r="7" spans="1:8" s="21" customFormat="1" ht="17.25" customHeight="1" outlineLevel="1" x14ac:dyDescent="0.3">
      <c r="B7" s="46"/>
      <c r="C7" s="9"/>
      <c r="D7" s="34"/>
      <c r="E7" s="400"/>
      <c r="F7" s="400"/>
      <c r="G7" s="400"/>
      <c r="H7" s="400"/>
    </row>
    <row r="8" spans="1:8" s="21" customFormat="1" ht="17.25" customHeight="1" outlineLevel="1" x14ac:dyDescent="0.3">
      <c r="B8" s="46"/>
      <c r="C8" s="9"/>
      <c r="D8" s="34"/>
      <c r="E8" s="400"/>
      <c r="F8" s="400"/>
      <c r="G8" s="400"/>
      <c r="H8" s="400"/>
    </row>
    <row r="9" spans="1:8" s="21" customFormat="1" ht="17.25" customHeight="1" outlineLevel="1" x14ac:dyDescent="0.3">
      <c r="B9" s="46"/>
      <c r="C9" s="9"/>
      <c r="D9" s="34"/>
      <c r="E9" s="400"/>
      <c r="F9" s="400"/>
      <c r="G9" s="400"/>
      <c r="H9" s="400"/>
    </row>
    <row r="10" spans="1:8" s="21" customFormat="1" ht="17.25" customHeight="1" outlineLevel="1" x14ac:dyDescent="0.3">
      <c r="B10" s="46"/>
      <c r="C10" s="9"/>
      <c r="D10" s="34"/>
      <c r="E10" s="400"/>
      <c r="F10" s="400"/>
      <c r="G10" s="400"/>
      <c r="H10" s="400"/>
    </row>
    <row r="11" spans="1:8" s="21" customFormat="1" ht="17.25" customHeight="1" outlineLevel="1" x14ac:dyDescent="0.3">
      <c r="B11" s="46"/>
      <c r="C11" s="9"/>
      <c r="D11" s="34"/>
      <c r="E11" s="400"/>
      <c r="F11" s="400"/>
      <c r="G11" s="400"/>
      <c r="H11" s="400"/>
    </row>
    <row r="12" spans="1:8" s="21" customFormat="1" ht="17.25" customHeight="1" outlineLevel="1" x14ac:dyDescent="0.3">
      <c r="B12" s="46"/>
      <c r="C12" s="9"/>
      <c r="D12" s="34"/>
      <c r="E12" s="400"/>
      <c r="F12" s="400"/>
      <c r="G12" s="400"/>
      <c r="H12" s="400"/>
    </row>
    <row r="13" spans="1:8" s="21" customFormat="1" ht="17.25" customHeight="1" outlineLevel="1" x14ac:dyDescent="0.3">
      <c r="B13" s="46"/>
      <c r="C13" s="9"/>
      <c r="D13" s="34"/>
      <c r="E13" s="400"/>
      <c r="F13" s="400"/>
      <c r="G13" s="400"/>
      <c r="H13" s="400"/>
    </row>
    <row r="14" spans="1:8" s="21" customFormat="1" ht="17.25" customHeight="1" outlineLevel="1" x14ac:dyDescent="0.3">
      <c r="B14" s="46"/>
      <c r="C14" s="9"/>
      <c r="D14" s="34"/>
      <c r="E14" s="400"/>
      <c r="F14" s="400"/>
      <c r="G14" s="400"/>
      <c r="H14" s="400"/>
    </row>
    <row r="15" spans="1:8" s="21" customFormat="1" ht="17.25" customHeight="1" outlineLevel="1" x14ac:dyDescent="0.3">
      <c r="B15" s="46"/>
      <c r="C15" s="9"/>
      <c r="D15" s="34"/>
      <c r="E15" s="400"/>
      <c r="F15" s="400"/>
      <c r="G15" s="400"/>
      <c r="H15" s="400"/>
    </row>
    <row r="16" spans="1:8" s="21" customFormat="1" ht="17.25" customHeight="1" outlineLevel="1" x14ac:dyDescent="0.3">
      <c r="B16" s="46"/>
      <c r="C16" s="9"/>
      <c r="D16" s="34"/>
      <c r="E16" s="400"/>
      <c r="F16" s="400"/>
      <c r="G16" s="400"/>
      <c r="H16" s="400"/>
    </row>
    <row r="17" spans="1:9" s="21" customFormat="1" ht="17.25" customHeight="1" outlineLevel="1" x14ac:dyDescent="0.3">
      <c r="B17" s="46"/>
      <c r="C17" s="9"/>
      <c r="D17" s="34"/>
      <c r="E17" s="400"/>
      <c r="F17" s="400"/>
      <c r="G17" s="400"/>
      <c r="H17" s="400"/>
    </row>
    <row r="18" spans="1:9" s="21" customFormat="1" ht="17.25" customHeight="1" outlineLevel="1" x14ac:dyDescent="0.3">
      <c r="B18" s="46"/>
      <c r="C18" s="9"/>
      <c r="D18" s="34"/>
      <c r="E18" s="400"/>
      <c r="F18" s="400"/>
      <c r="G18" s="400"/>
      <c r="H18" s="400"/>
    </row>
    <row r="19" spans="1:9" s="21" customFormat="1" ht="17.25" customHeight="1" outlineLevel="1" x14ac:dyDescent="0.3">
      <c r="B19" s="46"/>
      <c r="C19" s="9"/>
      <c r="D19" s="34"/>
      <c r="E19" s="400"/>
      <c r="F19" s="400"/>
      <c r="G19" s="400"/>
      <c r="H19" s="400"/>
    </row>
    <row r="20" spans="1:9" s="21" customFormat="1" ht="17.25" customHeight="1" outlineLevel="1" x14ac:dyDescent="0.3">
      <c r="B20" s="46"/>
      <c r="C20" s="9"/>
      <c r="D20" s="34"/>
      <c r="E20" s="400"/>
      <c r="F20" s="400"/>
      <c r="G20" s="400"/>
      <c r="H20" s="400"/>
    </row>
    <row r="21" spans="1:9" s="21" customFormat="1" ht="17.25" customHeight="1" outlineLevel="1" x14ac:dyDescent="0.3">
      <c r="B21" s="46"/>
      <c r="C21" s="9"/>
      <c r="D21" s="34"/>
      <c r="E21" s="400"/>
      <c r="F21" s="400"/>
      <c r="G21" s="400"/>
      <c r="H21" s="400"/>
    </row>
    <row r="22" spans="1:9" s="21" customFormat="1" ht="17.25" customHeight="1" outlineLevel="1" x14ac:dyDescent="0.3">
      <c r="B22" s="46"/>
      <c r="C22" s="9"/>
      <c r="D22" s="34"/>
      <c r="E22" s="400"/>
      <c r="F22" s="400"/>
      <c r="G22" s="400"/>
      <c r="H22" s="400"/>
    </row>
    <row r="23" spans="1:9" ht="17.25" customHeight="1" x14ac:dyDescent="0.3">
      <c r="C23" s="19" t="s">
        <v>551</v>
      </c>
      <c r="D23" s="20" t="s">
        <v>552</v>
      </c>
      <c r="E23" s="20" t="s">
        <v>1222</v>
      </c>
      <c r="F23" s="20" t="s">
        <v>1223</v>
      </c>
      <c r="G23" s="20" t="s">
        <v>1224</v>
      </c>
      <c r="H23" s="20" t="s">
        <v>873</v>
      </c>
    </row>
    <row r="24" spans="1:9" s="5" customFormat="1" x14ac:dyDescent="0.3">
      <c r="A24" s="344"/>
      <c r="B24" s="21" t="str" cm="1">
        <f t="array" ref="B24:B26">_xlfn._xlws.SORT(Table_KhachHang[Mã KH])</f>
        <v>KH1</v>
      </c>
      <c r="C24" s="21" t="s">
        <v>1195</v>
      </c>
      <c r="D24" s="538"/>
      <c r="E24" s="17" cm="1">
        <f t="array" ref="E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300000</v>
      </c>
      <c r="F24" s="17" cm="1">
        <f t="array" ref="F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400000</v>
      </c>
      <c r="G24" s="17" cm="1">
        <f t="array" ref="G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400000</v>
      </c>
      <c r="H24" s="17" cm="1">
        <f t="array" ref="H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row>
    <row r="25" spans="1:9" s="5" customFormat="1" x14ac:dyDescent="0.3">
      <c r="A25" s="344"/>
      <c r="B25" s="21" t="str">
        <v>KH2</v>
      </c>
      <c r="C25" s="21" t="s">
        <v>1196</v>
      </c>
      <c r="D25" s="538"/>
      <c r="E25" s="17" cm="1">
        <f t="array" ref="E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400000</v>
      </c>
      <c r="F25" s="17" cm="1">
        <f t="array" ref="F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300000</v>
      </c>
      <c r="G25" s="17" cm="1">
        <f t="array" ref="G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300000</v>
      </c>
      <c r="H25" s="17" cm="1">
        <f t="array" ref="H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5" s="1"/>
    </row>
    <row r="26" spans="1:9" s="5" customFormat="1" x14ac:dyDescent="0.3">
      <c r="A26" s="344"/>
      <c r="B26" s="21" t="str">
        <v>KH3</v>
      </c>
      <c r="C26" s="21" t="s">
        <v>1197</v>
      </c>
      <c r="D26" s="396"/>
      <c r="E26" s="17" cm="1">
        <f t="array" ref="E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0</v>
      </c>
      <c r="F26" s="17" cm="1">
        <f t="array" ref="F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-500000</v>
      </c>
      <c r="G26" s="17" cm="1">
        <f t="array" ref="G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-800000</v>
      </c>
      <c r="H26" s="17" cm="1">
        <f t="array" ref="H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6" s="1"/>
    </row>
    <row r="27" spans="1:9" s="5" customFormat="1" x14ac:dyDescent="0.3">
      <c r="A27" s="344"/>
      <c r="B27" s="21"/>
      <c r="C27" s="1"/>
      <c r="D27" s="38"/>
      <c r="E27" s="38"/>
      <c r="F27" s="38"/>
      <c r="G27" s="38"/>
      <c r="H27" s="38"/>
      <c r="I27" s="38"/>
    </row>
    <row r="28" spans="1:9" s="5" customFormat="1" x14ac:dyDescent="0.3">
      <c r="A28" s="344"/>
      <c r="B28" s="21"/>
      <c r="C28" s="1"/>
      <c r="D28" s="38"/>
      <c r="E28" s="38"/>
      <c r="F28" s="38"/>
      <c r="G28" s="38"/>
      <c r="H28" s="38"/>
      <c r="I28" s="1"/>
    </row>
    <row r="29" spans="1:9" s="5" customFormat="1" x14ac:dyDescent="0.3">
      <c r="A29" s="344"/>
      <c r="B29" s="21"/>
      <c r="C29" s="1"/>
      <c r="D29" s="38"/>
      <c r="E29" s="38"/>
      <c r="F29" s="38"/>
      <c r="G29" s="38"/>
      <c r="H29" s="38"/>
      <c r="I29" s="1"/>
    </row>
    <row r="30" spans="1:9" s="5" customFormat="1" x14ac:dyDescent="0.3">
      <c r="A30" s="344"/>
      <c r="B30" s="21"/>
      <c r="C30" s="1"/>
      <c r="D30" s="38"/>
      <c r="E30" s="38"/>
      <c r="F30" s="38"/>
      <c r="G30" s="38"/>
      <c r="H30" s="38"/>
      <c r="I30" s="1"/>
    </row>
    <row r="31" spans="1:9" s="5" customFormat="1" x14ac:dyDescent="0.3">
      <c r="A31" s="344"/>
      <c r="B31" s="21"/>
      <c r="C31" s="1"/>
      <c r="D31" s="38"/>
      <c r="E31" s="38"/>
      <c r="F31" s="38"/>
      <c r="G31" s="38"/>
      <c r="H31" s="38"/>
      <c r="I31" s="1"/>
    </row>
    <row r="32" spans="1:9" s="5" customFormat="1" x14ac:dyDescent="0.3">
      <c r="A32" s="344"/>
      <c r="B32" s="21"/>
      <c r="C32" s="1"/>
      <c r="D32" s="38"/>
      <c r="E32" s="38"/>
      <c r="F32" s="38"/>
      <c r="G32" s="38"/>
      <c r="H32" s="38"/>
      <c r="I32" s="1"/>
    </row>
    <row r="33" spans="1:9" s="5" customFormat="1" x14ac:dyDescent="0.3">
      <c r="A33" s="344"/>
      <c r="B33" s="21"/>
      <c r="C33" s="1"/>
      <c r="D33" s="38"/>
      <c r="E33" s="38"/>
      <c r="F33" s="38"/>
      <c r="G33" s="38"/>
      <c r="H33" s="38"/>
      <c r="I33" s="1"/>
    </row>
    <row r="35" spans="1:9" s="5" customFormat="1" x14ac:dyDescent="0.3">
      <c r="A35" s="344"/>
      <c r="B35" s="21"/>
      <c r="C35" s="1"/>
      <c r="D35" s="38"/>
      <c r="E35" s="38"/>
      <c r="F35" s="38"/>
      <c r="G35" s="38"/>
      <c r="H35" s="38"/>
      <c r="I35" s="1"/>
    </row>
    <row r="36" spans="1:9" s="5" customFormat="1" x14ac:dyDescent="0.3">
      <c r="A36" s="344"/>
      <c r="B36" s="21"/>
      <c r="C36" s="1"/>
      <c r="D36" s="38"/>
      <c r="E36" s="38"/>
      <c r="F36" s="38"/>
      <c r="G36" s="38"/>
      <c r="H36" s="38"/>
      <c r="I36" s="1"/>
    </row>
    <row r="37" spans="1:9" s="5" customFormat="1" x14ac:dyDescent="0.3">
      <c r="A37" s="344"/>
      <c r="B37" s="21"/>
      <c r="C37" s="1"/>
      <c r="D37" s="38"/>
      <c r="E37" s="38"/>
      <c r="F37" s="38"/>
      <c r="G37" s="38"/>
      <c r="H37" s="38"/>
      <c r="I37" s="1"/>
    </row>
    <row r="38" spans="1:9" s="5" customFormat="1" x14ac:dyDescent="0.3">
      <c r="A38" s="344"/>
      <c r="B38" s="21"/>
      <c r="C38" s="1"/>
      <c r="D38" s="38"/>
      <c r="E38" s="38"/>
      <c r="F38" s="38"/>
      <c r="G38" s="38"/>
      <c r="H38" s="38"/>
      <c r="I38" s="1"/>
    </row>
    <row r="39" spans="1:9" s="5" customFormat="1" x14ac:dyDescent="0.3">
      <c r="A39" s="344"/>
      <c r="B39" s="21"/>
      <c r="C39" s="1"/>
      <c r="D39" s="38"/>
      <c r="E39" s="38"/>
      <c r="F39" s="38"/>
      <c r="G39" s="38"/>
      <c r="H39" s="38"/>
      <c r="I39" s="1"/>
    </row>
    <row r="40" spans="1:9" s="5" customFormat="1" x14ac:dyDescent="0.3">
      <c r="A40" s="344"/>
      <c r="B40" s="21"/>
      <c r="C40" s="1"/>
      <c r="D40" s="38"/>
      <c r="E40" s="38"/>
      <c r="F40" s="38"/>
      <c r="G40" s="38"/>
      <c r="H40" s="38"/>
      <c r="I40" s="1"/>
    </row>
    <row r="41" spans="1:9" s="5" customFormat="1" x14ac:dyDescent="0.3">
      <c r="A41" s="344"/>
      <c r="B41" s="21"/>
      <c r="C41" s="1"/>
      <c r="D41" s="38"/>
      <c r="E41" s="38"/>
      <c r="F41" s="38"/>
      <c r="G41" s="38"/>
      <c r="H41" s="38"/>
      <c r="I41" s="1"/>
    </row>
    <row r="43" spans="1:9" s="6" customFormat="1" x14ac:dyDescent="0.3">
      <c r="A43" s="345"/>
      <c r="B43" s="21"/>
      <c r="C43" s="1"/>
      <c r="D43" s="38"/>
      <c r="E43" s="38"/>
      <c r="F43" s="38"/>
      <c r="G43" s="38"/>
      <c r="H43" s="38"/>
      <c r="I43" s="1"/>
    </row>
    <row r="44" spans="1:9" s="5" customFormat="1" x14ac:dyDescent="0.3">
      <c r="A44" s="344"/>
      <c r="B44" s="21"/>
      <c r="C44" s="1"/>
      <c r="D44" s="38"/>
      <c r="E44" s="38"/>
      <c r="F44" s="38"/>
      <c r="G44" s="38"/>
      <c r="H44" s="38"/>
      <c r="I44" s="1"/>
    </row>
    <row r="45" spans="1:9" s="5" customFormat="1" x14ac:dyDescent="0.3">
      <c r="A45" s="344"/>
      <c r="B45" s="21"/>
      <c r="C45" s="1"/>
      <c r="D45" s="38"/>
      <c r="E45" s="38"/>
      <c r="F45" s="38"/>
      <c r="G45" s="38"/>
      <c r="H45" s="38"/>
      <c r="I45" s="1"/>
    </row>
    <row r="46" spans="1:9" s="5" customFormat="1" x14ac:dyDescent="0.3">
      <c r="A46" s="344"/>
      <c r="B46" s="21"/>
      <c r="C46" s="1"/>
      <c r="D46" s="38"/>
      <c r="E46" s="38"/>
      <c r="F46" s="38"/>
      <c r="G46" s="38"/>
      <c r="H46" s="38"/>
      <c r="I46" s="1"/>
    </row>
    <row r="47" spans="1:9" s="5" customFormat="1" x14ac:dyDescent="0.3">
      <c r="A47" s="344"/>
      <c r="B47" s="21"/>
      <c r="C47" s="1"/>
      <c r="D47" s="38"/>
      <c r="E47" s="38"/>
      <c r="F47" s="38"/>
      <c r="G47" s="38"/>
      <c r="H47" s="38"/>
      <c r="I47" s="1"/>
    </row>
    <row r="49" spans="1:9" s="6" customFormat="1" x14ac:dyDescent="0.3">
      <c r="A49" s="345"/>
      <c r="B49" s="21"/>
      <c r="C49" s="1"/>
      <c r="D49" s="38"/>
      <c r="E49" s="38"/>
      <c r="F49" s="38"/>
      <c r="G49" s="38"/>
      <c r="H49" s="38"/>
      <c r="I49" s="1"/>
    </row>
    <row r="51" spans="1:9" s="6" customFormat="1" x14ac:dyDescent="0.3">
      <c r="A51" s="345"/>
      <c r="B51" s="21"/>
      <c r="C51" s="1"/>
      <c r="D51" s="38"/>
      <c r="E51" s="38"/>
      <c r="F51" s="38"/>
      <c r="G51" s="38"/>
      <c r="H51" s="38"/>
      <c r="I51" s="1"/>
    </row>
    <row r="54" spans="1:9" s="2" customFormat="1" x14ac:dyDescent="0.3">
      <c r="A54" s="345"/>
      <c r="B54" s="21"/>
      <c r="C54" s="1"/>
      <c r="D54" s="38"/>
      <c r="E54" s="38"/>
      <c r="F54" s="38"/>
      <c r="G54" s="38"/>
      <c r="H54" s="38"/>
      <c r="I54" s="1"/>
    </row>
  </sheetData>
  <sheetProtection algorithmName="SHA-512" hashValue="HW9xF/Ik2hqoPqViEZfFzhEiv1SK0vlLV+Xla5BCT4YvrftA6195rpeEhpCDz/WMHOiQaaOCW0G4gMGLx4GkLg==" saltValue="VCxSg1c8+bcl1drYhixfKw==" spinCount="100000" sheet="1" scenarios="1" formatCells="0" formatColumns="0" formatRows="0" insertColumns="0" insertRows="0" deleteColumns="0" deleteRows="0" sort="0" autoFilter="0" pivotTables="0"/>
  <protectedRanges>
    <protectedRange sqref="J58:XFD1048576 I25:I1048576 J25:XFD53 B25:B1048576 I23:XFD24 J1:XFD22 H5:H22 D2:H4 C1:C1048576 D23:H25" name="Range1_69"/>
    <protectedRange sqref="J54:XFD57" name="Range1_4_13"/>
    <protectedRange sqref="H1" name="Range1_69_1"/>
  </protectedRanges>
  <dataConsolidate link="1"/>
  <phoneticPr fontId="14" type="noConversion"/>
  <conditionalFormatting sqref="C24:C26">
    <cfRule type="duplicateValues" dxfId="865" priority="809"/>
  </conditionalFormatting>
  <dataValidations count="1">
    <dataValidation type="list" errorStyle="warning" allowBlank="1" showInputMessage="1" sqref="C24:C26" xr:uid="{43B8D64C-72EB-4646-9AA7-931D5A35C97B}">
      <formula1>MaKhachHang</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9" r:id="rId4" name="Option Button 7">
              <controlPr defaultSize="0" autoFill="0" autoLine="0" autoPict="0" macro="[0]!DoiDonViHienThi">
                <anchor moveWithCells="1">
                  <from>
                    <xdr:col>0</xdr:col>
                    <xdr:colOff>561975</xdr:colOff>
                    <xdr:row>2</xdr:row>
                    <xdr:rowOff>171450</xdr:rowOff>
                  </from>
                  <to>
                    <xdr:col>1</xdr:col>
                    <xdr:colOff>219075</xdr:colOff>
                    <xdr:row>4</xdr:row>
                    <xdr:rowOff>9525</xdr:rowOff>
                  </to>
                </anchor>
              </controlPr>
            </control>
          </mc:Choice>
        </mc:AlternateContent>
        <mc:AlternateContent xmlns:mc="http://schemas.openxmlformats.org/markup-compatibility/2006">
          <mc:Choice Requires="x14">
            <control shapeId="54280" r:id="rId5" name="Option Button 8">
              <controlPr defaultSize="0" autoFill="0" autoLine="0" autoPict="0" macro="[0]!DoiDonViHienThi">
                <anchor moveWithCells="1">
                  <from>
                    <xdr:col>1</xdr:col>
                    <xdr:colOff>95250</xdr:colOff>
                    <xdr:row>2</xdr:row>
                    <xdr:rowOff>171450</xdr:rowOff>
                  </from>
                  <to>
                    <xdr:col>1</xdr:col>
                    <xdr:colOff>685800</xdr:colOff>
                    <xdr:row>4</xdr:row>
                    <xdr:rowOff>9525</xdr:rowOff>
                  </to>
                </anchor>
              </controlPr>
            </control>
          </mc:Choice>
        </mc:AlternateContent>
        <mc:AlternateContent xmlns:mc="http://schemas.openxmlformats.org/markup-compatibility/2006">
          <mc:Choice Requires="x14">
            <control shapeId="54281" r:id="rId6" name="Option Button 9">
              <controlPr defaultSize="0" autoFill="0" autoLine="0" autoPict="0" macro="[0]!DoiDonViHienThi">
                <anchor moveWithCells="1">
                  <from>
                    <xdr:col>1</xdr:col>
                    <xdr:colOff>561975</xdr:colOff>
                    <xdr:row>2</xdr:row>
                    <xdr:rowOff>171450</xdr:rowOff>
                  </from>
                  <to>
                    <xdr:col>1</xdr:col>
                    <xdr:colOff>1152525</xdr:colOff>
                    <xdr:row>4</xdr:row>
                    <xdr:rowOff>9525</xdr:rowOff>
                  </to>
                </anchor>
              </controlPr>
            </control>
          </mc:Choice>
        </mc:AlternateContent>
        <mc:AlternateContent xmlns:mc="http://schemas.openxmlformats.org/markup-compatibility/2006">
          <mc:Choice Requires="x14">
            <control shapeId="54282" r:id="rId7" name="Option Button 10">
              <controlPr defaultSize="0" autoFill="0" autoLine="0" autoPict="0" macro="[0]!DoiDonViHienThi">
                <anchor moveWithCells="1">
                  <from>
                    <xdr:col>1</xdr:col>
                    <xdr:colOff>1038225</xdr:colOff>
                    <xdr:row>2</xdr:row>
                    <xdr:rowOff>171450</xdr:rowOff>
                  </from>
                  <to>
                    <xdr:col>1</xdr:col>
                    <xdr:colOff>1390650</xdr:colOff>
                    <xdr:row>4</xdr:row>
                    <xdr:rowOff>9525</xdr:rowOff>
                  </to>
                </anchor>
              </controlPr>
            </control>
          </mc:Choice>
        </mc:AlternateContent>
        <mc:AlternateContent xmlns:mc="http://schemas.openxmlformats.org/markup-compatibility/2006">
          <mc:Choice Requires="x14">
            <control shapeId="54283" r:id="rId8" name="Group Box 11">
              <controlPr defaultSize="0" autoFill="0" autoPict="0">
                <anchor moveWithCells="1">
                  <from>
                    <xdr:col>0</xdr:col>
                    <xdr:colOff>447675</xdr:colOff>
                    <xdr:row>2</xdr:row>
                    <xdr:rowOff>123825</xdr:rowOff>
                  </from>
                  <to>
                    <xdr:col>1</xdr:col>
                    <xdr:colOff>1504950</xdr:colOff>
                    <xdr:row>4</xdr:row>
                    <xdr:rowOff>47625</xdr:rowOff>
                  </to>
                </anchor>
              </controlPr>
            </control>
          </mc:Choice>
        </mc:AlternateContent>
        <mc:AlternateContent xmlns:mc="http://schemas.openxmlformats.org/markup-compatibility/2006">
          <mc:Choice Requires="x14">
            <control shapeId="54284" r:id="rId9" name="Group Box 12">
              <controlPr defaultSize="0" autoFill="0" autoPict="0">
                <anchor moveWithCells="1">
                  <from>
                    <xdr:col>0</xdr:col>
                    <xdr:colOff>447675</xdr:colOff>
                    <xdr:row>0</xdr:row>
                    <xdr:rowOff>161925</xdr:rowOff>
                  </from>
                  <to>
                    <xdr:col>1</xdr:col>
                    <xdr:colOff>1171575</xdr:colOff>
                    <xdr:row>2</xdr:row>
                    <xdr:rowOff>85725</xdr:rowOff>
                  </to>
                </anchor>
              </controlPr>
            </control>
          </mc:Choice>
        </mc:AlternateContent>
        <mc:AlternateContent xmlns:mc="http://schemas.openxmlformats.org/markup-compatibility/2006">
          <mc:Choice Requires="x14">
            <control shapeId="54285" r:id="rId10" name="Button 13">
              <controlPr defaultSize="0" autoFill="0" autoPict="0" macro="[0]!NhanNghin">
                <anchor moveWithCells="1">
                  <from>
                    <xdr:col>0</xdr:col>
                    <xdr:colOff>533400</xdr:colOff>
                    <xdr:row>1</xdr:row>
                    <xdr:rowOff>38100</xdr:rowOff>
                  </from>
                  <to>
                    <xdr:col>1</xdr:col>
                    <xdr:colOff>66675</xdr:colOff>
                    <xdr:row>1</xdr:row>
                    <xdr:rowOff>209550</xdr:rowOff>
                  </to>
                </anchor>
              </controlPr>
            </control>
          </mc:Choice>
        </mc:AlternateContent>
        <mc:AlternateContent xmlns:mc="http://schemas.openxmlformats.org/markup-compatibility/2006">
          <mc:Choice Requires="x14">
            <control shapeId="54286" r:id="rId11" name="Button 14">
              <controlPr defaultSize="0" autoFill="0" autoPict="0" macro="[0]!NhanTrieu">
                <anchor moveWithCells="1">
                  <from>
                    <xdr:col>1</xdr:col>
                    <xdr:colOff>114300</xdr:colOff>
                    <xdr:row>1</xdr:row>
                    <xdr:rowOff>38100</xdr:rowOff>
                  </from>
                  <to>
                    <xdr:col>1</xdr:col>
                    <xdr:colOff>581025</xdr:colOff>
                    <xdr:row>1</xdr:row>
                    <xdr:rowOff>209550</xdr:rowOff>
                  </to>
                </anchor>
              </controlPr>
            </control>
          </mc:Choice>
        </mc:AlternateContent>
        <mc:AlternateContent xmlns:mc="http://schemas.openxmlformats.org/markup-compatibility/2006">
          <mc:Choice Requires="x14">
            <control shapeId="54287" r:id="rId12" name="Button 15">
              <controlPr defaultSize="0" autoFill="0" autoPict="0" macro="[0]!NhanTy">
                <anchor moveWithCells="1">
                  <from>
                    <xdr:col>1</xdr:col>
                    <xdr:colOff>628650</xdr:colOff>
                    <xdr:row>1</xdr:row>
                    <xdr:rowOff>38100</xdr:rowOff>
                  </from>
                  <to>
                    <xdr:col>1</xdr:col>
                    <xdr:colOff>1095375</xdr:colOff>
                    <xdr:row>1</xdr:row>
                    <xdr:rowOff>209550</xdr:rowOff>
                  </to>
                </anchor>
              </controlPr>
            </control>
          </mc:Choice>
        </mc:AlternateContent>
        <mc:AlternateContent xmlns:mc="http://schemas.openxmlformats.org/markup-compatibility/2006">
          <mc:Choice Requires="x14">
            <control shapeId="54288" r:id="rId13" name="Button 16">
              <controlPr defaultSize="0" print="0" autoFill="0" autoPict="0" macro="[0]!AddRow">
                <anchor moveWithCells="1">
                  <from>
                    <xdr:col>1</xdr:col>
                    <xdr:colOff>304800</xdr:colOff>
                    <xdr:row>22</xdr:row>
                    <xdr:rowOff>66675</xdr:rowOff>
                  </from>
                  <to>
                    <xdr:col>1</xdr:col>
                    <xdr:colOff>781050</xdr:colOff>
                    <xdr:row>23</xdr:row>
                    <xdr:rowOff>104775</xdr:rowOff>
                  </to>
                </anchor>
              </controlPr>
            </control>
          </mc:Choice>
        </mc:AlternateContent>
        <mc:AlternateContent xmlns:mc="http://schemas.openxmlformats.org/markup-compatibility/2006">
          <mc:Choice Requires="x14">
            <control shapeId="54289" r:id="rId14" name="Button 17">
              <controlPr defaultSize="0" print="0" autoFill="0" autoPict="0" macro="[0]!DeleteRow">
                <anchor moveWithCells="1">
                  <from>
                    <xdr:col>1</xdr:col>
                    <xdr:colOff>819150</xdr:colOff>
                    <xdr:row>22</xdr:row>
                    <xdr:rowOff>66675</xdr:rowOff>
                  </from>
                  <to>
                    <xdr:col>1</xdr:col>
                    <xdr:colOff>1295400</xdr:colOff>
                    <xdr:row>23</xdr:row>
                    <xdr:rowOff>104775</xdr:rowOff>
                  </to>
                </anchor>
              </controlPr>
            </control>
          </mc:Choice>
        </mc:AlternateContent>
        <mc:AlternateContent xmlns:mc="http://schemas.openxmlformats.org/markup-compatibility/2006">
          <mc:Choice Requires="x14">
            <control shapeId="54290" r:id="rId15" name="Button 18">
              <controlPr defaultSize="0" print="0" autoFill="0" autoPict="0" macro="[0]!AddColumn">
                <anchor moveWithCells="1">
                  <from>
                    <xdr:col>8</xdr:col>
                    <xdr:colOff>47625</xdr:colOff>
                    <xdr:row>22</xdr:row>
                    <xdr:rowOff>38100</xdr:rowOff>
                  </from>
                  <to>
                    <xdr:col>8</xdr:col>
                    <xdr:colOff>561975</xdr:colOff>
                    <xdr:row>23</xdr:row>
                    <xdr:rowOff>76200</xdr:rowOff>
                  </to>
                </anchor>
              </controlPr>
            </control>
          </mc:Choice>
        </mc:AlternateContent>
        <mc:AlternateContent xmlns:mc="http://schemas.openxmlformats.org/markup-compatibility/2006">
          <mc:Choice Requires="x14">
            <control shapeId="54291" r:id="rId16" name="Button 19">
              <controlPr defaultSize="0" print="0" autoFill="0" autoPict="0" macro="[0]!DeleteColumn">
                <anchor moveWithCells="1">
                  <from>
                    <xdr:col>8</xdr:col>
                    <xdr:colOff>600075</xdr:colOff>
                    <xdr:row>22</xdr:row>
                    <xdr:rowOff>38100</xdr:rowOff>
                  </from>
                  <to>
                    <xdr:col>9</xdr:col>
                    <xdr:colOff>180975</xdr:colOff>
                    <xdr:row>23</xdr:row>
                    <xdr:rowOff>76200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36CE45FA-A670-4BCE-A1C3-DE9F0124D280}">
            <xm:f>Security!$A$1="NO VBA"</xm:f>
            <x14:dxf>
              <font>
                <color theme="0"/>
              </font>
              <border>
                <vertical/>
                <horizontal/>
              </border>
            </x14:dxf>
          </x14:cfRule>
          <xm:sqref>A1:XFD1048576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outlinePr summaryRight="0"/>
  </sheetPr>
  <dimension ref="A1:L72"/>
  <sheetViews>
    <sheetView showGridLines="0" topLeftCell="A22" zoomScaleNormal="100" workbookViewId="0">
      <selection activeCell="E33" sqref="E33"/>
    </sheetView>
  </sheetViews>
  <sheetFormatPr defaultRowHeight="18" customHeight="1" outlineLevelRow="1" outlineLevelCol="1" x14ac:dyDescent="0.3"/>
  <cols>
    <col min="1" max="1" width="17.375" style="7" customWidth="1"/>
    <col min="2" max="2" width="16.25" style="7" bestFit="1" customWidth="1"/>
    <col min="3" max="3" width="14.125" style="7" bestFit="1" customWidth="1"/>
    <col min="4" max="7" width="11.75" style="7" customWidth="1" outlineLevel="1"/>
    <col min="8" max="8" width="11.25" style="44" bestFit="1" customWidth="1"/>
    <col min="9" max="9" width="12.625" style="15" customWidth="1"/>
    <col min="10" max="10" width="12.625" style="7" customWidth="1"/>
    <col min="11" max="11" width="9" style="7"/>
    <col min="12" max="12" width="9" style="460"/>
    <col min="13" max="16384" width="9" style="7"/>
  </cols>
  <sheetData>
    <row r="1" spans="1:12" ht="18" customHeight="1" x14ac:dyDescent="0.3">
      <c r="A1" s="299">
        <v>1</v>
      </c>
      <c r="B1" s="240"/>
      <c r="C1" s="10" t="s">
        <v>1</v>
      </c>
      <c r="D1" s="399"/>
      <c r="E1" s="399">
        <v>45717</v>
      </c>
      <c r="F1" s="399">
        <v>45748</v>
      </c>
      <c r="G1" s="399">
        <v>45778</v>
      </c>
      <c r="H1" s="399"/>
      <c r="I1" s="240"/>
      <c r="J1" s="240"/>
      <c r="L1" s="7"/>
    </row>
    <row r="2" spans="1:12" ht="18" customHeight="1" x14ac:dyDescent="0.3">
      <c r="A2" s="299">
        <v>2</v>
      </c>
      <c r="B2" s="11" t="s">
        <v>553</v>
      </c>
      <c r="C2" s="10" t="s">
        <v>554</v>
      </c>
      <c r="D2" s="397">
        <f>+SUMIFS(D$26:D$1048576,D$26:D$1048576,"&gt;0",$B$26:$B$1048576,$B$2)</f>
        <v>0</v>
      </c>
      <c r="E2" s="397">
        <f>+SUMIFS(E$9:E$1048576,E$9:E$1048576,"&gt;0",$B$9:$B$1048576,$B$2)</f>
        <v>403962</v>
      </c>
      <c r="F2" s="397">
        <f>+SUMIFS(F$9:F$1048576,F$9:F$1048576,"&gt;0",$B$9:$B$1048576,$B$2)</f>
        <v>496415</v>
      </c>
      <c r="G2" s="397">
        <f>+SUMIFS(G$9:G$1048576,G$9:G$1048576,"&gt;0",$B$9:$B$1048576,$B$2)</f>
        <v>430146</v>
      </c>
      <c r="H2" s="397">
        <f>+SUMIFS(H$9:H$1048576,H$9:H$1048576,"&gt;0",$B$9:$B$1048576,$B$2)</f>
        <v>0</v>
      </c>
      <c r="I2" s="240"/>
      <c r="J2" s="240"/>
      <c r="L2" s="7"/>
    </row>
    <row r="3" spans="1:12" ht="18" customHeight="1" x14ac:dyDescent="0.3">
      <c r="A3" s="299">
        <v>3</v>
      </c>
      <c r="B3" s="13"/>
      <c r="C3" s="9" t="s">
        <v>549</v>
      </c>
      <c r="D3" s="398"/>
      <c r="E3" s="398"/>
      <c r="F3" s="398"/>
      <c r="G3" s="398"/>
      <c r="H3" s="398"/>
      <c r="I3" s="240"/>
      <c r="J3" s="240"/>
      <c r="L3" s="7"/>
    </row>
    <row r="4" spans="1:12" ht="18" customHeight="1" x14ac:dyDescent="0.3">
      <c r="A4" s="299">
        <v>4</v>
      </c>
      <c r="B4" s="257"/>
      <c r="C4" s="10" t="s">
        <v>550</v>
      </c>
      <c r="D4" s="397">
        <f>-SUMIFS(D$26:D$1048576,D$26:D$1048576,"&lt;=0",$B$26:$B$1048576,$B$2)</f>
        <v>0</v>
      </c>
      <c r="E4" s="397">
        <f>-SUMIFS(E$9:E$1048576,E$9:E$1048576,"&lt;=0",$B$9:$B$1048576,$B$2)</f>
        <v>175654</v>
      </c>
      <c r="F4" s="397">
        <f>-SUMIFS(F$9:F$1048576,F$9:F$1048576,"&lt;=0",$B$9:$B$1048576,$B$2)</f>
        <v>333042</v>
      </c>
      <c r="G4" s="397">
        <f>-SUMIFS(G$9:G$1048576,G$9:G$1048576,"&lt;=0",$B$9:$B$1048576,$B$2)</f>
        <v>629803</v>
      </c>
      <c r="H4" s="397">
        <f>-SUMIFS(H$9:H$1048576,H$9:H$1048576,"&lt;=0",$B$9:$B$1048576,$B$2)</f>
        <v>0</v>
      </c>
      <c r="I4" s="240"/>
      <c r="J4" s="240"/>
      <c r="L4" s="7"/>
    </row>
    <row r="5" spans="1:12" ht="18" customHeight="1" x14ac:dyDescent="0.3">
      <c r="A5" s="299">
        <v>5</v>
      </c>
      <c r="B5" s="13"/>
      <c r="C5" s="9" t="s">
        <v>549</v>
      </c>
      <c r="D5" s="398"/>
      <c r="E5" s="398"/>
      <c r="F5" s="398"/>
      <c r="G5" s="398"/>
      <c r="H5" s="398"/>
      <c r="I5" s="240"/>
      <c r="J5" s="258"/>
      <c r="L5" s="7"/>
    </row>
    <row r="6" spans="1:12" ht="18" customHeight="1" x14ac:dyDescent="0.3">
      <c r="A6" s="299">
        <v>6</v>
      </c>
      <c r="B6" s="11" t="s">
        <v>555</v>
      </c>
      <c r="C6" s="10" t="s">
        <v>554</v>
      </c>
      <c r="D6" s="397">
        <f>+SUMIFS(D$26:D$1048576,D$26:D$1048576,"&gt;0",$B$26:$B$1048576,$B$6)</f>
        <v>0</v>
      </c>
      <c r="E6" s="397">
        <f>+SUMIFS(E$9:E$1048576,E$9:E$1048576,"&gt;0",$B$9:$B$1048576,$B$6)</f>
        <v>0</v>
      </c>
      <c r="F6" s="397">
        <f>+SUMIFS(F$9:F$1048576,F$9:F$1048576,"&gt;0",$B$9:$B$1048576,$B$6)</f>
        <v>0</v>
      </c>
      <c r="G6" s="397">
        <f>+SUMIFS(G$9:G$1048576,G$9:G$1048576,"&gt;0",$B$9:$B$1048576,$B$6)</f>
        <v>0</v>
      </c>
      <c r="H6" s="397">
        <f>+SUMIFS(H$9:H$1048576,H$9:H$1048576,"&gt;0",$B$9:$B$1048576,$B$6)</f>
        <v>0</v>
      </c>
      <c r="I6" s="240"/>
      <c r="J6" s="258"/>
      <c r="L6" s="7"/>
    </row>
    <row r="7" spans="1:12" ht="18" customHeight="1" x14ac:dyDescent="0.3">
      <c r="A7" s="299">
        <v>7</v>
      </c>
      <c r="B7" s="13"/>
      <c r="C7" s="9" t="s">
        <v>549</v>
      </c>
      <c r="D7" s="398"/>
      <c r="E7" s="398"/>
      <c r="F7" s="398"/>
      <c r="G7" s="398"/>
      <c r="H7" s="398"/>
      <c r="I7" s="240"/>
      <c r="J7" s="258"/>
      <c r="L7" s="7"/>
    </row>
    <row r="8" spans="1:12" ht="18" customHeight="1" x14ac:dyDescent="0.3">
      <c r="A8" s="299">
        <v>8</v>
      </c>
      <c r="B8" s="240"/>
      <c r="C8" s="10" t="s">
        <v>550</v>
      </c>
      <c r="D8" s="397">
        <f>-SUMIFS(D$26:D$1048576,D$26:D$1048576,"&lt;=0",$B$26:$B$1048576,$B$6)</f>
        <v>0</v>
      </c>
      <c r="E8" s="397">
        <f>-SUMIFS(E$9:E$1048576,E$9:E$1048576,"&lt;=0",$B$9:$B$1048576,$B$6)</f>
        <v>0</v>
      </c>
      <c r="F8" s="397">
        <f>-SUMIFS(F$9:F$1048576,F$9:F$1048576,"&lt;=0",$B$9:$B$1048576,$B$6)</f>
        <v>0</v>
      </c>
      <c r="G8" s="397">
        <f>-SUMIFS(G$9:G$1048576,G$9:G$1048576,"&lt;=0",$B$9:$B$1048576,$B$6)</f>
        <v>0</v>
      </c>
      <c r="H8" s="397">
        <f>-SUMIFS(H$9:H$1048576,H$9:H$1048576,"&lt;=0",$B$9:$B$1048576,$B$6)</f>
        <v>0</v>
      </c>
      <c r="I8" s="240"/>
      <c r="J8" s="258"/>
      <c r="L8" s="7"/>
    </row>
    <row r="9" spans="1:12" ht="18" customHeight="1" x14ac:dyDescent="0.3">
      <c r="A9" s="299">
        <v>9</v>
      </c>
      <c r="B9" s="240"/>
      <c r="C9" s="9" t="s">
        <v>549</v>
      </c>
      <c r="D9" s="15"/>
      <c r="E9" s="398"/>
      <c r="F9" s="398"/>
      <c r="G9" s="398"/>
      <c r="H9" s="398"/>
      <c r="I9" s="240"/>
      <c r="J9" s="258"/>
      <c r="L9" s="7"/>
    </row>
    <row r="10" spans="1:12" ht="18" customHeight="1" outlineLevel="1" x14ac:dyDescent="0.3">
      <c r="A10" s="299"/>
      <c r="B10" s="240"/>
      <c r="C10" s="9"/>
      <c r="D10" s="15"/>
      <c r="E10" s="398"/>
      <c r="F10" s="398"/>
      <c r="G10" s="398"/>
      <c r="H10" s="398"/>
      <c r="I10" s="240"/>
      <c r="J10" s="258"/>
      <c r="L10" s="7"/>
    </row>
    <row r="11" spans="1:12" ht="18" customHeight="1" outlineLevel="1" x14ac:dyDescent="0.3">
      <c r="A11" s="299"/>
      <c r="B11" s="240"/>
      <c r="C11" s="9"/>
      <c r="D11" s="15"/>
      <c r="E11" s="398"/>
      <c r="F11" s="398"/>
      <c r="G11" s="398"/>
      <c r="H11" s="398"/>
      <c r="I11" s="240"/>
      <c r="J11" s="258"/>
      <c r="L11" s="7"/>
    </row>
    <row r="12" spans="1:12" ht="18" customHeight="1" outlineLevel="1" x14ac:dyDescent="0.3">
      <c r="A12" s="299"/>
      <c r="B12" s="240"/>
      <c r="C12" s="9"/>
      <c r="D12" s="15"/>
      <c r="E12" s="398"/>
      <c r="F12" s="398"/>
      <c r="G12" s="398"/>
      <c r="H12" s="398"/>
      <c r="I12" s="240"/>
      <c r="J12" s="258"/>
      <c r="L12" s="7"/>
    </row>
    <row r="13" spans="1:12" ht="18" customHeight="1" outlineLevel="1" x14ac:dyDescent="0.3">
      <c r="A13" s="299"/>
      <c r="B13" s="240"/>
      <c r="C13" s="9"/>
      <c r="D13" s="15"/>
      <c r="E13" s="398"/>
      <c r="F13" s="398"/>
      <c r="G13" s="398"/>
      <c r="H13" s="398"/>
      <c r="I13" s="240"/>
      <c r="J13" s="258"/>
      <c r="L13" s="7"/>
    </row>
    <row r="14" spans="1:12" ht="18" customHeight="1" outlineLevel="1" x14ac:dyDescent="0.3">
      <c r="A14" s="299"/>
      <c r="B14" s="240"/>
      <c r="C14" s="9"/>
      <c r="D14" s="15"/>
      <c r="E14" s="398"/>
      <c r="F14" s="398"/>
      <c r="G14" s="398"/>
      <c r="H14" s="398"/>
      <c r="I14" s="240"/>
      <c r="J14" s="258"/>
      <c r="L14" s="7"/>
    </row>
    <row r="15" spans="1:12" ht="18" customHeight="1" outlineLevel="1" x14ac:dyDescent="0.3">
      <c r="A15" s="299"/>
      <c r="B15" s="240"/>
      <c r="C15" s="9"/>
      <c r="D15" s="15"/>
      <c r="E15" s="398"/>
      <c r="F15" s="398"/>
      <c r="G15" s="398"/>
      <c r="H15" s="398"/>
      <c r="I15" s="240"/>
      <c r="J15" s="258"/>
    </row>
    <row r="16" spans="1:12" ht="18" customHeight="1" outlineLevel="1" x14ac:dyDescent="0.3">
      <c r="A16" s="299"/>
      <c r="B16" s="240"/>
      <c r="C16" s="9"/>
      <c r="D16" s="15"/>
      <c r="E16" s="398"/>
      <c r="F16" s="398"/>
      <c r="G16" s="398"/>
      <c r="H16" s="398"/>
      <c r="I16" s="240"/>
      <c r="J16" s="258"/>
    </row>
    <row r="17" spans="1:10" ht="18" customHeight="1" outlineLevel="1" x14ac:dyDescent="0.3">
      <c r="A17" s="299"/>
      <c r="B17" s="240"/>
      <c r="C17" s="9"/>
      <c r="D17" s="15"/>
      <c r="E17" s="398"/>
      <c r="F17" s="398"/>
      <c r="G17" s="398"/>
      <c r="H17" s="398"/>
      <c r="I17" s="240"/>
      <c r="J17" s="258"/>
    </row>
    <row r="18" spans="1:10" ht="18" customHeight="1" outlineLevel="1" x14ac:dyDescent="0.3">
      <c r="A18" s="299"/>
      <c r="B18" s="240"/>
      <c r="C18" s="9"/>
      <c r="D18" s="15"/>
      <c r="E18" s="398"/>
      <c r="F18" s="398"/>
      <c r="G18" s="398"/>
      <c r="H18" s="398"/>
      <c r="I18" s="240"/>
      <c r="J18" s="258"/>
    </row>
    <row r="19" spans="1:10" ht="18" customHeight="1" outlineLevel="1" x14ac:dyDescent="0.3">
      <c r="A19" s="299"/>
      <c r="B19" s="240"/>
      <c r="C19" s="9"/>
      <c r="D19" s="15"/>
      <c r="E19" s="398"/>
      <c r="F19" s="398"/>
      <c r="G19" s="398"/>
      <c r="H19" s="398"/>
      <c r="I19" s="240"/>
      <c r="J19" s="258"/>
    </row>
    <row r="20" spans="1:10" ht="18" customHeight="1" outlineLevel="1" x14ac:dyDescent="0.3">
      <c r="A20" s="299"/>
      <c r="B20" s="240"/>
      <c r="C20" s="9"/>
      <c r="D20" s="15"/>
      <c r="E20" s="398"/>
      <c r="F20" s="398"/>
      <c r="G20" s="398"/>
      <c r="H20" s="398"/>
      <c r="I20" s="240"/>
      <c r="J20" s="258"/>
    </row>
    <row r="21" spans="1:10" ht="18" customHeight="1" outlineLevel="1" x14ac:dyDescent="0.3">
      <c r="A21" s="299"/>
      <c r="B21" s="240"/>
      <c r="C21" s="9"/>
      <c r="D21" s="15"/>
      <c r="E21" s="398"/>
      <c r="F21" s="398"/>
      <c r="G21" s="398"/>
      <c r="H21" s="398"/>
      <c r="I21" s="240"/>
      <c r="J21" s="258"/>
    </row>
    <row r="22" spans="1:10" ht="18" customHeight="1" outlineLevel="1" x14ac:dyDescent="0.3">
      <c r="A22" s="299"/>
      <c r="B22" s="240"/>
      <c r="C22" s="9"/>
      <c r="D22" s="15"/>
      <c r="E22" s="398"/>
      <c r="F22" s="398"/>
      <c r="G22" s="398"/>
      <c r="H22" s="398"/>
      <c r="I22" s="240"/>
      <c r="J22" s="258"/>
    </row>
    <row r="23" spans="1:10" ht="18" customHeight="1" outlineLevel="1" x14ac:dyDescent="0.3">
      <c r="A23" s="299"/>
      <c r="B23" s="240"/>
      <c r="C23" s="9"/>
      <c r="D23" s="15"/>
      <c r="E23" s="398"/>
      <c r="F23" s="398"/>
      <c r="G23" s="398"/>
      <c r="H23" s="398"/>
      <c r="I23" s="240"/>
      <c r="J23" s="258"/>
    </row>
    <row r="24" spans="1:10" ht="18" customHeight="1" outlineLevel="1" x14ac:dyDescent="0.3">
      <c r="A24" s="299"/>
      <c r="B24" s="240"/>
      <c r="C24" s="9"/>
      <c r="D24" s="15"/>
      <c r="E24" s="398"/>
      <c r="F24" s="398"/>
      <c r="G24" s="398"/>
      <c r="H24" s="398"/>
      <c r="I24" s="240"/>
      <c r="J24" s="258"/>
    </row>
    <row r="25" spans="1:10" ht="18" customHeight="1" outlineLevel="1" x14ac:dyDescent="0.3">
      <c r="A25" s="299"/>
      <c r="B25" s="240"/>
      <c r="C25" s="9"/>
      <c r="D25" s="15"/>
      <c r="E25" s="398"/>
      <c r="F25" s="398"/>
      <c r="G25" s="398"/>
      <c r="H25" s="398"/>
      <c r="I25" s="240"/>
      <c r="J25" s="258"/>
    </row>
    <row r="26" spans="1:10" ht="18" customHeight="1" outlineLevel="1" x14ac:dyDescent="0.3">
      <c r="A26" s="299"/>
      <c r="B26" s="240"/>
      <c r="C26" s="9"/>
      <c r="D26" s="15"/>
      <c r="E26" s="398"/>
      <c r="F26" s="398"/>
      <c r="G26" s="398"/>
      <c r="H26" s="398"/>
      <c r="I26" s="240"/>
      <c r="J26" s="258"/>
    </row>
    <row r="27" spans="1:10" ht="18" customHeight="1" x14ac:dyDescent="0.3">
      <c r="A27" s="240"/>
      <c r="B27" s="19" t="s">
        <v>556</v>
      </c>
      <c r="C27" s="19" t="s">
        <v>551</v>
      </c>
      <c r="D27" s="20" t="s">
        <v>552</v>
      </c>
      <c r="E27" s="20" t="s">
        <v>1222</v>
      </c>
      <c r="F27" s="20" t="s">
        <v>1223</v>
      </c>
      <c r="G27" s="20" t="s">
        <v>1224</v>
      </c>
      <c r="H27" s="20" t="s">
        <v>873</v>
      </c>
      <c r="I27" s="240"/>
      <c r="J27" s="240"/>
    </row>
    <row r="28" spans="1:10" s="53" customFormat="1" ht="18" customHeight="1" x14ac:dyDescent="0.3">
      <c r="A28" s="240" t="str" cm="1">
        <f t="array" ref="A28:A38">_xlfn._xlws.SORT(Table_NhaCungCap[Mã Đối tác])</f>
        <v>Ad1</v>
      </c>
      <c r="B28" s="260" t="s">
        <v>553</v>
      </c>
      <c r="C28" s="240" t="s">
        <v>1158</v>
      </c>
      <c r="D28" s="538"/>
      <c r="E28" s="17" cm="1">
        <f t="array" ref="E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-11946</v>
      </c>
      <c r="F28" s="17" cm="1">
        <f t="array" ref="F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-333042</v>
      </c>
      <c r="G28" s="17" cm="1">
        <f t="array" ref="G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430146</v>
      </c>
      <c r="H28" s="17" cm="1">
        <f t="array" ref="H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8" s="242"/>
      <c r="J28" s="262"/>
    </row>
    <row r="29" spans="1:10" ht="18" customHeight="1" x14ac:dyDescent="0.3">
      <c r="A29" s="240" t="str">
        <v>Agency1</v>
      </c>
      <c r="B29" s="260" t="s">
        <v>553</v>
      </c>
      <c r="C29" s="240" t="s">
        <v>1159</v>
      </c>
      <c r="D29" s="538"/>
      <c r="E29" s="17" cm="1">
        <f t="array" ref="E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403962</v>
      </c>
      <c r="F29" s="17" cm="1">
        <f t="array" ref="F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75837</v>
      </c>
      <c r="G29" s="17" cm="1">
        <f t="array" ref="G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-376901</v>
      </c>
      <c r="H29" s="17" cm="1">
        <f t="array" ref="H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9" s="242"/>
      <c r="J29" s="240"/>
    </row>
    <row r="30" spans="1:10" ht="18" customHeight="1" x14ac:dyDescent="0.3">
      <c r="A30" s="240" t="str">
        <v>EVN</v>
      </c>
      <c r="B30" s="260" t="s">
        <v>553</v>
      </c>
      <c r="C30" s="240" t="s">
        <v>1160</v>
      </c>
      <c r="D30" s="396"/>
      <c r="E30" s="17" cm="1">
        <f t="array" ref="E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-163708</v>
      </c>
      <c r="F30" s="17" cm="1">
        <f t="array" ref="F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420578</v>
      </c>
      <c r="G30" s="17" cm="1">
        <f t="array" ref="G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-252902</v>
      </c>
      <c r="H30" s="17" cm="1">
        <f t="array" ref="H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30" s="242"/>
      <c r="J30" s="240"/>
    </row>
    <row r="31" spans="1:10" s="41" customFormat="1" ht="18" customHeight="1" x14ac:dyDescent="0.15">
      <c r="A31" s="264" t="str">
        <v>MT</v>
      </c>
      <c r="B31" s="240"/>
      <c r="C31" s="240"/>
      <c r="D31" s="240"/>
      <c r="E31" s="240"/>
      <c r="F31" s="240"/>
      <c r="G31" s="240"/>
      <c r="H31" s="263"/>
      <c r="I31" s="242"/>
      <c r="J31" s="240"/>
    </row>
    <row r="32" spans="1:10" ht="18" customHeight="1" x14ac:dyDescent="0.3">
      <c r="A32" s="240" t="str">
        <v>NCC1</v>
      </c>
      <c r="B32" s="240"/>
      <c r="C32" s="240"/>
      <c r="D32" s="240"/>
      <c r="E32" s="240"/>
      <c r="F32" s="240"/>
      <c r="G32" s="240"/>
      <c r="H32" s="263"/>
      <c r="I32" s="242"/>
      <c r="J32" s="240"/>
    </row>
    <row r="33" spans="1:10" ht="18" customHeight="1" x14ac:dyDescent="0.3">
      <c r="A33" s="240" t="str">
        <v>NCC2</v>
      </c>
      <c r="B33" s="240"/>
      <c r="C33" s="240"/>
      <c r="D33" s="240"/>
      <c r="E33" s="240"/>
      <c r="F33" s="240"/>
      <c r="G33" s="240"/>
      <c r="H33" s="263"/>
      <c r="I33" s="242"/>
      <c r="J33" s="240"/>
    </row>
    <row r="34" spans="1:10" s="52" customFormat="1" ht="18" customHeight="1" x14ac:dyDescent="0.15">
      <c r="A34" s="265" t="str">
        <v>NCC3</v>
      </c>
      <c r="B34" s="240"/>
      <c r="C34" s="240"/>
      <c r="D34" s="240"/>
      <c r="E34" s="240"/>
      <c r="F34" s="240"/>
      <c r="G34" s="240"/>
      <c r="H34" s="263"/>
      <c r="I34" s="242"/>
      <c r="J34" s="240"/>
    </row>
    <row r="35" spans="1:10" ht="18" customHeight="1" x14ac:dyDescent="0.3">
      <c r="A35" s="7" t="str">
        <v>NSG</v>
      </c>
      <c r="B35" s="240"/>
      <c r="C35" s="240"/>
      <c r="D35" s="240"/>
      <c r="E35" s="240"/>
      <c r="F35" s="240"/>
      <c r="G35" s="240"/>
      <c r="H35" s="263"/>
    </row>
    <row r="36" spans="1:10" ht="18" customHeight="1" x14ac:dyDescent="0.3">
      <c r="A36" s="7" t="str">
        <v>O&amp;M</v>
      </c>
      <c r="B36" s="240"/>
      <c r="C36" s="240"/>
      <c r="D36" s="240"/>
      <c r="E36" s="240"/>
      <c r="F36" s="240"/>
      <c r="G36" s="240"/>
      <c r="H36" s="263"/>
    </row>
    <row r="37" spans="1:10" ht="18" customHeight="1" x14ac:dyDescent="0.3">
      <c r="A37" s="7" t="str">
        <v>Secu</v>
      </c>
      <c r="B37" s="240"/>
      <c r="C37" s="240"/>
      <c r="D37" s="240"/>
      <c r="E37" s="240"/>
      <c r="F37" s="240"/>
      <c r="G37" s="240"/>
      <c r="H37" s="263"/>
    </row>
    <row r="38" spans="1:10" ht="18" customHeight="1" x14ac:dyDescent="0.3">
      <c r="A38" s="7" t="str">
        <v>Soft1</v>
      </c>
      <c r="B38" s="240"/>
      <c r="C38" s="240"/>
      <c r="D38" s="240"/>
      <c r="E38" s="240"/>
      <c r="F38" s="240"/>
      <c r="G38" s="240"/>
      <c r="H38" s="263"/>
    </row>
    <row r="39" spans="1:10" ht="18" customHeight="1" x14ac:dyDescent="0.3">
      <c r="B39" s="240"/>
      <c r="C39" s="240"/>
      <c r="D39" s="240"/>
      <c r="E39" s="240"/>
      <c r="F39" s="240"/>
      <c r="G39" s="240"/>
      <c r="H39" s="263"/>
    </row>
    <row r="40" spans="1:10" ht="18" customHeight="1" x14ac:dyDescent="0.3">
      <c r="B40" s="240"/>
      <c r="C40" s="240"/>
      <c r="D40" s="240"/>
      <c r="E40" s="240"/>
      <c r="F40" s="240"/>
      <c r="G40" s="240"/>
      <c r="H40" s="263"/>
    </row>
    <row r="41" spans="1:10" ht="18" customHeight="1" x14ac:dyDescent="0.3">
      <c r="B41" s="240"/>
      <c r="C41" s="240"/>
      <c r="D41" s="240"/>
      <c r="E41" s="240"/>
      <c r="F41" s="240"/>
      <c r="G41" s="240"/>
      <c r="H41" s="263"/>
    </row>
    <row r="42" spans="1:10" ht="18" customHeight="1" x14ac:dyDescent="0.3">
      <c r="B42" s="240"/>
      <c r="C42" s="240"/>
      <c r="D42" s="240"/>
      <c r="E42" s="240"/>
      <c r="F42" s="240"/>
      <c r="G42" s="240"/>
      <c r="H42" s="263"/>
    </row>
    <row r="43" spans="1:10" ht="18" customHeight="1" x14ac:dyDescent="0.3">
      <c r="B43" s="240"/>
      <c r="C43" s="240"/>
      <c r="D43" s="240"/>
      <c r="E43" s="240"/>
      <c r="F43" s="240"/>
      <c r="G43" s="240"/>
      <c r="H43" s="263"/>
    </row>
    <row r="44" spans="1:10" ht="18" customHeight="1" x14ac:dyDescent="0.3">
      <c r="B44" s="240"/>
      <c r="C44" s="240"/>
      <c r="D44" s="240"/>
      <c r="E44" s="240"/>
      <c r="F44" s="240"/>
      <c r="G44" s="240"/>
      <c r="H44" s="263"/>
    </row>
    <row r="45" spans="1:10" ht="18" customHeight="1" x14ac:dyDescent="0.3">
      <c r="B45" s="240"/>
      <c r="C45" s="240"/>
      <c r="D45" s="240"/>
      <c r="E45" s="240"/>
      <c r="F45" s="240"/>
      <c r="G45" s="240"/>
      <c r="H45" s="263"/>
    </row>
    <row r="46" spans="1:10" ht="18" customHeight="1" x14ac:dyDescent="0.3">
      <c r="B46" s="240"/>
      <c r="C46" s="240"/>
      <c r="D46" s="240"/>
      <c r="E46" s="240"/>
      <c r="F46" s="240"/>
      <c r="G46" s="240"/>
      <c r="H46" s="263"/>
    </row>
    <row r="47" spans="1:10" ht="18" customHeight="1" x14ac:dyDescent="0.3">
      <c r="B47" s="240"/>
      <c r="C47" s="240"/>
      <c r="D47" s="240"/>
      <c r="E47" s="240"/>
      <c r="F47" s="240"/>
      <c r="G47" s="240"/>
      <c r="H47" s="263"/>
    </row>
    <row r="48" spans="1:10" ht="18" customHeight="1" x14ac:dyDescent="0.3">
      <c r="B48" s="240"/>
      <c r="C48" s="240"/>
      <c r="D48" s="240"/>
      <c r="E48" s="240"/>
      <c r="F48" s="240"/>
      <c r="G48" s="240"/>
      <c r="H48" s="263"/>
    </row>
    <row r="49" spans="2:8" ht="18" customHeight="1" x14ac:dyDescent="0.3">
      <c r="B49" s="240"/>
      <c r="C49" s="240"/>
      <c r="D49" s="240"/>
      <c r="E49" s="240"/>
      <c r="F49" s="240"/>
      <c r="G49" s="240"/>
      <c r="H49" s="263"/>
    </row>
    <row r="50" spans="2:8" ht="18" customHeight="1" x14ac:dyDescent="0.3">
      <c r="B50" s="240"/>
      <c r="C50" s="240"/>
      <c r="D50" s="240"/>
      <c r="E50" s="240"/>
      <c r="F50" s="240"/>
      <c r="G50" s="240"/>
      <c r="H50" s="263"/>
    </row>
    <row r="51" spans="2:8" ht="18" customHeight="1" x14ac:dyDescent="0.3">
      <c r="B51" s="240"/>
      <c r="C51" s="240"/>
      <c r="D51" s="240"/>
      <c r="E51" s="240"/>
      <c r="F51" s="240"/>
      <c r="G51" s="240"/>
      <c r="H51" s="263"/>
    </row>
    <row r="52" spans="2:8" ht="18" customHeight="1" x14ac:dyDescent="0.3">
      <c r="B52" s="240"/>
      <c r="C52" s="240"/>
      <c r="D52" s="240"/>
      <c r="E52" s="240"/>
      <c r="F52" s="240"/>
      <c r="G52" s="240"/>
      <c r="H52" s="263"/>
    </row>
    <row r="53" spans="2:8" ht="18" customHeight="1" x14ac:dyDescent="0.3">
      <c r="B53" s="240"/>
      <c r="C53" s="240"/>
      <c r="D53" s="240"/>
      <c r="E53" s="240"/>
      <c r="F53" s="240"/>
      <c r="G53" s="240"/>
      <c r="H53" s="263"/>
    </row>
    <row r="54" spans="2:8" ht="18" customHeight="1" x14ac:dyDescent="0.3">
      <c r="B54" s="240"/>
      <c r="C54" s="240"/>
      <c r="D54" s="240"/>
      <c r="E54" s="240"/>
      <c r="F54" s="240"/>
      <c r="G54" s="240"/>
      <c r="H54" s="263"/>
    </row>
    <row r="55" spans="2:8" ht="18" customHeight="1" x14ac:dyDescent="0.3">
      <c r="B55" s="240"/>
      <c r="C55" s="240"/>
      <c r="D55" s="240"/>
      <c r="E55" s="240"/>
      <c r="F55" s="240"/>
      <c r="G55" s="240"/>
      <c r="H55" s="263"/>
    </row>
    <row r="56" spans="2:8" ht="18" customHeight="1" x14ac:dyDescent="0.3">
      <c r="B56" s="240"/>
      <c r="C56" s="240"/>
      <c r="D56" s="240"/>
      <c r="E56" s="240"/>
      <c r="F56" s="240"/>
      <c r="G56" s="240"/>
      <c r="H56" s="263"/>
    </row>
    <row r="57" spans="2:8" ht="18" customHeight="1" x14ac:dyDescent="0.3">
      <c r="B57" s="240"/>
      <c r="C57" s="240"/>
      <c r="D57" s="240"/>
      <c r="E57" s="240"/>
      <c r="F57" s="240"/>
      <c r="G57" s="240"/>
      <c r="H57" s="263"/>
    </row>
    <row r="58" spans="2:8" ht="18" customHeight="1" x14ac:dyDescent="0.3">
      <c r="B58" s="240"/>
      <c r="C58" s="240"/>
      <c r="D58" s="240"/>
      <c r="E58" s="240"/>
      <c r="F58" s="240"/>
      <c r="G58" s="240"/>
      <c r="H58" s="263"/>
    </row>
    <row r="59" spans="2:8" ht="18" customHeight="1" x14ac:dyDescent="0.3">
      <c r="B59" s="240"/>
      <c r="C59" s="240"/>
      <c r="D59" s="240"/>
      <c r="E59" s="240"/>
      <c r="F59" s="240"/>
      <c r="G59" s="240"/>
      <c r="H59" s="263"/>
    </row>
    <row r="60" spans="2:8" ht="18" customHeight="1" x14ac:dyDescent="0.3">
      <c r="B60" s="240"/>
      <c r="C60" s="240"/>
      <c r="D60" s="240"/>
      <c r="E60" s="240"/>
      <c r="F60" s="240"/>
      <c r="G60" s="240"/>
      <c r="H60" s="263"/>
    </row>
    <row r="61" spans="2:8" ht="18" customHeight="1" x14ac:dyDescent="0.3">
      <c r="B61" s="240"/>
      <c r="C61" s="240"/>
      <c r="D61" s="240"/>
      <c r="E61" s="240"/>
      <c r="F61" s="240"/>
      <c r="G61" s="240"/>
      <c r="H61" s="263"/>
    </row>
    <row r="62" spans="2:8" ht="18" customHeight="1" x14ac:dyDescent="0.3">
      <c r="B62" s="240"/>
      <c r="C62" s="240"/>
      <c r="D62" s="240"/>
      <c r="E62" s="240"/>
      <c r="F62" s="240"/>
      <c r="G62" s="240"/>
      <c r="H62" s="263"/>
    </row>
    <row r="63" spans="2:8" ht="18" customHeight="1" x14ac:dyDescent="0.3">
      <c r="B63" s="240"/>
      <c r="C63" s="240"/>
      <c r="D63" s="240"/>
      <c r="E63" s="240"/>
      <c r="F63" s="240"/>
      <c r="G63" s="240"/>
      <c r="H63" s="263"/>
    </row>
    <row r="64" spans="2:8" ht="18" customHeight="1" x14ac:dyDescent="0.3">
      <c r="B64" s="240"/>
      <c r="C64" s="240"/>
      <c r="D64" s="240"/>
      <c r="E64" s="240"/>
      <c r="F64" s="240"/>
      <c r="G64" s="240"/>
      <c r="H64" s="263"/>
    </row>
    <row r="65" spans="2:8" ht="18" customHeight="1" x14ac:dyDescent="0.3">
      <c r="B65" s="240"/>
      <c r="C65" s="240"/>
      <c r="D65" s="240"/>
      <c r="E65" s="240"/>
      <c r="F65" s="240"/>
      <c r="G65" s="240"/>
      <c r="H65" s="263"/>
    </row>
    <row r="66" spans="2:8" ht="18" customHeight="1" x14ac:dyDescent="0.3">
      <c r="B66" s="240"/>
      <c r="C66" s="240"/>
      <c r="D66" s="240"/>
      <c r="E66" s="240"/>
      <c r="F66" s="240"/>
      <c r="G66" s="240"/>
      <c r="H66" s="263"/>
    </row>
    <row r="67" spans="2:8" ht="18" customHeight="1" x14ac:dyDescent="0.3">
      <c r="B67" s="240"/>
      <c r="C67" s="240"/>
      <c r="D67" s="240"/>
      <c r="E67" s="240"/>
      <c r="F67" s="240"/>
      <c r="G67" s="240"/>
      <c r="H67" s="263"/>
    </row>
    <row r="68" spans="2:8" ht="18" customHeight="1" x14ac:dyDescent="0.3">
      <c r="B68" s="240"/>
      <c r="C68" s="240"/>
      <c r="D68" s="240"/>
      <c r="E68" s="240"/>
      <c r="F68" s="240"/>
      <c r="G68" s="240"/>
      <c r="H68" s="263"/>
    </row>
    <row r="69" spans="2:8" ht="18" customHeight="1" x14ac:dyDescent="0.3">
      <c r="B69" s="240"/>
      <c r="C69" s="240"/>
      <c r="D69" s="240"/>
      <c r="E69" s="240"/>
      <c r="F69" s="240"/>
      <c r="G69" s="240"/>
      <c r="H69" s="263"/>
    </row>
    <row r="70" spans="2:8" ht="18" customHeight="1" x14ac:dyDescent="0.3">
      <c r="B70" s="240"/>
      <c r="C70" s="240"/>
      <c r="D70" s="240"/>
      <c r="E70" s="240"/>
      <c r="F70" s="240"/>
      <c r="G70" s="240"/>
      <c r="H70" s="263"/>
    </row>
    <row r="71" spans="2:8" ht="18" customHeight="1" x14ac:dyDescent="0.3">
      <c r="B71" s="240"/>
      <c r="C71" s="240"/>
      <c r="D71" s="240"/>
      <c r="E71" s="240"/>
      <c r="F71" s="240"/>
      <c r="G71" s="240"/>
      <c r="H71" s="263"/>
    </row>
    <row r="72" spans="2:8" ht="18" customHeight="1" x14ac:dyDescent="0.3">
      <c r="B72" s="240"/>
      <c r="C72" s="240"/>
      <c r="D72" s="240"/>
      <c r="E72" s="240"/>
      <c r="F72" s="240"/>
      <c r="G72" s="240"/>
      <c r="H72" s="263"/>
    </row>
  </sheetData>
  <sheetProtection algorithmName="SHA-512" hashValue="baGVGMqe8gDv9YiQ1LfgCmEvZCxVEl3067sdrItK47M+hjMPWQ5L2LyNiztdteV2b+Qr5HvtJaG8AVInuudWeQ==" saltValue="EUkifh+LwitrCmIfabGm/g==" spinCount="100000" sheet="1" scenarios="1" formatCells="0" formatColumns="0" formatRows="0" insertColumns="0" insertRows="0" deleteColumns="0" deleteRows="0" sort="0" autoFilter="0" pivotTables="0"/>
  <protectedRanges>
    <protectedRange sqref="I29:J1048576 H1 J5:J26 D30:H30 C1:C26 B31:G1048576 K1:K26 S1:XFD18 B29:H29 K29:K33 K38:K1048576 M38:XFD1048576 M19:XFD33 L1:R14 D6:H6 D4:H4 D8:H8 D2:H2 B27:K28" name="Range1_69"/>
    <protectedRange sqref="K34:K37 M34:XFD37" name="Range1_4_13"/>
    <protectedRange sqref="D3:H3" name="Range1_69_1"/>
    <protectedRange sqref="D5:H5" name="Range1_69_2"/>
    <protectedRange sqref="D7:H7" name="Range1_69_3"/>
    <protectedRange sqref="H9:H26" name="Range1_69_4"/>
    <protectedRange sqref="B30:C30" name="Range1_69_5"/>
  </protectedRanges>
  <dataConsolidate link="1"/>
  <phoneticPr fontId="14" type="noConversion"/>
  <conditionalFormatting sqref="C28:C30">
    <cfRule type="duplicateValues" dxfId="855" priority="823"/>
  </conditionalFormatting>
  <dataValidations count="2">
    <dataValidation type="list" allowBlank="1" showInputMessage="1" showErrorMessage="1" sqref="B28:C30" xr:uid="{41E4154B-C4D7-4F9A-B2F7-DACB589B15B2}">
      <formula1>"Thương mại, Nội bộ"</formula1>
    </dataValidation>
    <dataValidation type="list" errorStyle="information" allowBlank="1" showInputMessage="1" sqref="C28:C30" xr:uid="{A09D97FE-00BE-44D3-A3BE-3E4CA3034EF0}">
      <formula1>MaNhaCungCap</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2" r:id="rId4" name="Option Button 6">
              <controlPr defaultSize="0" autoFill="0" autoLine="0" autoPict="0" macro="[0]!DoiDonViHienThi">
                <anchor moveWithCells="1">
                  <from>
                    <xdr:col>0</xdr:col>
                    <xdr:colOff>238125</xdr:colOff>
                    <xdr:row>3</xdr:row>
                    <xdr:rowOff>190500</xdr:rowOff>
                  </from>
                  <to>
                    <xdr:col>0</xdr:col>
                    <xdr:colOff>828675</xdr:colOff>
                    <xdr:row>5</xdr:row>
                    <xdr:rowOff>9525</xdr:rowOff>
                  </to>
                </anchor>
              </controlPr>
            </control>
          </mc:Choice>
        </mc:AlternateContent>
        <mc:AlternateContent xmlns:mc="http://schemas.openxmlformats.org/markup-compatibility/2006">
          <mc:Choice Requires="x14">
            <control shapeId="55303" r:id="rId5" name="Option Button 7">
              <controlPr defaultSize="0" autoFill="0" autoLine="0" autoPict="0" macro="[0]!DoiDonViHienThi">
                <anchor moveWithCells="1">
                  <from>
                    <xdr:col>0</xdr:col>
                    <xdr:colOff>704850</xdr:colOff>
                    <xdr:row>3</xdr:row>
                    <xdr:rowOff>190500</xdr:rowOff>
                  </from>
                  <to>
                    <xdr:col>0</xdr:col>
                    <xdr:colOff>1295400</xdr:colOff>
                    <xdr:row>5</xdr:row>
                    <xdr:rowOff>9525</xdr:rowOff>
                  </to>
                </anchor>
              </controlPr>
            </control>
          </mc:Choice>
        </mc:AlternateContent>
        <mc:AlternateContent xmlns:mc="http://schemas.openxmlformats.org/markup-compatibility/2006">
          <mc:Choice Requires="x14">
            <control shapeId="55304" r:id="rId6" name="Option Button 8">
              <controlPr defaultSize="0" autoFill="0" autoLine="0" autoPict="0" macro="[0]!DoiDonViHienThi">
                <anchor moveWithCells="1">
                  <from>
                    <xdr:col>0</xdr:col>
                    <xdr:colOff>1171575</xdr:colOff>
                    <xdr:row>3</xdr:row>
                    <xdr:rowOff>190500</xdr:rowOff>
                  </from>
                  <to>
                    <xdr:col>1</xdr:col>
                    <xdr:colOff>438150</xdr:colOff>
                    <xdr:row>5</xdr:row>
                    <xdr:rowOff>9525</xdr:rowOff>
                  </to>
                </anchor>
              </controlPr>
            </control>
          </mc:Choice>
        </mc:AlternateContent>
        <mc:AlternateContent xmlns:mc="http://schemas.openxmlformats.org/markup-compatibility/2006">
          <mc:Choice Requires="x14">
            <control shapeId="55305" r:id="rId7" name="Option Button 9">
              <controlPr defaultSize="0" autoFill="0" autoLine="0" autoPict="0" macro="[0]!DoiDonViHienThi">
                <anchor moveWithCells="1">
                  <from>
                    <xdr:col>1</xdr:col>
                    <xdr:colOff>323850</xdr:colOff>
                    <xdr:row>3</xdr:row>
                    <xdr:rowOff>190500</xdr:rowOff>
                  </from>
                  <to>
                    <xdr:col>1</xdr:col>
                    <xdr:colOff>676275</xdr:colOff>
                    <xdr:row>5</xdr:row>
                    <xdr:rowOff>9525</xdr:rowOff>
                  </to>
                </anchor>
              </controlPr>
            </control>
          </mc:Choice>
        </mc:AlternateContent>
        <mc:AlternateContent xmlns:mc="http://schemas.openxmlformats.org/markup-compatibility/2006">
          <mc:Choice Requires="x14">
            <control shapeId="55306" r:id="rId8" name="Group Box 10">
              <controlPr defaultSize="0" autoFill="0" autoPict="0">
                <anchor moveWithCells="1">
                  <from>
                    <xdr:col>0</xdr:col>
                    <xdr:colOff>123825</xdr:colOff>
                    <xdr:row>3</xdr:row>
                    <xdr:rowOff>142875</xdr:rowOff>
                  </from>
                  <to>
                    <xdr:col>1</xdr:col>
                    <xdr:colOff>790575</xdr:colOff>
                    <xdr:row>5</xdr:row>
                    <xdr:rowOff>47625</xdr:rowOff>
                  </to>
                </anchor>
              </controlPr>
            </control>
          </mc:Choice>
        </mc:AlternateContent>
        <mc:AlternateContent xmlns:mc="http://schemas.openxmlformats.org/markup-compatibility/2006">
          <mc:Choice Requires="x14">
            <control shapeId="55307" r:id="rId9" name="Group Box 11">
              <controlPr defaultSize="0" autoFill="0" autoPict="0">
                <anchor moveWithCells="1">
                  <from>
                    <xdr:col>0</xdr:col>
                    <xdr:colOff>123825</xdr:colOff>
                    <xdr:row>1</xdr:row>
                    <xdr:rowOff>200025</xdr:rowOff>
                  </from>
                  <to>
                    <xdr:col>1</xdr:col>
                    <xdr:colOff>457200</xdr:colOff>
                    <xdr:row>3</xdr:row>
                    <xdr:rowOff>104775</xdr:rowOff>
                  </to>
                </anchor>
              </controlPr>
            </control>
          </mc:Choice>
        </mc:AlternateContent>
        <mc:AlternateContent xmlns:mc="http://schemas.openxmlformats.org/markup-compatibility/2006">
          <mc:Choice Requires="x14">
            <control shapeId="55308" r:id="rId10" name="Button 12">
              <controlPr defaultSize="0" autoFill="0" autoPict="0" macro="[0]!NhanNghin">
                <anchor moveWithCells="1">
                  <from>
                    <xdr:col>0</xdr:col>
                    <xdr:colOff>209550</xdr:colOff>
                    <xdr:row>2</xdr:row>
                    <xdr:rowOff>66675</xdr:rowOff>
                  </from>
                  <to>
                    <xdr:col>0</xdr:col>
                    <xdr:colOff>676275</xdr:colOff>
                    <xdr:row>3</xdr:row>
                    <xdr:rowOff>9525</xdr:rowOff>
                  </to>
                </anchor>
              </controlPr>
            </control>
          </mc:Choice>
        </mc:AlternateContent>
        <mc:AlternateContent xmlns:mc="http://schemas.openxmlformats.org/markup-compatibility/2006">
          <mc:Choice Requires="x14">
            <control shapeId="55309" r:id="rId11" name="Button 13">
              <controlPr defaultSize="0" autoFill="0" autoPict="0" macro="[0]!NhanTrieu">
                <anchor moveWithCells="1">
                  <from>
                    <xdr:col>0</xdr:col>
                    <xdr:colOff>723900</xdr:colOff>
                    <xdr:row>2</xdr:row>
                    <xdr:rowOff>66675</xdr:rowOff>
                  </from>
                  <to>
                    <xdr:col>0</xdr:col>
                    <xdr:colOff>1190625</xdr:colOff>
                    <xdr:row>3</xdr:row>
                    <xdr:rowOff>9525</xdr:rowOff>
                  </to>
                </anchor>
              </controlPr>
            </control>
          </mc:Choice>
        </mc:AlternateContent>
        <mc:AlternateContent xmlns:mc="http://schemas.openxmlformats.org/markup-compatibility/2006">
          <mc:Choice Requires="x14">
            <control shapeId="55310" r:id="rId12" name="Button 14">
              <controlPr defaultSize="0" autoFill="0" autoPict="0" macro="[0]!NhanTy">
                <anchor moveWithCells="1">
                  <from>
                    <xdr:col>0</xdr:col>
                    <xdr:colOff>1238250</xdr:colOff>
                    <xdr:row>2</xdr:row>
                    <xdr:rowOff>66675</xdr:rowOff>
                  </from>
                  <to>
                    <xdr:col>1</xdr:col>
                    <xdr:colOff>381000</xdr:colOff>
                    <xdr:row>3</xdr:row>
                    <xdr:rowOff>9525</xdr:rowOff>
                  </to>
                </anchor>
              </controlPr>
            </control>
          </mc:Choice>
        </mc:AlternateContent>
        <mc:AlternateContent xmlns:mc="http://schemas.openxmlformats.org/markup-compatibility/2006">
          <mc:Choice Requires="x14">
            <control shapeId="55311" r:id="rId13" name="Button 15">
              <controlPr defaultSize="0" print="0" autoFill="0" autoPict="0" macro="[0]!AddRow">
                <anchor moveWithCells="1">
                  <from>
                    <xdr:col>0</xdr:col>
                    <xdr:colOff>190500</xdr:colOff>
                    <xdr:row>26</xdr:row>
                    <xdr:rowOff>38100</xdr:rowOff>
                  </from>
                  <to>
                    <xdr:col>0</xdr:col>
                    <xdr:colOff>666750</xdr:colOff>
                    <xdr:row>27</xdr:row>
                    <xdr:rowOff>66675</xdr:rowOff>
                  </to>
                </anchor>
              </controlPr>
            </control>
          </mc:Choice>
        </mc:AlternateContent>
        <mc:AlternateContent xmlns:mc="http://schemas.openxmlformats.org/markup-compatibility/2006">
          <mc:Choice Requires="x14">
            <control shapeId="55312" r:id="rId14" name="Button 16">
              <controlPr defaultSize="0" print="0" autoFill="0" autoPict="0" macro="[0]!DeleteRow">
                <anchor moveWithCells="1">
                  <from>
                    <xdr:col>0</xdr:col>
                    <xdr:colOff>704850</xdr:colOff>
                    <xdr:row>26</xdr:row>
                    <xdr:rowOff>38100</xdr:rowOff>
                  </from>
                  <to>
                    <xdr:col>0</xdr:col>
                    <xdr:colOff>1181100</xdr:colOff>
                    <xdr:row>27</xdr:row>
                    <xdr:rowOff>66675</xdr:rowOff>
                  </to>
                </anchor>
              </controlPr>
            </control>
          </mc:Choice>
        </mc:AlternateContent>
        <mc:AlternateContent xmlns:mc="http://schemas.openxmlformats.org/markup-compatibility/2006">
          <mc:Choice Requires="x14">
            <control shapeId="55313" r:id="rId15" name="Button 17">
              <controlPr defaultSize="0" print="0" autoFill="0" autoPict="0" macro="[0]!AddColumn">
                <anchor moveWithCells="1">
                  <from>
                    <xdr:col>8</xdr:col>
                    <xdr:colOff>47625</xdr:colOff>
                    <xdr:row>26</xdr:row>
                    <xdr:rowOff>38100</xdr:rowOff>
                  </from>
                  <to>
                    <xdr:col>8</xdr:col>
                    <xdr:colOff>561975</xdr:colOff>
                    <xdr:row>27</xdr:row>
                    <xdr:rowOff>66675</xdr:rowOff>
                  </to>
                </anchor>
              </controlPr>
            </control>
          </mc:Choice>
        </mc:AlternateContent>
        <mc:AlternateContent xmlns:mc="http://schemas.openxmlformats.org/markup-compatibility/2006">
          <mc:Choice Requires="x14">
            <control shapeId="55314" r:id="rId16" name="Button 18">
              <controlPr defaultSize="0" print="0" autoFill="0" autoPict="0" macro="[0]!DeleteColumn">
                <anchor moveWithCells="1">
                  <from>
                    <xdr:col>8</xdr:col>
                    <xdr:colOff>600075</xdr:colOff>
                    <xdr:row>26</xdr:row>
                    <xdr:rowOff>38100</xdr:rowOff>
                  </from>
                  <to>
                    <xdr:col>9</xdr:col>
                    <xdr:colOff>180975</xdr:colOff>
                    <xdr:row>27</xdr:row>
                    <xdr:rowOff>66675</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AABBC68D-38FA-415D-9EE0-FAFB375743CF}">
            <xm:f>Security!$A$1="NO VBA"</xm:f>
            <x14:dxf>
              <font>
                <color theme="0"/>
              </font>
              <border>
                <vertical/>
                <horizontal/>
              </border>
            </x14:dxf>
          </x14:cfRule>
          <xm:sqref>A1:D1 M19:XFD1048576 L1:XFD14 S15:XFD18 A2:G26 H1:K26 A27:K1048576</xm:sqref>
        </x14:conditionalFormatting>
        <x14:conditionalFormatting xmlns:xm="http://schemas.microsoft.com/office/excel/2006/main">
          <x14:cfRule type="expression" priority="1" id="{CDC5266D-DB80-43AC-8809-C193A72BC342}">
            <xm:f>Security!$A$1="NO VBA"</xm:f>
            <x14:dxf>
              <font>
                <color theme="0"/>
              </font>
              <border>
                <vertical/>
                <horizontal/>
              </border>
            </x14:dxf>
          </x14:cfRule>
          <xm:sqref>E1:G1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sheetPr>
  <dimension ref="B1:Q40"/>
  <sheetViews>
    <sheetView showGridLines="0" workbookViewId="0">
      <selection activeCell="T7" sqref="T7"/>
    </sheetView>
  </sheetViews>
  <sheetFormatPr defaultRowHeight="18" customHeight="1" outlineLevelRow="1" outlineLevelCol="1" x14ac:dyDescent="0.3"/>
  <cols>
    <col min="1" max="1" width="1.25" style="7" customWidth="1"/>
    <col min="2" max="2" width="13" style="7" hidden="1" customWidth="1" outlineLevel="1"/>
    <col min="3" max="3" width="17.125" style="7" hidden="1" customWidth="1" outlineLevel="1"/>
    <col min="4" max="4" width="1.25" style="7" customWidth="1" collapsed="1"/>
    <col min="5" max="5" width="9.625" style="7" customWidth="1"/>
    <col min="6" max="6" width="14.125" style="7" bestFit="1" customWidth="1"/>
    <col min="7" max="7" width="11.75" style="7" customWidth="1" outlineLevel="1"/>
    <col min="8" max="8" width="9.875" style="7" customWidth="1" outlineLevel="1" collapsed="1"/>
    <col min="9" max="9" width="13.25" style="7" customWidth="1" outlineLevel="1"/>
    <col min="10" max="10" width="14.25" style="7" customWidth="1" outlineLevel="1"/>
    <col min="11" max="11" width="17.375" style="7" bestFit="1" customWidth="1"/>
    <col min="12" max="12" width="13.125" style="7" customWidth="1"/>
    <col min="13" max="13" width="16.625" style="7" customWidth="1"/>
    <col min="14" max="14" width="12" style="7" bestFit="1" customWidth="1"/>
    <col min="15" max="15" width="9.875" style="7" bestFit="1" customWidth="1"/>
    <col min="16" max="16" width="12.5" style="7" customWidth="1"/>
    <col min="17" max="17" width="6.625" style="7" bestFit="1" customWidth="1"/>
    <col min="18" max="16384" width="9" style="7"/>
  </cols>
  <sheetData>
    <row r="1" spans="6:16" ht="18" customHeight="1" x14ac:dyDescent="0.3">
      <c r="M1" s="27" t="s">
        <v>557</v>
      </c>
      <c r="N1" s="424">
        <v>45717</v>
      </c>
      <c r="O1" s="424">
        <v>45808</v>
      </c>
      <c r="P1" s="420">
        <f>SUM(Table_DiemDatHang[Giá trị cần đặt])</f>
        <v>377434.98990958062</v>
      </c>
    </row>
    <row r="2" spans="6:16" ht="18" customHeight="1" x14ac:dyDescent="0.3">
      <c r="M2" s="27" t="s">
        <v>1022</v>
      </c>
      <c r="N2" s="419">
        <v>10</v>
      </c>
      <c r="O2" s="419">
        <v>30</v>
      </c>
      <c r="P2" s="225"/>
    </row>
    <row r="3" spans="6:16" ht="18" customHeight="1" x14ac:dyDescent="0.3">
      <c r="M3" s="27" t="s">
        <v>558</v>
      </c>
      <c r="N3" s="424">
        <v>45808</v>
      </c>
      <c r="O3" s="52">
        <f>DATE(YEAR(DatHang_NgayKetThuc), MONTH(DatHang_NgayKetThuc)+1,1)
-DATE(YEAR(DatHang_NgayBatDau), MONTH(DatHang_NgayBatDau),1)</f>
        <v>92</v>
      </c>
    </row>
    <row r="4" spans="6:16" ht="18" customHeight="1" x14ac:dyDescent="0.3">
      <c r="F4" s="27"/>
    </row>
    <row r="5" spans="6:16" ht="18" customHeight="1" outlineLevel="1" x14ac:dyDescent="0.3">
      <c r="F5" s="27"/>
    </row>
    <row r="6" spans="6:16" ht="18" customHeight="1" outlineLevel="1" x14ac:dyDescent="0.3">
      <c r="F6" s="27"/>
    </row>
    <row r="7" spans="6:16" ht="18" customHeight="1" outlineLevel="1" x14ac:dyDescent="0.3">
      <c r="F7" s="27"/>
    </row>
    <row r="8" spans="6:16" ht="18" customHeight="1" outlineLevel="1" x14ac:dyDescent="0.3">
      <c r="F8" s="27"/>
    </row>
    <row r="9" spans="6:16" ht="18" customHeight="1" outlineLevel="1" x14ac:dyDescent="0.3">
      <c r="F9" s="27"/>
    </row>
    <row r="10" spans="6:16" ht="18" customHeight="1" outlineLevel="1" x14ac:dyDescent="0.3">
      <c r="F10" s="27"/>
    </row>
    <row r="11" spans="6:16" ht="18" customHeight="1" outlineLevel="1" x14ac:dyDescent="0.3">
      <c r="F11" s="27"/>
    </row>
    <row r="12" spans="6:16" ht="18" customHeight="1" outlineLevel="1" x14ac:dyDescent="0.3">
      <c r="F12" s="27"/>
    </row>
    <row r="13" spans="6:16" ht="18" customHeight="1" outlineLevel="1" x14ac:dyDescent="0.3">
      <c r="F13" s="27"/>
    </row>
    <row r="14" spans="6:16" ht="18" customHeight="1" outlineLevel="1" x14ac:dyDescent="0.3">
      <c r="F14" s="27"/>
    </row>
    <row r="15" spans="6:16" ht="18" customHeight="1" outlineLevel="1" x14ac:dyDescent="0.3">
      <c r="F15" s="27"/>
    </row>
    <row r="16" spans="6:16" ht="18" customHeight="1" outlineLevel="1" x14ac:dyDescent="0.3">
      <c r="F16" s="27"/>
    </row>
    <row r="17" spans="2:17" ht="18" customHeight="1" outlineLevel="1" x14ac:dyDescent="0.3">
      <c r="F17" s="27"/>
    </row>
    <row r="18" spans="2:17" ht="18" customHeight="1" outlineLevel="1" x14ac:dyDescent="0.3">
      <c r="F18" s="27"/>
    </row>
    <row r="19" spans="2:17" ht="18" customHeight="1" outlineLevel="1" x14ac:dyDescent="0.3">
      <c r="F19" s="27"/>
    </row>
    <row r="20" spans="2:17" ht="18" customHeight="1" outlineLevel="1" x14ac:dyDescent="0.3">
      <c r="F20" s="27"/>
    </row>
    <row r="21" spans="2:17" ht="18" customHeight="1" outlineLevel="1" x14ac:dyDescent="0.3">
      <c r="F21" s="27"/>
    </row>
    <row r="22" spans="2:17" ht="18" customHeight="1" x14ac:dyDescent="0.3">
      <c r="F22" s="27"/>
    </row>
    <row r="23" spans="2:17" ht="16.5" x14ac:dyDescent="0.3">
      <c r="B23" s="97" t="s">
        <v>23</v>
      </c>
      <c r="C23" t="s">
        <v>574</v>
      </c>
      <c r="D23"/>
      <c r="F23" s="7" t="s">
        <v>559</v>
      </c>
      <c r="G23" s="7" t="s">
        <v>1023</v>
      </c>
      <c r="H23" s="7" t="s">
        <v>1024</v>
      </c>
      <c r="I23" s="7" t="s">
        <v>560</v>
      </c>
      <c r="J23" s="7" t="s">
        <v>561</v>
      </c>
      <c r="K23" s="45" t="s">
        <v>1026</v>
      </c>
      <c r="L23" s="7" t="s">
        <v>562</v>
      </c>
      <c r="M23" s="7" t="s">
        <v>1025</v>
      </c>
      <c r="N23" s="7" t="s">
        <v>563</v>
      </c>
      <c r="O23" s="7" t="s">
        <v>564</v>
      </c>
      <c r="P23" s="7" t="s">
        <v>565</v>
      </c>
      <c r="Q23" s="7" t="s">
        <v>873</v>
      </c>
    </row>
    <row r="24" spans="2:17" ht="16.5" x14ac:dyDescent="0.3">
      <c r="B24" s="98" t="s">
        <v>1149</v>
      </c>
      <c r="C24" s="504">
        <v>0</v>
      </c>
      <c r="D24"/>
      <c r="E24" s="7" t="str" cm="1">
        <f t="array" ref="E24:E26">_xlfn._xlws.SORT(Table_SKU[Mã SKU])</f>
        <v>HH1</v>
      </c>
      <c r="F24" s="7" t="s">
        <v>1149</v>
      </c>
      <c r="G24" s="18">
        <f>Table_DiemDatHang[[#This Row],[Tiêu thụ / ngày]]*(1+Table_DiemDatHang[[#This Row],[Tăng trưởng tiêu thụ]])*NgayLuuKho_Min</f>
        <v>23.054347826086957</v>
      </c>
      <c r="H24" s="18">
        <f>Table_DiemDatHang[[#This Row],[Tiêu thụ / ngày]]*(1+Table_DiemDatHang[[#This Row],[Tăng trưởng tiêu thụ]])*NgayLuuKho_Max</f>
        <v>69.163043478260875</v>
      </c>
      <c r="I24" s="48">
        <f>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f>
        <v>69</v>
      </c>
      <c r="J24" s="120">
        <f>(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f>
        <v>2.1956521739130435</v>
      </c>
      <c r="K24" s="68">
        <v>0.05</v>
      </c>
      <c r="L24" s="48">
        <f xml:space="preserve">
IFERROR(
ROUNDUP(I24/(J24*(1+K24)),0),0)</f>
        <v>30</v>
      </c>
      <c r="M24" s="465">
        <f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f>
        <v>2</v>
      </c>
      <c r="N24" s="47">
        <f>DatHang_NgayTheoDoi+L24-M24-NgayLuuKho_Min</f>
        <v>45826</v>
      </c>
      <c r="O24" s="120">
        <f>Table_DiemDatHang[[#This Row],[Tiêu thụ / ngày]]*(1+Table_DiemDatHang[[#This Row],[Tăng trưởng tiêu thụ]])*MAX(0,NgayLuuKho_Max-(Table_DiemDatHang[[#This Row],[Ngày tồn kho]]-Table_DiemDatHang[[#This Row],[Ngày giao / sản xuất]]))</f>
        <v>4.6108695652173912</v>
      </c>
      <c r="P24" s="48" cm="1">
        <f t="array" ref="P24">IFERROR(
SUM(_xlfn._xlws.FILTER(Table_NguonHang[Giá trị],
(Table_NguonHang[Đối tượng] = Table_DiemDatHang[[#This Row],[Mã hàng]])))
/SUM(_xlfn._xlws.FILTER(Table_NguonHang[Lượng đặt],
(Table_NguonHang[Đối tượng] = Table_DiemDatHang[[#This Row],[Mã hàng]]))),
0)*O24</f>
        <v>377434.98990958062</v>
      </c>
      <c r="Q24" s="534"/>
    </row>
    <row r="25" spans="2:17" ht="16.5" x14ac:dyDescent="0.3">
      <c r="B25" s="98" t="s">
        <v>1150</v>
      </c>
      <c r="C25" s="504">
        <v>0</v>
      </c>
      <c r="D25"/>
      <c r="E25" s="7" t="str">
        <v>TP1</v>
      </c>
      <c r="F25" s="7" t="s">
        <v>1150</v>
      </c>
      <c r="G25" s="18">
        <f>Table_DiemDatHang[[#This Row],[Tiêu thụ / ngày]]*(1+Table_DiemDatHang[[#This Row],[Tăng trưởng tiêu thụ]])*NgayLuuKho_Min</f>
        <v>23.947826086956525</v>
      </c>
      <c r="H25" s="18">
        <f>Table_DiemDatHang[[#This Row],[Tiêu thụ / ngày]]*(1+Table_DiemDatHang[[#This Row],[Tăng trưởng tiêu thụ]])*NgayLuuKho_Max</f>
        <v>71.843478260869574</v>
      </c>
      <c r="I25" s="48">
        <f>IFERROR(SUM(
_xlfn._xlws.FILTER(Table_Main[Số lượng],
(Table_Main[Mã SKU] = F25) *
(NOT(ISBLANK(Table_Main[Mã SKU]))) *
(Table_Main[Mã SKU] &lt;&gt; "") *
(Table_Main[Loại] = "Nhập") *
(Table_Main[Ngày xuất nhập] &lt; DatHang_NgayTheoDoi)
)),0)
- IFERROR(SUM(
_xlfn._xlws.FILTER(Table_Main[Số lượng],
(Table_Main[Mã SKU] = F25) *
(NOT(ISBLANK(Table_Main[Mã SKU]))) *
(Table_Main[Mã SKU] &lt;&gt; "") *
(Table_Main[Loại] = "Xuất") *
(Table_Main[Ngày xuất nhập] &lt; DatHang_NgayTheoDoi)
)),0)
+ IFERROR(SUM(
_xlfn._xlws.FILTER(Table_Main[Số lượng],
(Table_Main[Mã Nguyên liệu] = F25) *
(NOT(ISBLANK(Table_Main[Mã Nguyên liệu]))) *
(Table_Main[Mã Nguyên liệu] &lt;&gt; "") *
(Table_Main[Loại] = "Nhập") *
(Table_Main[Ngày xuất nhập] &lt; DatHang_NgayTheoDoi)
)),0)
- IFERROR(SUM(
_xlfn._xlws.FILTER(Table_Main[Số lượng],
(Table_Main[Mã Nguyên liệu] = F25) *
(NOT(ISBLANK(Table_Main[Mã Nguyên liệu]))) *
(Table_Main[Mã Nguyên liệu] &lt;&gt; "") *
(Table_Main[Loại] = "Xuất") *
(Table_Main[Ngày xuất nhập] &lt; DatHang_NgayTheoDoi)
)),0)</f>
        <v>85</v>
      </c>
      <c r="J25" s="120">
        <f>(
IFERROR(
SUM(_xlfn._xlws.FILTER(Table_TonKho[Tiêu thụ],
( Table_TonKho[SKU] = F25)*
(NOT(ISBLANK(Table_TonKho[SKU]))) *
(Table_TonKho[SKU] &lt;&gt; "") *
(Table_TonKho[Kỳ]&gt;=DatHang_NgayBatDau) *
(Table_TonKho[Kỳ]&lt;= DatHang_NgayKetThuc)
)),0)
+ IFERROR(
SUM(_xlfn._xlws.FILTER(Table_TonKho[Tiêu thụ],
( Table_TonKho[Nguyên liệu] = F25)*
(NOT(ISBLANK(Table_TonKho[Nguyên liệu]))) *
(Table_TonKho[Nguyên liệu] &lt;&gt; "") *
(Table_TonKho[Kỳ]&gt;=DatHang_NgayBatDau) *
(Table_TonKho[Kỳ]&lt;= DatHang_NgayKetThuc)
)),0))
/DatHang_SoNgayThamChieu</f>
        <v>2.2173913043478262</v>
      </c>
      <c r="K25" s="68">
        <v>0.08</v>
      </c>
      <c r="L25" s="48">
        <f xml:space="preserve">
IFERROR(
ROUNDUP(I25/(J25*(1+K25)),0),0)</f>
        <v>36</v>
      </c>
      <c r="M25" s="465">
        <v>3</v>
      </c>
      <c r="N25" s="47">
        <f>DatHang_NgayTheoDoi+L25-M25-NgayLuuKho_Min</f>
        <v>45831</v>
      </c>
      <c r="O25" s="120">
        <f>Table_DiemDatHang[[#This Row],[Tiêu thụ / ngày]]*(1+Table_DiemDatHang[[#This Row],[Tăng trưởng tiêu thụ]])*MAX(0,NgayLuuKho_Max-(Table_DiemDatHang[[#This Row],[Ngày tồn kho]]-Table_DiemDatHang[[#This Row],[Ngày giao / sản xuất]]))</f>
        <v>0</v>
      </c>
      <c r="P25" s="48" cm="1">
        <f t="array" ref="P25">IFERROR(
SUM(_xlfn._xlws.FILTER(Table_NguonHang[Giá trị],
(Table_NguonHang[Đối tượng] = Table_DiemDatHang[[#This Row],[Mã hàng]])))
/SUM(_xlfn._xlws.FILTER(Table_NguonHang[Lượng đặt],
(Table_NguonHang[Đối tượng] = Table_DiemDatHang[[#This Row],[Mã hàng]]))),
0)*O25</f>
        <v>0</v>
      </c>
      <c r="Q25" s="534"/>
    </row>
    <row r="26" spans="2:17" ht="16.5" x14ac:dyDescent="0.3">
      <c r="B26" s="98" t="s">
        <v>1151</v>
      </c>
      <c r="C26" s="504">
        <v>45.446739130434793</v>
      </c>
      <c r="D26"/>
      <c r="E26" s="7" t="str">
        <v>TP2</v>
      </c>
      <c r="F26" s="7" t="s">
        <v>1151</v>
      </c>
      <c r="G26" s="18">
        <f>Table_DiemDatHang[[#This Row],[Tiêu thụ / ngày]]*(1+Table_DiemDatHang[[#This Row],[Tăng trưởng tiêu thụ]])*NgayLuuKho_Min</f>
        <v>21.641304347826093</v>
      </c>
      <c r="H26" s="18">
        <f>Table_DiemDatHang[[#This Row],[Tiêu thụ / ngày]]*(1+Table_DiemDatHang[[#This Row],[Tăng trưởng tiêu thụ]])*NgayLuuKho_Max</f>
        <v>64.923913043478279</v>
      </c>
      <c r="I26" s="48">
        <f>IFERROR(SUM(
_xlfn._xlws.FILTER(Table_Main[Số lượng],
(Table_Main[Mã SKU] = F26) *
(NOT(ISBLANK(Table_Main[Mã SKU]))) *
(Table_Main[Mã SKU] &lt;&gt; "") *
(Table_Main[Loại] = "Nhập") *
(Table_Main[Ngày xuất nhập] &lt; DatHang_NgayTheoDoi)
)),0)
- IFERROR(SUM(
_xlfn._xlws.FILTER(Table_Main[Số lượng],
(Table_Main[Mã SKU] = F26) *
(NOT(ISBLANK(Table_Main[Mã SKU]))) *
(Table_Main[Mã SKU] &lt;&gt; "") *
(Table_Main[Loại] = "Xuất") *
(Table_Main[Ngày xuất nhập] &lt; DatHang_NgayTheoDoi)
)),0)
+ IFERROR(SUM(
_xlfn._xlws.FILTER(Table_Main[Số lượng],
(Table_Main[Mã Nguyên liệu] = F26) *
(NOT(ISBLANK(Table_Main[Mã Nguyên liệu]))) *
(Table_Main[Mã Nguyên liệu] &lt;&gt; "") *
(Table_Main[Loại] = "Nhập") *
(Table_Main[Ngày xuất nhập] &lt; DatHang_NgayTheoDoi)
)),0)
- IFERROR(SUM(
_xlfn._xlws.FILTER(Table_Main[Số lượng],
(Table_Main[Mã Nguyên liệu] = F26) *
(NOT(ISBLANK(Table_Main[Mã Nguyên liệu]))) *
(Table_Main[Mã Nguyên liệu] &lt;&gt; "") *
(Table_Main[Loại] = "Xuất") *
(Table_Main[Ngày xuất nhập] &lt; DatHang_NgayTheoDoi)
)),0)</f>
        <v>22</v>
      </c>
      <c r="J26" s="120">
        <f>(
IFERROR(
SUM(_xlfn._xlws.FILTER(Table_TonKho[Tiêu thụ],
( Table_TonKho[SKU] = F26)*
(NOT(ISBLANK(Table_TonKho[SKU]))) *
(Table_TonKho[SKU] &lt;&gt; "") *
(Table_TonKho[Kỳ]&gt;=DatHang_NgayBatDau) *
(Table_TonKho[Kỳ]&lt;= DatHang_NgayKetThuc)
)),0)
+ IFERROR(
SUM(_xlfn._xlws.FILTER(Table_TonKho[Tiêu thụ],
( Table_TonKho[Nguyên liệu] = F26)*
(NOT(ISBLANK(Table_TonKho[Nguyên liệu]))) *
(Table_TonKho[Nguyên liệu] &lt;&gt; "") *
(Table_TonKho[Kỳ]&gt;=DatHang_NgayBatDau) *
(Table_TonKho[Kỳ]&lt;= DatHang_NgayKetThuc)
)),0))
/DatHang_SoNgayThamChieu</f>
        <v>1.9673913043478262</v>
      </c>
      <c r="K26" s="68">
        <v>0.1</v>
      </c>
      <c r="L26" s="48">
        <f xml:space="preserve">
IFERROR(
ROUNDUP(I26/(J26*(1+K26)),0),0)</f>
        <v>11</v>
      </c>
      <c r="M26" s="465">
        <v>2</v>
      </c>
      <c r="N26" s="116">
        <f>DatHang_NgayTheoDoi+L26-M26-NgayLuuKho_Min</f>
        <v>45807</v>
      </c>
      <c r="O26" s="120">
        <f>Table_DiemDatHang[[#This Row],[Tiêu thụ / ngày]]*(1+Table_DiemDatHang[[#This Row],[Tăng trưởng tiêu thụ]])*MAX(0,NgayLuuKho_Max-(Table_DiemDatHang[[#This Row],[Ngày tồn kho]]-Table_DiemDatHang[[#This Row],[Ngày giao / sản xuất]]))</f>
        <v>45.446739130434793</v>
      </c>
      <c r="P26" s="425" cm="1">
        <f t="array" ref="P26">IFERROR(
SUM(_xlfn._xlws.FILTER(Table_NguonHang[Giá trị],
(Table_NguonHang[Đối tượng] = Table_DiemDatHang[[#This Row],[Mã hàng]])))
/SUM(_xlfn._xlws.FILTER(Table_NguonHang[Lượng đặt],
(Table_NguonHang[Đối tượng] = Table_DiemDatHang[[#This Row],[Mã hàng]]))),
0)*O26</f>
        <v>0</v>
      </c>
      <c r="Q26" s="227"/>
    </row>
    <row r="27" spans="2:17" ht="16.5" x14ac:dyDescent="0.3">
      <c r="B27" s="98" t="s">
        <v>1102</v>
      </c>
      <c r="C27" s="504">
        <v>45.446739130434793</v>
      </c>
      <c r="D27"/>
    </row>
    <row r="28" spans="2:17" ht="16.5" x14ac:dyDescent="0.3">
      <c r="B28"/>
      <c r="C28"/>
      <c r="D28"/>
    </row>
    <row r="29" spans="2:17" ht="16.5" x14ac:dyDescent="0.3">
      <c r="B29"/>
      <c r="C29"/>
      <c r="D29"/>
    </row>
    <row r="30" spans="2:17" ht="16.5" x14ac:dyDescent="0.3">
      <c r="B30"/>
      <c r="C30"/>
      <c r="D30"/>
    </row>
    <row r="31" spans="2:17" ht="16.5" x14ac:dyDescent="0.3">
      <c r="B31"/>
      <c r="C31"/>
      <c r="D31"/>
    </row>
    <row r="32" spans="2:17" ht="16.5" x14ac:dyDescent="0.3">
      <c r="B32"/>
      <c r="C32"/>
      <c r="D32"/>
    </row>
    <row r="33" spans="2:4" ht="16.5" x14ac:dyDescent="0.3">
      <c r="B33"/>
      <c r="C33"/>
      <c r="D33"/>
    </row>
    <row r="34" spans="2:4" ht="16.5" x14ac:dyDescent="0.3">
      <c r="B34"/>
      <c r="C34"/>
      <c r="D34"/>
    </row>
    <row r="35" spans="2:4" ht="16.5" x14ac:dyDescent="0.3">
      <c r="B35"/>
      <c r="C35"/>
      <c r="D35"/>
    </row>
    <row r="36" spans="2:4" ht="16.5" x14ac:dyDescent="0.3">
      <c r="B36"/>
      <c r="C36"/>
      <c r="D36"/>
    </row>
    <row r="37" spans="2:4" ht="16.5" x14ac:dyDescent="0.3">
      <c r="B37"/>
      <c r="C37"/>
      <c r="D37"/>
    </row>
    <row r="38" spans="2:4" ht="16.5" x14ac:dyDescent="0.3">
      <c r="B38"/>
      <c r="C38"/>
      <c r="D38"/>
    </row>
    <row r="39" spans="2:4" ht="16.5" x14ac:dyDescent="0.3">
      <c r="B39"/>
      <c r="C39"/>
      <c r="D39"/>
    </row>
    <row r="40" spans="2:4" ht="16.5" x14ac:dyDescent="0.3">
      <c r="B40"/>
      <c r="C40"/>
      <c r="D40"/>
    </row>
  </sheetData>
  <sheetProtection algorithmName="SHA-512" hashValue="Xspbo0YRWHdRiiKbAx6mBPqemXcwmmzIMZgQ0jY4Ua3DhSrjuAAWmOfpeqK+7ig0poTTlVIqkx6pyP4ndnkbjA==" saltValue="rmJsSvucOWOGSJx/vj37WA==" spinCount="100000" sheet="1" scenarios="1" formatCells="0" formatColumns="0" formatRows="0" insertColumns="0" insertRows="0" deleteColumns="0" deleteRows="0" sort="0" autoFilter="0" pivotTables="0"/>
  <conditionalFormatting sqref="N24:N26">
    <cfRule type="cellIs" dxfId="843" priority="2" operator="lessThanOrEqual">
      <formula>$N$3</formula>
    </cfRule>
  </conditionalFormatting>
  <dataValidations count="1">
    <dataValidation type="list" allowBlank="1" showInputMessage="1" sqref="F24:F26" xr:uid="{7ADFCE47-16CB-4CDB-B7EC-704C5F48C03E}">
      <formula1>Ma_SKU</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5</xdr:col>
                    <xdr:colOff>9525</xdr:colOff>
                    <xdr:row>2</xdr:row>
                    <xdr:rowOff>47625</xdr:rowOff>
                  </from>
                  <to>
                    <xdr:col>5</xdr:col>
                    <xdr:colOff>485775</xdr:colOff>
                    <xdr:row>3</xdr:row>
                    <xdr:rowOff>76200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5</xdr:col>
                    <xdr:colOff>638175</xdr:colOff>
                    <xdr:row>2</xdr:row>
                    <xdr:rowOff>47625</xdr:rowOff>
                  </from>
                  <to>
                    <xdr:col>6</xdr:col>
                    <xdr:colOff>38100</xdr:colOff>
                    <xdr:row>3</xdr:row>
                    <xdr:rowOff>76200</xdr:rowOff>
                  </to>
                </anchor>
              </controlPr>
            </control>
          </mc:Choice>
        </mc:AlternateContent>
        <mc:AlternateContent xmlns:mc="http://schemas.openxmlformats.org/markup-compatibility/2006">
          <mc:Choice Requires="x14">
            <control shapeId="56323" r:id="rId6" name="Button 3">
              <controlPr defaultSize="0" print="0" autoFill="0" autoPict="0" macro="[0]!AddColumn">
                <anchor moveWithCells="1">
                  <from>
                    <xdr:col>16</xdr:col>
                    <xdr:colOff>38100</xdr:colOff>
                    <xdr:row>2</xdr:row>
                    <xdr:rowOff>66675</xdr:rowOff>
                  </from>
                  <to>
                    <xdr:col>17</xdr:col>
                    <xdr:colOff>47625</xdr:colOff>
                    <xdr:row>3</xdr:row>
                    <xdr:rowOff>95250</xdr:rowOff>
                  </to>
                </anchor>
              </controlPr>
            </control>
          </mc:Choice>
        </mc:AlternateContent>
        <mc:AlternateContent xmlns:mc="http://schemas.openxmlformats.org/markup-compatibility/2006">
          <mc:Choice Requires="x14">
            <control shapeId="56324" r:id="rId7" name="Button 4">
              <controlPr defaultSize="0" print="0" autoFill="0" autoPict="0" macro="[0]!DeleteColumn">
                <anchor moveWithCells="1">
                  <from>
                    <xdr:col>17</xdr:col>
                    <xdr:colOff>180975</xdr:colOff>
                    <xdr:row>2</xdr:row>
                    <xdr:rowOff>66675</xdr:rowOff>
                  </from>
                  <to>
                    <xdr:col>18</xdr:col>
                    <xdr:colOff>38100</xdr:colOff>
                    <xdr:row>3</xdr:row>
                    <xdr:rowOff>95250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6</xdr:col>
                    <xdr:colOff>771525</xdr:colOff>
                    <xdr:row>0</xdr:row>
                    <xdr:rowOff>114300</xdr:rowOff>
                  </from>
                  <to>
                    <xdr:col>7</xdr:col>
                    <xdr:colOff>466725</xdr:colOff>
                    <xdr:row>1</xdr:row>
                    <xdr:rowOff>161925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7</xdr:col>
                    <xdr:colOff>342900</xdr:colOff>
                    <xdr:row>0</xdr:row>
                    <xdr:rowOff>114300</xdr:rowOff>
                  </from>
                  <to>
                    <xdr:col>8</xdr:col>
                    <xdr:colOff>180975</xdr:colOff>
                    <xdr:row>1</xdr:row>
                    <xdr:rowOff>161925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8</xdr:col>
                    <xdr:colOff>57150</xdr:colOff>
                    <xdr:row>0</xdr:row>
                    <xdr:rowOff>114300</xdr:rowOff>
                  </from>
                  <to>
                    <xdr:col>8</xdr:col>
                    <xdr:colOff>647700</xdr:colOff>
                    <xdr:row>1</xdr:row>
                    <xdr:rowOff>161925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8</xdr:col>
                    <xdr:colOff>533400</xdr:colOff>
                    <xdr:row>0</xdr:row>
                    <xdr:rowOff>114300</xdr:rowOff>
                  </from>
                  <to>
                    <xdr:col>8</xdr:col>
                    <xdr:colOff>885825</xdr:colOff>
                    <xdr:row>1</xdr:row>
                    <xdr:rowOff>161925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6</xdr:col>
                    <xdr:colOff>657225</xdr:colOff>
                    <xdr:row>0</xdr:row>
                    <xdr:rowOff>66675</xdr:rowOff>
                  </from>
                  <to>
                    <xdr:col>8</xdr:col>
                    <xdr:colOff>1000125</xdr:colOff>
                    <xdr:row>1</xdr:row>
                    <xdr:rowOff>200025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5</xdr:col>
                    <xdr:colOff>28575</xdr:colOff>
                    <xdr:row>0</xdr:row>
                    <xdr:rowOff>66675</xdr:rowOff>
                  </from>
                  <to>
                    <xdr:col>6</xdr:col>
                    <xdr:colOff>609600</xdr:colOff>
                    <xdr:row>1</xdr:row>
                    <xdr:rowOff>200025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5</xdr:col>
                    <xdr:colOff>114300</xdr:colOff>
                    <xdr:row>0</xdr:row>
                    <xdr:rowOff>161925</xdr:rowOff>
                  </from>
                  <to>
                    <xdr:col>5</xdr:col>
                    <xdr:colOff>581025</xdr:colOff>
                    <xdr:row>1</xdr:row>
                    <xdr:rowOff>104775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5</xdr:col>
                    <xdr:colOff>628650</xdr:colOff>
                    <xdr:row>0</xdr:row>
                    <xdr:rowOff>161925</xdr:rowOff>
                  </from>
                  <to>
                    <xdr:col>6</xdr:col>
                    <xdr:colOff>19050</xdr:colOff>
                    <xdr:row>1</xdr:row>
                    <xdr:rowOff>104775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6</xdr:col>
                    <xdr:colOff>66675</xdr:colOff>
                    <xdr:row>0</xdr:row>
                    <xdr:rowOff>161925</xdr:rowOff>
                  </from>
                  <to>
                    <xdr:col>6</xdr:col>
                    <xdr:colOff>533400</xdr:colOff>
                    <xdr:row>1</xdr:row>
                    <xdr:rowOff>104775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11</xdr:col>
                    <xdr:colOff>314325</xdr:colOff>
                    <xdr:row>1</xdr:row>
                    <xdr:rowOff>190500</xdr:rowOff>
                  </from>
                  <to>
                    <xdr:col>11</xdr:col>
                    <xdr:colOff>857250</xdr:colOff>
                    <xdr:row>2</xdr:row>
                    <xdr:rowOff>219075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F53924F9-F227-4F7F-9A12-DCE1A492951D}">
            <xm:f>Security!$A$1="NO VBA"</xm:f>
            <x14:dxf>
              <font>
                <color theme="0"/>
              </font>
              <border>
                <vertical/>
                <horizontal/>
              </border>
            </x14:dxf>
          </x14:cfRule>
          <xm:sqref>E1:E3 I1:XFD3 A24:A40 A4:D23 E4:XFD1048576 A41:D1048576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50AE8-E8B6-4316-8D3D-433CE2519E7C}">
  <sheetPr codeName="Sheet14">
    <tabColor theme="9"/>
  </sheetPr>
  <dimension ref="B1:AX38"/>
  <sheetViews>
    <sheetView showGridLines="0" topLeftCell="AL13" zoomScaleNormal="100" workbookViewId="0">
      <selection activeCell="AT22" sqref="AT22"/>
    </sheetView>
  </sheetViews>
  <sheetFormatPr defaultRowHeight="18" customHeight="1" outlineLevelRow="1" outlineLevelCol="1" x14ac:dyDescent="0.3"/>
  <cols>
    <col min="1" max="1" width="1.25" style="7" customWidth="1"/>
    <col min="2" max="2" width="13" style="7" hidden="1" customWidth="1" outlineLevel="1"/>
    <col min="3" max="3" width="18.25" style="7" hidden="1" customWidth="1" outlineLevel="1"/>
    <col min="4" max="4" width="1.25" style="7" hidden="1" customWidth="1" outlineLevel="1"/>
    <col min="5" max="5" width="13" style="7" hidden="1" customWidth="1" outlineLevel="1"/>
    <col min="6" max="6" width="18.25" style="7" hidden="1" customWidth="1" outlineLevel="1"/>
    <col min="7" max="7" width="1.25" style="7" hidden="1" customWidth="1" outlineLevel="1"/>
    <col min="8" max="8" width="13" style="7" hidden="1" customWidth="1" outlineLevel="1"/>
    <col min="9" max="9" width="8.375" style="7" hidden="1" customWidth="1" outlineLevel="1"/>
    <col min="10" max="10" width="7.875" style="7" hidden="1" customWidth="1" outlineLevel="1"/>
    <col min="11" max="11" width="1.25" style="7" hidden="1" customWidth="1" outlineLevel="1"/>
    <col min="12" max="12" width="13" style="7" hidden="1" customWidth="1" outlineLevel="1"/>
    <col min="13" max="13" width="11.75" style="7" hidden="1" customWidth="1" outlineLevel="1"/>
    <col min="14" max="14" width="11.375" style="7" hidden="1" customWidth="1" outlineLevel="1"/>
    <col min="15" max="15" width="9.75" style="7" hidden="1" customWidth="1" outlineLevel="1"/>
    <col min="16" max="16" width="1.25" style="7" customWidth="1" collapsed="1"/>
    <col min="17" max="18" width="9.625" style="7" customWidth="1"/>
    <col min="19" max="19" width="10.375" style="7" bestFit="1" customWidth="1"/>
    <col min="20" max="20" width="16.5" style="7" bestFit="1" customWidth="1"/>
    <col min="21" max="21" width="11.25" style="7" bestFit="1" customWidth="1"/>
    <col min="22" max="22" width="14.5" style="7" bestFit="1" customWidth="1"/>
    <col min="23" max="23" width="14.5" style="7" customWidth="1"/>
    <col min="24" max="24" width="7.25" style="7" bestFit="1" customWidth="1"/>
    <col min="25" max="25" width="9" style="38"/>
    <col min="26" max="26" width="9.375" style="38" bestFit="1" customWidth="1"/>
    <col min="27" max="27" width="8.25" style="7" customWidth="1" outlineLevel="1"/>
    <col min="28" max="28" width="8.125" style="38" customWidth="1" outlineLevel="1"/>
    <col min="29" max="29" width="12.875" style="7" bestFit="1" customWidth="1"/>
    <col min="30" max="30" width="12.875" style="7" customWidth="1"/>
    <col min="31" max="31" width="5.625" style="7" bestFit="1" customWidth="1"/>
    <col min="32" max="32" width="9.625" style="7" customWidth="1"/>
    <col min="33" max="33" width="11.25" style="7" bestFit="1" customWidth="1"/>
    <col min="34" max="34" width="14.5" style="7" bestFit="1" customWidth="1"/>
    <col min="35" max="35" width="7.25" style="7" bestFit="1" customWidth="1"/>
    <col min="36" max="36" width="8.125" style="7" bestFit="1" customWidth="1"/>
    <col min="37" max="37" width="13.25" style="7" customWidth="1" outlineLevel="1"/>
    <col min="38" max="38" width="14.125" style="7" customWidth="1"/>
    <col min="39" max="39" width="14.375" style="7" customWidth="1"/>
    <col min="40" max="40" width="5.75" style="7" customWidth="1"/>
    <col min="41" max="41" width="1.375" style="7" customWidth="1"/>
    <col min="42" max="42" width="6.125" style="7" bestFit="1" customWidth="1"/>
    <col min="43" max="43" width="6" style="7" bestFit="1" customWidth="1"/>
    <col min="44" max="44" width="7.125" style="7" bestFit="1" customWidth="1"/>
    <col min="45" max="45" width="14.5" style="7" bestFit="1" customWidth="1"/>
    <col min="46" max="46" width="13.375" style="7" bestFit="1" customWidth="1"/>
    <col min="47" max="47" width="9" style="7" bestFit="1" customWidth="1"/>
    <col min="48" max="49" width="5.625" style="7" bestFit="1" customWidth="1"/>
    <col min="50" max="50" width="14.5" style="7" customWidth="1" collapsed="1"/>
    <col min="51" max="51" width="13.375" style="7" customWidth="1"/>
    <col min="52" max="53" width="9" style="7" customWidth="1"/>
    <col min="54" max="16384" width="9" style="7"/>
  </cols>
  <sheetData>
    <row r="1" spans="25:38" ht="18" customHeight="1" x14ac:dyDescent="0.3">
      <c r="Y1" s="7"/>
      <c r="Z1" s="7"/>
      <c r="AB1" s="7"/>
      <c r="AD1" s="420"/>
      <c r="AG1" s="7" t="s">
        <v>558</v>
      </c>
      <c r="AH1" s="466">
        <f ca="1">TODAY()</f>
        <v>45852</v>
      </c>
      <c r="AL1" s="225"/>
    </row>
    <row r="2" spans="25:38" ht="18" customHeight="1" x14ac:dyDescent="0.3">
      <c r="Y2" s="7"/>
      <c r="Z2" s="7"/>
      <c r="AB2" s="7"/>
    </row>
    <row r="3" spans="25:38" ht="18" customHeight="1" outlineLevel="1" x14ac:dyDescent="0.3">
      <c r="Y3" s="7"/>
      <c r="Z3" s="7"/>
      <c r="AB3" s="7"/>
    </row>
    <row r="4" spans="25:38" ht="18" customHeight="1" outlineLevel="1" x14ac:dyDescent="0.3">
      <c r="Y4" s="7"/>
      <c r="Z4" s="7"/>
      <c r="AB4" s="7"/>
    </row>
    <row r="5" spans="25:38" ht="18" customHeight="1" outlineLevel="1" x14ac:dyDescent="0.3">
      <c r="Y5" s="7"/>
      <c r="Z5" s="7"/>
      <c r="AB5" s="7"/>
    </row>
    <row r="6" spans="25:38" ht="18" customHeight="1" outlineLevel="1" x14ac:dyDescent="0.3">
      <c r="Y6" s="7"/>
      <c r="Z6" s="7"/>
      <c r="AB6" s="7"/>
    </row>
    <row r="7" spans="25:38" ht="18" customHeight="1" outlineLevel="1" x14ac:dyDescent="0.3">
      <c r="Y7" s="7"/>
      <c r="Z7" s="7"/>
      <c r="AB7" s="7"/>
    </row>
    <row r="8" spans="25:38" ht="18" customHeight="1" outlineLevel="1" x14ac:dyDescent="0.3">
      <c r="Y8" s="7"/>
      <c r="Z8" s="7"/>
      <c r="AB8" s="7"/>
    </row>
    <row r="9" spans="25:38" ht="18" customHeight="1" outlineLevel="1" x14ac:dyDescent="0.3">
      <c r="Y9" s="7"/>
      <c r="Z9" s="7"/>
      <c r="AB9" s="7"/>
    </row>
    <row r="10" spans="25:38" ht="18" customHeight="1" outlineLevel="1" x14ac:dyDescent="0.3">
      <c r="Y10" s="7"/>
      <c r="Z10" s="7"/>
      <c r="AB10" s="7"/>
    </row>
    <row r="11" spans="25:38" ht="18" customHeight="1" outlineLevel="1" x14ac:dyDescent="0.3">
      <c r="Y11" s="7"/>
      <c r="Z11" s="7"/>
      <c r="AB11" s="7"/>
    </row>
    <row r="12" spans="25:38" ht="18" customHeight="1" outlineLevel="1" x14ac:dyDescent="0.3">
      <c r="Y12" s="7"/>
      <c r="Z12" s="7"/>
      <c r="AB12" s="7"/>
    </row>
    <row r="13" spans="25:38" ht="18" customHeight="1" outlineLevel="1" x14ac:dyDescent="0.3">
      <c r="Y13" s="7"/>
      <c r="Z13" s="7"/>
      <c r="AB13" s="7"/>
    </row>
    <row r="14" spans="25:38" ht="18" customHeight="1" outlineLevel="1" x14ac:dyDescent="0.3">
      <c r="Y14" s="7"/>
      <c r="Z14" s="7"/>
    </row>
    <row r="15" spans="25:38" ht="18" customHeight="1" outlineLevel="1" x14ac:dyDescent="0.3">
      <c r="Y15" s="7"/>
      <c r="Z15" s="7"/>
      <c r="AB15" s="7"/>
    </row>
    <row r="16" spans="25:38" ht="18" customHeight="1" outlineLevel="1" x14ac:dyDescent="0.3">
      <c r="Y16" s="7"/>
      <c r="Z16" s="7"/>
      <c r="AB16" s="7"/>
    </row>
    <row r="17" spans="2:48" ht="18" customHeight="1" outlineLevel="1" x14ac:dyDescent="0.3">
      <c r="Y17" s="7"/>
      <c r="Z17" s="7"/>
      <c r="AB17" s="7"/>
    </row>
    <row r="18" spans="2:48" ht="18" customHeight="1" outlineLevel="1" x14ac:dyDescent="0.3">
      <c r="Y18" s="7"/>
      <c r="Z18" s="7"/>
      <c r="AB18" s="7"/>
    </row>
    <row r="19" spans="2:48" ht="16.5" outlineLevel="1" x14ac:dyDescent="0.3">
      <c r="E19" s="545" t="s">
        <v>47</v>
      </c>
      <c r="F19" s="38" t="s">
        <v>1150</v>
      </c>
      <c r="Y19" s="7"/>
      <c r="Z19" s="7"/>
      <c r="AB19" s="7"/>
    </row>
    <row r="20" spans="2:48" ht="18" customHeight="1" x14ac:dyDescent="0.3">
      <c r="Y20" s="7"/>
      <c r="Z20" s="7"/>
      <c r="AB20" s="7"/>
      <c r="AC20" s="420">
        <f>SUM(Table_HieuQuaSX_DinhMuc[Giá trị tiêu thụ])</f>
        <v>90680843.182834223</v>
      </c>
      <c r="AM20" s="420">
        <f ca="1">SUM(Table_HieuQuaSX_KHTieuThu[Giá trị cần đặt])</f>
        <v>69112329.666208744</v>
      </c>
      <c r="AU20" s="67">
        <f>IFERROR(1-(SUM(Table_HieuQuaSX[Giá vốn thực tế])/SUM(Table_HieuQuaSX[Giá vốn mục tiêu])),0)</f>
        <v>1.0565309886262364E-2</v>
      </c>
    </row>
    <row r="21" spans="2:48" ht="16.5" x14ac:dyDescent="0.3">
      <c r="B21" s="545" t="s">
        <v>23</v>
      </c>
      <c r="C21" s="38" t="s">
        <v>1188</v>
      </c>
      <c r="D21" s="38"/>
      <c r="E21" s="545" t="s">
        <v>23</v>
      </c>
      <c r="F21" s="38" t="s">
        <v>1188</v>
      </c>
      <c r="G21" s="38"/>
      <c r="H21" s="545" t="s">
        <v>23</v>
      </c>
      <c r="I21" s="38" t="s">
        <v>17</v>
      </c>
      <c r="J21" s="38" t="s">
        <v>1191</v>
      </c>
      <c r="L21" s="545" t="s">
        <v>23</v>
      </c>
      <c r="M21" s="38" t="s">
        <v>127</v>
      </c>
      <c r="N21" s="38" t="s">
        <v>1192</v>
      </c>
      <c r="O21" s="38" t="s">
        <v>1193</v>
      </c>
      <c r="R21" s="7" t="s">
        <v>47</v>
      </c>
      <c r="S21" s="7" t="s">
        <v>1020</v>
      </c>
      <c r="T21" s="7" t="s">
        <v>1021</v>
      </c>
      <c r="U21" s="7" t="s">
        <v>138</v>
      </c>
      <c r="V21" s="7" t="s">
        <v>567</v>
      </c>
      <c r="W21" s="7" t="s">
        <v>1185</v>
      </c>
      <c r="X21" s="7" t="s">
        <v>321</v>
      </c>
      <c r="Y21" s="7" t="s">
        <v>568</v>
      </c>
      <c r="Z21" s="7" t="s">
        <v>570</v>
      </c>
      <c r="AA21" s="7" t="s">
        <v>573</v>
      </c>
      <c r="AB21" s="7" t="s">
        <v>569</v>
      </c>
      <c r="AC21" s="7" t="s">
        <v>571</v>
      </c>
      <c r="AD21" s="7" t="s">
        <v>1187</v>
      </c>
      <c r="AE21" s="7" t="s">
        <v>873</v>
      </c>
      <c r="AG21" s="7" t="s">
        <v>138</v>
      </c>
      <c r="AH21" s="7" t="s">
        <v>567</v>
      </c>
      <c r="AI21" s="7" t="s">
        <v>321</v>
      </c>
      <c r="AJ21" s="7" t="s">
        <v>569</v>
      </c>
      <c r="AK21" s="7" t="s">
        <v>572</v>
      </c>
      <c r="AL21" s="7" t="s">
        <v>574</v>
      </c>
      <c r="AM21" s="7" t="s">
        <v>565</v>
      </c>
      <c r="AN21" s="7" t="s">
        <v>873</v>
      </c>
      <c r="AP21" s="337" t="s">
        <v>3</v>
      </c>
      <c r="AQ21" s="7" t="s">
        <v>2</v>
      </c>
      <c r="AR21" s="7" t="s">
        <v>1</v>
      </c>
      <c r="AS21" s="7" t="s">
        <v>575</v>
      </c>
      <c r="AT21" s="7" t="s">
        <v>576</v>
      </c>
      <c r="AU21" s="7" t="s">
        <v>68</v>
      </c>
      <c r="AV21" s="7" t="s">
        <v>873</v>
      </c>
    </row>
    <row r="22" spans="2:48" ht="16.5" x14ac:dyDescent="0.3">
      <c r="B22" s="463" t="s">
        <v>1150</v>
      </c>
      <c r="C22" s="548">
        <v>319894.73684210522</v>
      </c>
      <c r="D22" s="38"/>
      <c r="E22" s="463" t="s">
        <v>1153</v>
      </c>
      <c r="F22" s="548">
        <v>210526.31578947368</v>
      </c>
      <c r="G22" s="38"/>
      <c r="H22" s="463" t="s">
        <v>1153</v>
      </c>
      <c r="I22" s="548">
        <v>169</v>
      </c>
      <c r="J22" s="548">
        <v>746.89799240368961</v>
      </c>
      <c r="L22" s="549">
        <v>45717</v>
      </c>
      <c r="M22" s="548">
        <v>25000000</v>
      </c>
      <c r="N22" s="548">
        <v>27200000</v>
      </c>
      <c r="O22" s="550">
        <v>-8.8000000000000078E-2</v>
      </c>
      <c r="Q22" s="7" t="str" cm="1">
        <f t="array" ref="Q22:Q24">_xlfn._xlws.SORT(Table_SKU[Mã SKU])</f>
        <v>HH1</v>
      </c>
      <c r="R22" s="15" t="s">
        <v>1150</v>
      </c>
      <c r="S22" s="18">
        <f>IFERROR(VLOOKUP(Table_HieuQuaSX_DinhMuc[[#This Row],[SKU]],Table_SKU[[Mã SKU]:[Add]],COUNTA(Table_SKU[[#Headers],[Mã SKU]:[Đơn vị]]),0),0)</f>
        <v>0</v>
      </c>
      <c r="T22" s="15">
        <v>200</v>
      </c>
      <c r="U22" s="7" t="s">
        <v>1153</v>
      </c>
      <c r="W22"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2" s="28">
        <f>IFERROR(VLOOKUP(Table_HieuQuaSX_DinhMuc[[#This Row],[Nguyên liệu]],Table_NguyenLieu[[Mã Nguyên liệu]:[Đơn vị]],Sheet_NguyenLieu!$F$1,0),0)</f>
        <v>0</v>
      </c>
      <c r="Y22" s="467">
        <v>2</v>
      </c>
      <c r="Z22" s="68">
        <v>0.05</v>
      </c>
      <c r="AA22" s="18">
        <f>IFERROR(
Table_HieuQuaSX_DinhMuc[[#This Row],[Định mức]]*Table_HieuQuaSX_DinhMuc[[#This Row],[Sản lượng kế hoạch]]/(1-Table_HieuQuaSX_DinhMuc[[#This Row],[Hao hụt]]),0)</f>
        <v>421.0526315789474</v>
      </c>
      <c r="AB22"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2" s="18">
        <f>Table_HieuQuaSX_DinhMuc[[#This Row],[Đơn giá]]*Table_HieuQuaSX_DinhMuc[[#This Row],[Số lượng tiêu thụ]]</f>
        <v>26614315.789473686</v>
      </c>
      <c r="AD22" s="18">
        <f>Table_HieuQuaSX_DinhMuc[[#This Row],[Giá trị tiêu thụ]]/Table_HieuQuaSX_DinhMuc[[#This Row],[Sản lượng kế hoạch]]</f>
        <v>133071.57894736843</v>
      </c>
      <c r="AF22" s="7" t="str" cm="1">
        <f t="array" ref="AF22:AF23">_xlfn._xlws.SORT(Table_NguyenLieu[Mã Nguyên liệu])</f>
        <v>NL1</v>
      </c>
      <c r="AG22" s="7" t="s">
        <v>1153</v>
      </c>
      <c r="AI22" s="28">
        <f>IFERROR(VLOOKUP(Table_HieuQuaSX_KHTieuThu[[#This Row],[Nguyên liệu]],Table_NguyenLieu[[Mã Nguyên liệu]:[Đơn vị]],Sheet_NguyenLieu!$F$1,0),0)</f>
        <v>0</v>
      </c>
      <c r="AJ22" s="34" cm="1">
        <f t="array" ref="AJ22">IFERROR(
SUM(_xlfn._xlws.FILTER(Table_NguonHang[Giá trị],
(Table_NguonHang[Đối tượng] = Table_HieuQuaSX_KHTieuThu[[#This Row],[Nguyên liệu]])))
/SUM(_xlfn._xlws.FILTER(Table_NguonHang[Lượng đặt],
(Table_NguonHang[Đối tượng] = Table_HieuQuaSX_KHTieuThu[[#This Row],[Nguyên liệu]]))),
0)</f>
        <v>63209</v>
      </c>
      <c r="AK22"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169</v>
      </c>
      <c r="AL22" s="18" cm="1">
        <f t="array" aca="1" ref="AL22"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746.89799240368961</v>
      </c>
      <c r="AM22" s="18">
        <f ca="1">Table_HieuQuaSX_KHTieuThu[[#This Row],[Số lượng cần đặt]]*Table_HieuQuaSX_KHTieuThu[[#This Row],[Đơn giá]]</f>
        <v>47210675.201844819</v>
      </c>
      <c r="AP22" s="432">
        <f>IFERROR(DATE(Table_HieuQuaSX[[#This Row],[Năm]],Table_HieuQuaSX[[#This Row],[Tháng]],1),0)</f>
        <v>45717</v>
      </c>
      <c r="AQ22" s="7">
        <v>2025</v>
      </c>
      <c r="AR22" s="7">
        <v>3</v>
      </c>
      <c r="AS22" s="15">
        <v>25000000</v>
      </c>
      <c r="AT22" s="18" cm="1">
        <f t="array" ref="AT22">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f>
        <v>27200000</v>
      </c>
      <c r="AU22" s="423">
        <f>1-(Table_HieuQuaSX[[#This Row],[Giá vốn thực tế]]/Table_HieuQuaSX[[#This Row],[Giá vốn mục tiêu]])</f>
        <v>-8.8000000000000078E-2</v>
      </c>
    </row>
    <row r="23" spans="2:48" ht="16.5" x14ac:dyDescent="0.3">
      <c r="B23" s="463" t="s">
        <v>1151</v>
      </c>
      <c r="C23" s="548">
        <v>339175.25773195876</v>
      </c>
      <c r="D23" s="38"/>
      <c r="E23" s="463" t="s">
        <v>1152</v>
      </c>
      <c r="F23" s="548">
        <v>105263.15789473684</v>
      </c>
      <c r="G23" s="38"/>
      <c r="H23" s="463" t="s">
        <v>1152</v>
      </c>
      <c r="I23" s="548">
        <v>88</v>
      </c>
      <c r="J23" s="548">
        <v>264.68583830710799</v>
      </c>
      <c r="L23" s="549">
        <v>45748</v>
      </c>
      <c r="M23" s="548">
        <v>20000000</v>
      </c>
      <c r="N23" s="548">
        <v>18730437.570594341</v>
      </c>
      <c r="O23" s="550">
        <v>6.3478121470282978E-2</v>
      </c>
      <c r="Q23" s="7" t="str">
        <v>TP1</v>
      </c>
      <c r="R23" s="15" t="s">
        <v>1150</v>
      </c>
      <c r="S23" s="18">
        <f>IFERROR(VLOOKUP(Table_HieuQuaSX_DinhMuc[[#This Row],[SKU]],Table_SKU[[Mã SKU]:[Add]],COUNTA(Table_SKU[[#Headers],[Mã SKU]:[Đơn vị]]),0),0)</f>
        <v>0</v>
      </c>
      <c r="T23" s="15">
        <v>200</v>
      </c>
      <c r="U23" s="7" t="s">
        <v>1152</v>
      </c>
      <c r="W23"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3" s="28">
        <f>IFERROR(VLOOKUP(Table_HieuQuaSX_DinhMuc[[#This Row],[Nguyên liệu]],Table_NguyenLieu[[Mã Nguyên liệu]:[Đơn vị]],Sheet_NguyenLieu!$F$1,0),0)</f>
        <v>0</v>
      </c>
      <c r="Y23" s="467">
        <v>0.5</v>
      </c>
      <c r="Z23" s="68">
        <v>0.05</v>
      </c>
      <c r="AA23" s="18">
        <f>IFERROR(
Table_HieuQuaSX_DinhMuc[[#This Row],[Định mức]]*Table_HieuQuaSX_DinhMuc[[#This Row],[Sản lượng kế hoạch]]/(1-Table_HieuQuaSX_DinhMuc[[#This Row],[Hao hụt]]),0)</f>
        <v>105.26315789473685</v>
      </c>
      <c r="AB23"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3" s="18">
        <f>Table_HieuQuaSX_DinhMuc[[#This Row],[Đơn giá]]*Table_HieuQuaSX_DinhMuc[[#This Row],[Số lượng tiêu thụ]]</f>
        <v>8710089.3904394321</v>
      </c>
      <c r="AD23" s="18">
        <f>Table_HieuQuaSX_DinhMuc[[#This Row],[Giá trị tiêu thụ]]/Table_HieuQuaSX_DinhMuc[[#This Row],[Sản lượng kế hoạch]]</f>
        <v>43550.446952197162</v>
      </c>
      <c r="AF23" s="7" t="str">
        <v>NL2</v>
      </c>
      <c r="AG23" s="7" t="s">
        <v>1152</v>
      </c>
      <c r="AI23" s="28">
        <f>IFERROR(VLOOKUP(Table_HieuQuaSX_KHTieuThu[[#This Row],[Nguyên liệu]],Table_NguyenLieu[[Mã Nguyên liệu]:[Đơn vị]],Sheet_NguyenLieu!$F$1,0),0)</f>
        <v>0</v>
      </c>
      <c r="AJ23" s="34" cm="1">
        <f t="array" ref="AJ23">IFERROR(
SUM(_xlfn._xlws.FILTER(Table_NguonHang[Giá trị],
(Table_NguonHang[Đối tượng] = Table_HieuQuaSX_KHTieuThu[[#This Row],[Nguyên liệu]])))
/SUM(_xlfn._xlws.FILTER(Table_NguonHang[Lượng đặt],
(Table_NguonHang[Đối tượng] = Table_HieuQuaSX_KHTieuThu[[#This Row],[Nguyên liệu]]))),
0)</f>
        <v>82745.849209174601</v>
      </c>
      <c r="AK23"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88</v>
      </c>
      <c r="AL23" s="18" cm="1">
        <f t="array" aca="1" ref="AL23"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264.68583830710799</v>
      </c>
      <c r="AM23" s="18">
        <f ca="1">Table_HieuQuaSX_KHTieuThu[[#This Row],[Số lượng cần đặt]]*Table_HieuQuaSX_KHTieuThu[[#This Row],[Đơn giá]]</f>
        <v>21901654.464363929</v>
      </c>
      <c r="AP23" s="432">
        <f>IFERROR(DATE(Table_HieuQuaSX[[#This Row],[Năm]],Table_HieuQuaSX[[#This Row],[Tháng]],1),0)</f>
        <v>45748</v>
      </c>
      <c r="AQ23" s="7">
        <v>2025</v>
      </c>
      <c r="AR23" s="7">
        <v>4</v>
      </c>
      <c r="AS23" s="15">
        <v>20000000</v>
      </c>
      <c r="AT23" s="18" cm="1">
        <f t="array" ref="AT23">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f>
        <v>18730437.570594341</v>
      </c>
      <c r="AU23" s="423">
        <f>1-(Table_HieuQuaSX[[#This Row],[Giá vốn thực tế]]/Table_HieuQuaSX[[#This Row],[Giá vốn mục tiêu]])</f>
        <v>6.3478121470282978E-2</v>
      </c>
    </row>
    <row r="24" spans="2:48" ht="16.5" x14ac:dyDescent="0.3">
      <c r="B24" s="463" t="s">
        <v>1102</v>
      </c>
      <c r="C24" s="548">
        <v>659069.99457406392</v>
      </c>
      <c r="D24" s="38"/>
      <c r="E24" s="463" t="s">
        <v>1190</v>
      </c>
      <c r="F24" s="548">
        <v>4105.2631578947367</v>
      </c>
      <c r="G24" s="38"/>
      <c r="H24" s="463" t="s">
        <v>1102</v>
      </c>
      <c r="I24" s="548">
        <v>257</v>
      </c>
      <c r="J24" s="548">
        <v>1011.5838307107977</v>
      </c>
      <c r="L24" s="549">
        <v>45778</v>
      </c>
      <c r="M24" s="548">
        <v>10000000</v>
      </c>
      <c r="N24" s="548">
        <v>8488470.3856612295</v>
      </c>
      <c r="O24" s="550">
        <v>0.15115296143387702</v>
      </c>
      <c r="Q24" s="7" t="str">
        <v>TP2</v>
      </c>
      <c r="R24" s="15" t="s">
        <v>1150</v>
      </c>
      <c r="S24" s="18">
        <f>IFERROR(VLOOKUP(Table_HieuQuaSX_DinhMuc[[#This Row],[SKU]],Table_SKU[[Mã SKU]:[Add]],COUNTA(Table_SKU[[#Headers],[Mã SKU]:[Đơn vị]]),0),0)</f>
        <v>0</v>
      </c>
      <c r="T24" s="15">
        <v>200</v>
      </c>
      <c r="V24" s="7" t="s">
        <v>761</v>
      </c>
      <c r="W24"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Điện</v>
      </c>
      <c r="X24" s="28" t="s">
        <v>1186</v>
      </c>
      <c r="Y24" s="467">
        <v>1.3</v>
      </c>
      <c r="Z24" s="68">
        <v>0.05</v>
      </c>
      <c r="AA24" s="18">
        <f>IFERROR(
Table_HieuQuaSX_DinhMuc[[#This Row],[Định mức]]*Table_HieuQuaSX_DinhMuc[[#This Row],[Sản lượng kế hoạch]]/(1-Table_HieuQuaSX_DinhMuc[[#This Row],[Hao hụt]]),0)</f>
        <v>273.68421052631578</v>
      </c>
      <c r="AB24"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3000</v>
      </c>
      <c r="AC24" s="18">
        <f>Table_HieuQuaSX_DinhMuc[[#This Row],[Đơn giá]]*Table_HieuQuaSX_DinhMuc[[#This Row],[Số lượng tiêu thụ]]</f>
        <v>821052.6315789473</v>
      </c>
      <c r="AD24" s="18">
        <f>Table_HieuQuaSX_DinhMuc[[#This Row],[Giá trị tiêu thụ]]/Table_HieuQuaSX_DinhMuc[[#This Row],[Sản lượng kế hoạch]]</f>
        <v>4105.2631578947367</v>
      </c>
      <c r="AH24" s="7" t="s">
        <v>761</v>
      </c>
      <c r="AI24" s="28">
        <f>IFERROR(VLOOKUP(Table_HieuQuaSX_KHTieuThu[[#This Row],[Nguyên liệu]],Table_NguyenLieu[[Mã Nguyên liệu]:[Đơn vị]],Sheet_NguyenLieu!$F$1,0),0)</f>
        <v>0</v>
      </c>
      <c r="AJ24" s="34">
        <v>3000</v>
      </c>
      <c r="AK24"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4" s="18" cm="1">
        <f t="array" ref="AL24"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4" s="18">
        <f>Table_HieuQuaSX_KHTieuThu[[#This Row],[Số lượng cần đặt]]*Table_HieuQuaSX_KHTieuThu[[#This Row],[Đơn giá]]</f>
        <v>0</v>
      </c>
      <c r="AP24" s="432">
        <f>IFERROR(DATE(Table_HieuQuaSX[[#This Row],[Năm]],Table_HieuQuaSX[[#This Row],[Tháng]],1),0)</f>
        <v>45778</v>
      </c>
      <c r="AQ24" s="7">
        <v>2025</v>
      </c>
      <c r="AR24" s="7">
        <v>5</v>
      </c>
      <c r="AS24" s="15">
        <v>10000000</v>
      </c>
      <c r="AT24" s="18" cm="1">
        <f t="array" ref="AT24">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f>
        <v>8488470.3856612295</v>
      </c>
      <c r="AU24" s="423">
        <f>1-(Table_HieuQuaSX[[#This Row],[Giá vốn thực tế]]/Table_HieuQuaSX[[#This Row],[Giá vốn mục tiêu]])</f>
        <v>0.15115296143387702</v>
      </c>
    </row>
    <row r="25" spans="2:48" ht="16.5" x14ac:dyDescent="0.3">
      <c r="B25" s="38"/>
      <c r="C25" s="38"/>
      <c r="D25" s="38"/>
      <c r="E25" s="463" t="s">
        <v>1102</v>
      </c>
      <c r="F25" s="548">
        <v>319894.73684210522</v>
      </c>
      <c r="G25" s="38"/>
      <c r="H25" s="38"/>
      <c r="I25" s="38"/>
      <c r="J25" s="38"/>
      <c r="L25" s="549" t="s">
        <v>1102</v>
      </c>
      <c r="M25" s="548">
        <v>55000000</v>
      </c>
      <c r="N25" s="548">
        <v>54418907.95625557</v>
      </c>
      <c r="O25" s="550">
        <v>0.12663108290415992</v>
      </c>
      <c r="R25" s="15" t="s">
        <v>1151</v>
      </c>
      <c r="S25" s="18">
        <f>IFERROR(VLOOKUP(Table_HieuQuaSX_DinhMuc[[#This Row],[SKU]],Table_SKU[[Mã SKU]:[Add]],COUNTA(Table_SKU[[#Headers],[Mã SKU]:[Đơn vị]]),0),0)</f>
        <v>0</v>
      </c>
      <c r="T25" s="15">
        <v>300</v>
      </c>
      <c r="U25" s="7" t="s">
        <v>1153</v>
      </c>
      <c r="W25"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5" s="28">
        <f>IFERROR(VLOOKUP(Table_HieuQuaSX_DinhMuc[[#This Row],[Nguyên liệu]],Table_NguyenLieu[[Mã Nguyên liệu]:[Đơn vị]],Sheet_NguyenLieu!$F$1,0),0)</f>
        <v>0</v>
      </c>
      <c r="Y25" s="467">
        <v>1.6</v>
      </c>
      <c r="Z25" s="68">
        <v>0.03</v>
      </c>
      <c r="AA25" s="18">
        <f>IFERROR(
Table_HieuQuaSX_DinhMuc[[#This Row],[Định mức]]*Table_HieuQuaSX_DinhMuc[[#This Row],[Sản lượng kế hoạch]]/(1-Table_HieuQuaSX_DinhMuc[[#This Row],[Hao hụt]]),0)</f>
        <v>494.84536082474227</v>
      </c>
      <c r="AB25"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5" s="18">
        <f>Table_HieuQuaSX_DinhMuc[[#This Row],[Đơn giá]]*Table_HieuQuaSX_DinhMuc[[#This Row],[Số lượng tiêu thụ]]</f>
        <v>31278680.412371133</v>
      </c>
      <c r="AD25" s="18">
        <f>Table_HieuQuaSX_DinhMuc[[#This Row],[Giá trị tiêu thụ]]/Table_HieuQuaSX_DinhMuc[[#This Row],[Sản lượng kế hoạch]]</f>
        <v>104262.26804123711</v>
      </c>
      <c r="AH25" s="7" t="s">
        <v>763</v>
      </c>
      <c r="AI25" s="28">
        <f>IFERROR(VLOOKUP(Table_HieuQuaSX_KHTieuThu[[#This Row],[Nguyên liệu]],Table_NguyenLieu[[Mã Nguyên liệu]:[Đơn vị]],Sheet_NguyenLieu!$F$1,0),0)</f>
        <v>0</v>
      </c>
      <c r="AJ25" s="34">
        <v>20000</v>
      </c>
      <c r="AK25"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5" s="18" cm="1">
        <f t="array" ref="AL25"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5" s="18">
        <f>Table_HieuQuaSX_KHTieuThu[[#This Row],[Số lượng cần đặt]]*Table_HieuQuaSX_KHTieuThu[[#This Row],[Đơn giá]]</f>
        <v>0</v>
      </c>
    </row>
    <row r="26" spans="2:48" ht="16.5" x14ac:dyDescent="0.3">
      <c r="B26" s="38"/>
      <c r="C26" s="38"/>
      <c r="D26" s="38"/>
      <c r="E26" s="38"/>
      <c r="F26" s="38"/>
      <c r="G26" s="38"/>
      <c r="H26" s="38"/>
      <c r="I26" s="38"/>
      <c r="J26" s="38"/>
      <c r="L26" s="38"/>
      <c r="M26" s="38"/>
      <c r="N26" s="38"/>
      <c r="O26" s="38"/>
      <c r="R26" s="15" t="s">
        <v>1151</v>
      </c>
      <c r="S26" s="18">
        <f>IFERROR(VLOOKUP(Table_HieuQuaSX_DinhMuc[[#This Row],[SKU]],Table_SKU[[Mã SKU]:[Add]],COUNTA(Table_SKU[[#Headers],[Mã SKU]:[Đơn vị]]),0),0)</f>
        <v>0</v>
      </c>
      <c r="T26" s="15">
        <v>300</v>
      </c>
      <c r="U26" s="7" t="s">
        <v>1152</v>
      </c>
      <c r="W26"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6" s="28">
        <f>IFERROR(VLOOKUP(Table_HieuQuaSX_DinhMuc[[#This Row],[Nguyên liệu]],Table_NguyenLieu[[Mã Nguyên liệu]:[Đơn vị]],Sheet_NguyenLieu!$F$1,0),0)</f>
        <v>0</v>
      </c>
      <c r="Y26" s="467">
        <v>0.8</v>
      </c>
      <c r="Z26" s="68">
        <v>0.03</v>
      </c>
      <c r="AA26" s="18">
        <f>IFERROR(
Table_HieuQuaSX_DinhMuc[[#This Row],[Định mức]]*Table_HieuQuaSX_DinhMuc[[#This Row],[Sản lượng kế hoạch]]/(1-Table_HieuQuaSX_DinhMuc[[#This Row],[Hao hụt]]),0)</f>
        <v>247.42268041237114</v>
      </c>
      <c r="AB26"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6" s="18">
        <f>Table_HieuQuaSX_DinhMuc[[#This Row],[Đơn giá]]*Table_HieuQuaSX_DinhMuc[[#This Row],[Số lượng tiêu thụ]]</f>
        <v>20473199.804331861</v>
      </c>
      <c r="AD26" s="18">
        <f>Table_HieuQuaSX_DinhMuc[[#This Row],[Giá trị tiêu thụ]]/Table_HieuQuaSX_DinhMuc[[#This Row],[Sản lượng kế hoạch]]</f>
        <v>68243.999347772871</v>
      </c>
    </row>
    <row r="27" spans="2:48" ht="16.5" x14ac:dyDescent="0.3">
      <c r="B27" s="38"/>
      <c r="C27" s="38"/>
      <c r="D27" s="38"/>
      <c r="E27" s="38"/>
      <c r="F27" s="38"/>
      <c r="G27" s="38"/>
      <c r="H27" s="38"/>
      <c r="I27" s="38"/>
      <c r="J27" s="38"/>
      <c r="L27" s="38"/>
      <c r="M27" s="38"/>
      <c r="N27" s="38"/>
      <c r="O27" s="38"/>
      <c r="R27" s="15" t="s">
        <v>1151</v>
      </c>
      <c r="S27" s="18">
        <f>IFERROR(VLOOKUP(Table_HieuQuaSX_DinhMuc[[#This Row],[SKU]],Table_SKU[[Mã SKU]:[Add]],COUNTA(Table_SKU[[#Headers],[Mã SKU]:[Đơn vị]]),0),0)</f>
        <v>0</v>
      </c>
      <c r="T27" s="15">
        <v>300</v>
      </c>
      <c r="V27" s="7" t="s">
        <v>763</v>
      </c>
      <c r="W27"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Nước</v>
      </c>
      <c r="X27" s="28" t="s">
        <v>1189</v>
      </c>
      <c r="Y27" s="467">
        <v>0.45</v>
      </c>
      <c r="Z27" s="68">
        <v>0.03</v>
      </c>
      <c r="AA27" s="18">
        <f>IFERROR(
Table_HieuQuaSX_DinhMuc[[#This Row],[Định mức]]*Table_HieuQuaSX_DinhMuc[[#This Row],[Sản lượng kế hoạch]]/(1-Table_HieuQuaSX_DinhMuc[[#This Row],[Hao hụt]]),0)</f>
        <v>139.17525773195877</v>
      </c>
      <c r="AB27"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20000</v>
      </c>
      <c r="AC27" s="18">
        <f>Table_HieuQuaSX_DinhMuc[[#This Row],[Đơn giá]]*Table_HieuQuaSX_DinhMuc[[#This Row],[Số lượng tiêu thụ]]</f>
        <v>2783505.1546391752</v>
      </c>
      <c r="AD27" s="18">
        <f>Table_HieuQuaSX_DinhMuc[[#This Row],[Giá trị tiêu thụ]]/Table_HieuQuaSX_DinhMuc[[#This Row],[Sản lượng kế hoạch]]</f>
        <v>9278.350515463917</v>
      </c>
    </row>
    <row r="28" spans="2:48" ht="16.5" x14ac:dyDescent="0.3">
      <c r="B28" s="38"/>
      <c r="C28" s="38"/>
      <c r="D28" s="38"/>
      <c r="E28" s="38"/>
      <c r="F28" s="38"/>
      <c r="G28" s="38"/>
      <c r="H28" s="38"/>
      <c r="I28" s="38"/>
      <c r="J28" s="38"/>
      <c r="L28" s="38"/>
      <c r="M28" s="38"/>
      <c r="N28" s="38"/>
      <c r="O28" s="38"/>
    </row>
    <row r="29" spans="2:48" ht="16.5" x14ac:dyDescent="0.3">
      <c r="B29" s="38"/>
      <c r="C29" s="38"/>
      <c r="D29" s="38"/>
      <c r="E29" s="38"/>
      <c r="F29" s="38"/>
      <c r="G29" s="38"/>
      <c r="H29" s="38"/>
      <c r="I29" s="38"/>
      <c r="J29" s="38"/>
      <c r="L29" s="38"/>
      <c r="M29" s="38"/>
      <c r="N29" s="38"/>
      <c r="O29" s="38"/>
    </row>
    <row r="30" spans="2:48" ht="16.5" x14ac:dyDescent="0.3">
      <c r="B30" s="38"/>
      <c r="C30" s="38"/>
      <c r="D30" s="38"/>
      <c r="E30" s="38"/>
      <c r="F30" s="38"/>
      <c r="G30" s="38"/>
      <c r="H30" s="38"/>
      <c r="I30" s="38"/>
      <c r="J30" s="38"/>
      <c r="L30" s="38"/>
      <c r="M30" s="38"/>
      <c r="N30" s="38"/>
      <c r="O30" s="38"/>
    </row>
    <row r="31" spans="2:48" ht="16.5" x14ac:dyDescent="0.3">
      <c r="B31" s="38"/>
      <c r="C31" s="38"/>
      <c r="D31" s="38"/>
      <c r="E31" s="38"/>
      <c r="F31" s="38"/>
      <c r="G31" s="38"/>
      <c r="H31" s="38"/>
      <c r="I31" s="38"/>
      <c r="J31" s="38"/>
      <c r="L31" s="38"/>
      <c r="M31" s="38"/>
      <c r="N31" s="38"/>
      <c r="O31" s="38"/>
    </row>
    <row r="32" spans="2:48" ht="16.5" x14ac:dyDescent="0.3">
      <c r="B32" s="38"/>
      <c r="C32" s="38"/>
      <c r="D32" s="38"/>
      <c r="E32" s="38"/>
      <c r="F32" s="38"/>
      <c r="G32" s="38"/>
      <c r="H32" s="38"/>
      <c r="I32" s="38"/>
      <c r="J32" s="38"/>
      <c r="L32" s="38"/>
      <c r="M32" s="38"/>
      <c r="N32" s="38"/>
      <c r="O32" s="38"/>
    </row>
    <row r="33" spans="2:15" ht="16.5" x14ac:dyDescent="0.3">
      <c r="B33" s="38"/>
      <c r="C33" s="38"/>
      <c r="D33" s="38"/>
      <c r="E33" s="38"/>
      <c r="F33" s="38"/>
      <c r="G33" s="38"/>
      <c r="H33" s="38"/>
      <c r="I33" s="38"/>
      <c r="J33" s="38"/>
      <c r="L33" s="38"/>
      <c r="M33" s="38"/>
      <c r="N33" s="38"/>
      <c r="O33" s="38"/>
    </row>
    <row r="34" spans="2:15" ht="16.5" x14ac:dyDescent="0.3">
      <c r="B34" s="38"/>
      <c r="C34" s="38"/>
      <c r="D34" s="38"/>
      <c r="E34" s="38"/>
      <c r="F34" s="38"/>
      <c r="G34" s="38"/>
      <c r="H34" s="38"/>
      <c r="I34" s="38"/>
      <c r="J34" s="38"/>
      <c r="L34" s="38"/>
      <c r="M34" s="38"/>
      <c r="N34" s="38"/>
      <c r="O34" s="38"/>
    </row>
    <row r="35" spans="2:15" ht="16.5" x14ac:dyDescent="0.3">
      <c r="B35" s="38"/>
      <c r="C35" s="38"/>
      <c r="D35" s="38"/>
      <c r="E35" s="38"/>
      <c r="F35" s="38"/>
      <c r="G35" s="38"/>
      <c r="H35" s="38"/>
      <c r="I35" s="38"/>
      <c r="J35" s="38"/>
      <c r="L35" s="38"/>
      <c r="M35" s="38"/>
      <c r="N35" s="38"/>
      <c r="O35" s="38"/>
    </row>
    <row r="36" spans="2:15" ht="16.5" x14ac:dyDescent="0.3">
      <c r="B36" s="38"/>
      <c r="C36" s="38"/>
      <c r="D36" s="38"/>
      <c r="E36" s="38"/>
      <c r="F36" s="38"/>
      <c r="G36" s="38"/>
      <c r="H36" s="38"/>
      <c r="I36" s="38"/>
      <c r="J36" s="38"/>
      <c r="L36" s="38"/>
      <c r="M36" s="38"/>
      <c r="N36" s="38"/>
      <c r="O36" s="38"/>
    </row>
    <row r="37" spans="2:15" ht="16.5" x14ac:dyDescent="0.3">
      <c r="B37" s="38"/>
      <c r="C37" s="38"/>
      <c r="D37" s="38"/>
      <c r="E37" s="38"/>
      <c r="F37" s="38"/>
      <c r="G37" s="38"/>
      <c r="H37" s="38"/>
      <c r="I37" s="38"/>
      <c r="J37" s="38"/>
      <c r="L37" s="38"/>
      <c r="M37" s="38"/>
      <c r="N37" s="38"/>
      <c r="O37" s="38"/>
    </row>
    <row r="38" spans="2:15" ht="16.5" x14ac:dyDescent="0.3">
      <c r="B38" s="38"/>
      <c r="C38" s="38"/>
      <c r="D38" s="38"/>
      <c r="E38" s="38"/>
      <c r="F38" s="38"/>
      <c r="G38" s="38"/>
      <c r="H38" s="38"/>
      <c r="I38" s="38"/>
      <c r="J38" s="38"/>
      <c r="L38" s="38"/>
      <c r="M38" s="38"/>
      <c r="N38" s="38"/>
      <c r="O38" s="38"/>
    </row>
  </sheetData>
  <sheetProtection algorithmName="SHA-512" hashValue="RKaaxSosfeq6qGyGZWpg+CihSpfLx25WWpoBCLqc6LTgi0nippooTsdax/sn+5C2V/V8yiz3XhTV92maP1L23g==" saltValue="P0Sa+x5MksPoOcJfAFxBOQ==" spinCount="100000" sheet="1" scenarios="1" formatCells="0" formatColumns="0" formatRows="0" insertColumns="0" insertRows="0" deleteColumns="0" deleteRows="0" sort="0" autoFilter="0" pivotTables="0"/>
  <dataValidations count="2">
    <dataValidation type="list" allowBlank="1" showInputMessage="1" showErrorMessage="1" sqref="R22:R27" xr:uid="{24AC66DE-2891-4292-9F19-C9E0DC056FBD}">
      <formula1>Ma_SKU</formula1>
    </dataValidation>
    <dataValidation type="list" errorStyle="warning" allowBlank="1" showInputMessage="1" sqref="AG22:AG25 U22:U27" xr:uid="{76F21AB3-EB28-4A49-8102-1C356DD8FAC9}">
      <formula1>MaNguyenLieu</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7360" r:id="rId7" name="Option Button 16">
              <controlPr defaultSize="0" autoFill="0" autoLine="0" autoPict="0" macro="[0]!DoiDonViHienThi">
                <anchor moveWithCells="1">
                  <from>
                    <xdr:col>19</xdr:col>
                    <xdr:colOff>685800</xdr:colOff>
                    <xdr:row>0</xdr:row>
                    <xdr:rowOff>85725</xdr:rowOff>
                  </from>
                  <to>
                    <xdr:col>20</xdr:col>
                    <xdr:colOff>142875</xdr:colOff>
                    <xdr:row>1</xdr:row>
                    <xdr:rowOff>133350</xdr:rowOff>
                  </to>
                </anchor>
              </controlPr>
            </control>
          </mc:Choice>
        </mc:AlternateContent>
        <mc:AlternateContent xmlns:mc="http://schemas.openxmlformats.org/markup-compatibility/2006">
          <mc:Choice Requires="x14">
            <control shapeId="57361" r:id="rId8" name="Option Button 17">
              <controlPr defaultSize="0" autoFill="0" autoLine="0" autoPict="0" macro="[0]!DoiDonViHienThi">
                <anchor moveWithCells="1">
                  <from>
                    <xdr:col>19</xdr:col>
                    <xdr:colOff>1247775</xdr:colOff>
                    <xdr:row>0</xdr:row>
                    <xdr:rowOff>85725</xdr:rowOff>
                  </from>
                  <to>
                    <xdr:col>20</xdr:col>
                    <xdr:colOff>704850</xdr:colOff>
                    <xdr:row>1</xdr:row>
                    <xdr:rowOff>133350</xdr:rowOff>
                  </to>
                </anchor>
              </controlPr>
            </control>
          </mc:Choice>
        </mc:AlternateContent>
        <mc:AlternateContent xmlns:mc="http://schemas.openxmlformats.org/markup-compatibility/2006">
          <mc:Choice Requires="x14">
            <control shapeId="57362" r:id="rId9" name="Option Button 18">
              <controlPr defaultSize="0" autoFill="0" autoLine="0" autoPict="0" macro="[0]!DoiDonViHienThi">
                <anchor moveWithCells="1">
                  <from>
                    <xdr:col>20</xdr:col>
                    <xdr:colOff>561975</xdr:colOff>
                    <xdr:row>0</xdr:row>
                    <xdr:rowOff>85725</xdr:rowOff>
                  </from>
                  <to>
                    <xdr:col>21</xdr:col>
                    <xdr:colOff>419100</xdr:colOff>
                    <xdr:row>1</xdr:row>
                    <xdr:rowOff>133350</xdr:rowOff>
                  </to>
                </anchor>
              </controlPr>
            </control>
          </mc:Choice>
        </mc:AlternateContent>
        <mc:AlternateContent xmlns:mc="http://schemas.openxmlformats.org/markup-compatibility/2006">
          <mc:Choice Requires="x14">
            <control shapeId="57363" r:id="rId10" name="Option Button 19">
              <controlPr defaultSize="0" autoFill="0" autoLine="0" autoPict="0" macro="[0]!DoiDonViHienThi">
                <anchor moveWithCells="1">
                  <from>
                    <xdr:col>21</xdr:col>
                    <xdr:colOff>266700</xdr:colOff>
                    <xdr:row>0</xdr:row>
                    <xdr:rowOff>85725</xdr:rowOff>
                  </from>
                  <to>
                    <xdr:col>21</xdr:col>
                    <xdr:colOff>704850</xdr:colOff>
                    <xdr:row>1</xdr:row>
                    <xdr:rowOff>133350</xdr:rowOff>
                  </to>
                </anchor>
              </controlPr>
            </control>
          </mc:Choice>
        </mc:AlternateContent>
        <mc:AlternateContent xmlns:mc="http://schemas.openxmlformats.org/markup-compatibility/2006">
          <mc:Choice Requires="x14">
            <control shapeId="57364" r:id="rId11" name="Group Box 20">
              <controlPr defaultSize="0" autoFill="0" autoPict="0">
                <anchor moveWithCells="1">
                  <from>
                    <xdr:col>19</xdr:col>
                    <xdr:colOff>552450</xdr:colOff>
                    <xdr:row>0</xdr:row>
                    <xdr:rowOff>38100</xdr:rowOff>
                  </from>
                  <to>
                    <xdr:col>21</xdr:col>
                    <xdr:colOff>838200</xdr:colOff>
                    <xdr:row>1</xdr:row>
                    <xdr:rowOff>171450</xdr:rowOff>
                  </to>
                </anchor>
              </controlPr>
            </control>
          </mc:Choice>
        </mc:AlternateContent>
        <mc:AlternateContent xmlns:mc="http://schemas.openxmlformats.org/markup-compatibility/2006">
          <mc:Choice Requires="x14">
            <control shapeId="57365" r:id="rId12" name="Group Box 21">
              <controlPr defaultSize="0" autoFill="0" autoPict="0">
                <anchor moveWithCells="1">
                  <from>
                    <xdr:col>17</xdr:col>
                    <xdr:colOff>19050</xdr:colOff>
                    <xdr:row>0</xdr:row>
                    <xdr:rowOff>38100</xdr:rowOff>
                  </from>
                  <to>
                    <xdr:col>19</xdr:col>
                    <xdr:colOff>495300</xdr:colOff>
                    <xdr:row>1</xdr:row>
                    <xdr:rowOff>171450</xdr:rowOff>
                  </to>
                </anchor>
              </controlPr>
            </control>
          </mc:Choice>
        </mc:AlternateContent>
        <mc:AlternateContent xmlns:mc="http://schemas.openxmlformats.org/markup-compatibility/2006">
          <mc:Choice Requires="x14">
            <control shapeId="57366" r:id="rId13" name="Button 22">
              <controlPr defaultSize="0" autoFill="0" autoPict="0" macro="[0]!NhanNghin">
                <anchor moveWithCells="1">
                  <from>
                    <xdr:col>17</xdr:col>
                    <xdr:colOff>114300</xdr:colOff>
                    <xdr:row>0</xdr:row>
                    <xdr:rowOff>133350</xdr:rowOff>
                  </from>
                  <to>
                    <xdr:col>17</xdr:col>
                    <xdr:colOff>685800</xdr:colOff>
                    <xdr:row>1</xdr:row>
                    <xdr:rowOff>76200</xdr:rowOff>
                  </to>
                </anchor>
              </controlPr>
            </control>
          </mc:Choice>
        </mc:AlternateContent>
        <mc:AlternateContent xmlns:mc="http://schemas.openxmlformats.org/markup-compatibility/2006">
          <mc:Choice Requires="x14">
            <control shapeId="57367" r:id="rId14" name="Button 23">
              <controlPr defaultSize="0" autoFill="0" autoPict="0" macro="[0]!NhanTrieu">
                <anchor moveWithCells="1">
                  <from>
                    <xdr:col>18</xdr:col>
                    <xdr:colOff>0</xdr:colOff>
                    <xdr:row>0</xdr:row>
                    <xdr:rowOff>133350</xdr:rowOff>
                  </from>
                  <to>
                    <xdr:col>18</xdr:col>
                    <xdr:colOff>571500</xdr:colOff>
                    <xdr:row>1</xdr:row>
                    <xdr:rowOff>76200</xdr:rowOff>
                  </to>
                </anchor>
              </controlPr>
            </control>
          </mc:Choice>
        </mc:AlternateContent>
        <mc:AlternateContent xmlns:mc="http://schemas.openxmlformats.org/markup-compatibility/2006">
          <mc:Choice Requires="x14">
            <control shapeId="57368" r:id="rId15" name="Button 24">
              <controlPr defaultSize="0" autoFill="0" autoPict="0" macro="[0]!NhanTy">
                <anchor moveWithCells="1">
                  <from>
                    <xdr:col>18</xdr:col>
                    <xdr:colOff>628650</xdr:colOff>
                    <xdr:row>0</xdr:row>
                    <xdr:rowOff>133350</xdr:rowOff>
                  </from>
                  <to>
                    <xdr:col>19</xdr:col>
                    <xdr:colOff>400050</xdr:colOff>
                    <xdr:row>1</xdr:row>
                    <xdr:rowOff>76200</xdr:rowOff>
                  </to>
                </anchor>
              </controlPr>
            </control>
          </mc:Choice>
        </mc:AlternateContent>
        <mc:AlternateContent xmlns:mc="http://schemas.openxmlformats.org/markup-compatibility/2006">
          <mc:Choice Requires="x14">
            <control shapeId="57377" r:id="rId16" name="Button 33">
              <controlPr defaultSize="0" print="0" autoFill="0" autoPict="0" macro="[0]!AddRow">
                <anchor moveWithCells="1">
                  <from>
                    <xdr:col>22</xdr:col>
                    <xdr:colOff>38100</xdr:colOff>
                    <xdr:row>0</xdr:row>
                    <xdr:rowOff>85725</xdr:rowOff>
                  </from>
                  <to>
                    <xdr:col>22</xdr:col>
                    <xdr:colOff>447675</xdr:colOff>
                    <xdr:row>1</xdr:row>
                    <xdr:rowOff>114300</xdr:rowOff>
                  </to>
                </anchor>
              </controlPr>
            </control>
          </mc:Choice>
        </mc:AlternateContent>
        <mc:AlternateContent xmlns:mc="http://schemas.openxmlformats.org/markup-compatibility/2006">
          <mc:Choice Requires="x14">
            <control shapeId="57378" r:id="rId17" name="Button 34">
              <controlPr defaultSize="0" print="0" autoFill="0" autoPict="0" macro="[0]!DeleteRow">
                <anchor moveWithCells="1">
                  <from>
                    <xdr:col>22</xdr:col>
                    <xdr:colOff>581025</xdr:colOff>
                    <xdr:row>0</xdr:row>
                    <xdr:rowOff>85725</xdr:rowOff>
                  </from>
                  <to>
                    <xdr:col>22</xdr:col>
                    <xdr:colOff>990600</xdr:colOff>
                    <xdr:row>1</xdr:row>
                    <xdr:rowOff>114300</xdr:rowOff>
                  </to>
                </anchor>
              </controlPr>
            </control>
          </mc:Choice>
        </mc:AlternateContent>
        <mc:AlternateContent xmlns:mc="http://schemas.openxmlformats.org/markup-compatibility/2006">
          <mc:Choice Requires="x14">
            <control shapeId="57381" r:id="rId18" name="Button 37">
              <controlPr defaultSize="0" print="0" autoFill="0" autoPict="0" macro="[0]!AddColumn">
                <anchor moveWithCells="1">
                  <from>
                    <xdr:col>30</xdr:col>
                    <xdr:colOff>76200</xdr:colOff>
                    <xdr:row>0</xdr:row>
                    <xdr:rowOff>76200</xdr:rowOff>
                  </from>
                  <to>
                    <xdr:col>31</xdr:col>
                    <xdr:colOff>57150</xdr:colOff>
                    <xdr:row>1</xdr:row>
                    <xdr:rowOff>104775</xdr:rowOff>
                  </to>
                </anchor>
              </controlPr>
            </control>
          </mc:Choice>
        </mc:AlternateContent>
        <mc:AlternateContent xmlns:mc="http://schemas.openxmlformats.org/markup-compatibility/2006">
          <mc:Choice Requires="x14">
            <control shapeId="57382" r:id="rId19" name="Button 38">
              <controlPr defaultSize="0" print="0" autoFill="0" autoPict="0" macro="[0]!DeleteColumn">
                <anchor moveWithCells="1">
                  <from>
                    <xdr:col>31</xdr:col>
                    <xdr:colOff>161925</xdr:colOff>
                    <xdr:row>0</xdr:row>
                    <xdr:rowOff>76200</xdr:rowOff>
                  </from>
                  <to>
                    <xdr:col>31</xdr:col>
                    <xdr:colOff>600075</xdr:colOff>
                    <xdr:row>1</xdr:row>
                    <xdr:rowOff>104775</xdr:rowOff>
                  </to>
                </anchor>
              </controlPr>
            </control>
          </mc:Choice>
        </mc:AlternateContent>
        <mc:AlternateContent xmlns:mc="http://schemas.openxmlformats.org/markup-compatibility/2006">
          <mc:Choice Requires="x14">
            <control shapeId="57387" r:id="rId20" name="Button 43">
              <controlPr defaultSize="0" print="0" autoFill="0" autoPict="0" macro="[0]!AddColumn">
                <anchor moveWithCells="1">
                  <from>
                    <xdr:col>37</xdr:col>
                    <xdr:colOff>47625</xdr:colOff>
                    <xdr:row>0</xdr:row>
                    <xdr:rowOff>38100</xdr:rowOff>
                  </from>
                  <to>
                    <xdr:col>37</xdr:col>
                    <xdr:colOff>466725</xdr:colOff>
                    <xdr:row>1</xdr:row>
                    <xdr:rowOff>66675</xdr:rowOff>
                  </to>
                </anchor>
              </controlPr>
            </control>
          </mc:Choice>
        </mc:AlternateContent>
        <mc:AlternateContent xmlns:mc="http://schemas.openxmlformats.org/markup-compatibility/2006">
          <mc:Choice Requires="x14">
            <control shapeId="57388" r:id="rId21" name="Button 44">
              <controlPr defaultSize="0" print="0" autoFill="0" autoPict="0" macro="[0]!DeleteColumn">
                <anchor moveWithCells="1">
                  <from>
                    <xdr:col>37</xdr:col>
                    <xdr:colOff>581025</xdr:colOff>
                    <xdr:row>0</xdr:row>
                    <xdr:rowOff>38100</xdr:rowOff>
                  </from>
                  <to>
                    <xdr:col>37</xdr:col>
                    <xdr:colOff>1028700</xdr:colOff>
                    <xdr:row>1</xdr:row>
                    <xdr:rowOff>66675</xdr:rowOff>
                  </to>
                </anchor>
              </controlPr>
            </control>
          </mc:Choice>
        </mc:AlternateContent>
        <mc:AlternateContent xmlns:mc="http://schemas.openxmlformats.org/markup-compatibility/2006">
          <mc:Choice Requires="x14">
            <control shapeId="57394" r:id="rId22" name="Button 50">
              <controlPr defaultSize="0" print="0" autoFill="0" autoPict="0" macro="[0]!AddRow">
                <anchor moveWithCells="1">
                  <from>
                    <xdr:col>34</xdr:col>
                    <xdr:colOff>142875</xdr:colOff>
                    <xdr:row>0</xdr:row>
                    <xdr:rowOff>38100</xdr:rowOff>
                  </from>
                  <to>
                    <xdr:col>35</xdr:col>
                    <xdr:colOff>0</xdr:colOff>
                    <xdr:row>1</xdr:row>
                    <xdr:rowOff>66675</xdr:rowOff>
                  </to>
                </anchor>
              </controlPr>
            </control>
          </mc:Choice>
        </mc:AlternateContent>
        <mc:AlternateContent xmlns:mc="http://schemas.openxmlformats.org/markup-compatibility/2006">
          <mc:Choice Requires="x14">
            <control shapeId="57395" r:id="rId23" name="Button 51">
              <controlPr defaultSize="0" print="0" autoFill="0" autoPict="0" macro="[0]!DeleteRow">
                <anchor moveWithCells="1">
                  <from>
                    <xdr:col>35</xdr:col>
                    <xdr:colOff>133350</xdr:colOff>
                    <xdr:row>0</xdr:row>
                    <xdr:rowOff>38100</xdr:rowOff>
                  </from>
                  <to>
                    <xdr:col>35</xdr:col>
                    <xdr:colOff>542925</xdr:colOff>
                    <xdr:row>1</xdr:row>
                    <xdr:rowOff>66675</xdr:rowOff>
                  </to>
                </anchor>
              </controlPr>
            </control>
          </mc:Choice>
        </mc:AlternateContent>
        <mc:AlternateContent xmlns:mc="http://schemas.openxmlformats.org/markup-compatibility/2006">
          <mc:Choice Requires="x14">
            <control shapeId="57400" r:id="rId24" name="Button 56">
              <controlPr defaultSize="0" print="0" autoFill="0" autoPict="0" macro="[0]!RefreshTables">
                <anchor moveWithCells="1">
                  <from>
                    <xdr:col>24</xdr:col>
                    <xdr:colOff>47625</xdr:colOff>
                    <xdr:row>0</xdr:row>
                    <xdr:rowOff>76200</xdr:rowOff>
                  </from>
                  <to>
                    <xdr:col>24</xdr:col>
                    <xdr:colOff>590550</xdr:colOff>
                    <xdr:row>1</xdr:row>
                    <xdr:rowOff>104775</xdr:rowOff>
                  </to>
                </anchor>
              </controlPr>
            </control>
          </mc:Choice>
        </mc:AlternateContent>
      </controls>
    </mc:Choice>
  </mc:AlternateContent>
  <tableParts count="3">
    <tablePart r:id="rId25"/>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2" id="{2A41C575-6C7D-455D-B16C-EE51D253CAEC}">
            <xm:f>Security!$A$1="NO VBA"</xm:f>
            <x14:dxf>
              <font>
                <color theme="0"/>
              </font>
              <border>
                <vertical/>
                <horizontal/>
              </border>
            </x14:dxf>
          </x14:cfRule>
          <xm:sqref>AA23:AA1048576 AW1:XFD1 Q1:X21 Y1:Y20 AO1:AO1048576 R22:S22 AC23:AF1048576 Q28:X1048576 Q23:S27 U22:X27 AG22:AN1048576 Y21:AN21 AA22:AN22 Z1:AB1 AD1:AJ1 AL1 AP1:AT1 Z2:AN13 Z15:AN20 Z14:AA14 AC14:AN14 AP2:XFD1048576</xm:sqref>
        </x14:conditionalFormatting>
      </x14:conditionalFormattings>
    </ext>
    <ext xmlns:x14="http://schemas.microsoft.com/office/spreadsheetml/2009/9/main" uri="{CCE6A557-97BC-4b89-ADB6-D9C93CAAB3DF}">
      <x14:dataValidations xmlns:xm="http://schemas.microsoft.com/office/excel/2006/main" count="1">
        <x14:dataValidation type="list" errorStyle="warning" allowBlank="1" showInputMessage="1" showErrorMessage="1" xr:uid="{7024C3BC-175E-4C79-995E-5F224F12093F}">
          <x14:formula1>
            <xm:f>Sheet_ChiPhiKD!$I$14:$I$16</xm:f>
          </x14:formula1>
          <xm:sqref>AH22:AH25 V22:V27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2FDE4-703C-4534-801B-AA27ADA83C6A}">
  <sheetPr codeName="Sheet50">
    <tabColor theme="9"/>
  </sheetPr>
  <dimension ref="A1:AP57"/>
  <sheetViews>
    <sheetView showGridLines="0" topLeftCell="O1" workbookViewId="0">
      <selection activeCell="AI23" sqref="AI23"/>
    </sheetView>
  </sheetViews>
  <sheetFormatPr defaultRowHeight="16.5" outlineLevelCol="1" x14ac:dyDescent="0.3"/>
  <cols>
    <col min="1" max="1" width="1.25" style="7" hidden="1" customWidth="1" outlineLevel="1"/>
    <col min="2" max="2" width="13" style="7" hidden="1" customWidth="1" outlineLevel="1"/>
    <col min="3" max="3" width="16" style="7" hidden="1" customWidth="1" outlineLevel="1"/>
    <col min="4" max="4" width="1.25" style="7" hidden="1" customWidth="1" outlineLevel="1"/>
    <col min="5" max="5" width="13.125" style="7" hidden="1" customWidth="1" outlineLevel="1"/>
    <col min="6" max="6" width="16" style="7" hidden="1" customWidth="1" outlineLevel="1"/>
    <col min="7" max="7" width="1.25" style="7" hidden="1" customWidth="1" outlineLevel="1"/>
    <col min="8" max="8" width="13.125" style="7" hidden="1" customWidth="1" outlineLevel="1"/>
    <col min="9" max="9" width="16" style="7" hidden="1" customWidth="1" outlineLevel="1"/>
    <col min="10" max="11" width="1.25" style="7" hidden="1" customWidth="1" outlineLevel="1"/>
    <col min="12" max="12" width="13.125" style="7" hidden="1" customWidth="1" outlineLevel="1"/>
    <col min="13" max="13" width="12.375" style="7" hidden="1" customWidth="1" outlineLevel="1"/>
    <col min="14" max="14" width="11.875" style="7" hidden="1" customWidth="1" outlineLevel="1"/>
    <col min="15" max="15" width="1.25" style="7" customWidth="1" collapsed="1"/>
    <col min="16" max="16" width="1.25" style="7" customWidth="1"/>
    <col min="17" max="34" width="9" style="38"/>
    <col min="35" max="35" width="11.125" style="38" customWidth="1"/>
    <col min="36" max="36" width="9.5" style="38" customWidth="1"/>
    <col min="37" max="37" width="12.25" style="38" customWidth="1"/>
    <col min="38" max="38" width="12.625" style="38" customWidth="1"/>
    <col min="39" max="39" width="9" style="38"/>
    <col min="40" max="40" width="9.625" style="38" customWidth="1"/>
    <col min="41" max="41" width="9" style="38"/>
    <col min="42" max="42" width="5.625" style="38" bestFit="1" customWidth="1"/>
    <col min="43" max="16384" width="9" style="38"/>
  </cols>
  <sheetData>
    <row r="1" spans="1:42" x14ac:dyDescent="0.3">
      <c r="A1" s="21"/>
      <c r="B1" s="21"/>
      <c r="C1" s="21"/>
      <c r="D1" s="21"/>
      <c r="E1" s="21"/>
      <c r="F1" s="21"/>
      <c r="G1" s="21"/>
      <c r="H1" s="21"/>
      <c r="I1" s="21"/>
      <c r="J1" s="21"/>
      <c r="K1" s="21"/>
      <c r="L1" s="21"/>
      <c r="M1" s="21"/>
      <c r="N1" s="21"/>
      <c r="O1" s="21"/>
      <c r="P1" s="21"/>
    </row>
    <row r="2" spans="1:42" x14ac:dyDescent="0.3">
      <c r="A2" s="21"/>
      <c r="B2" s="545" t="s">
        <v>677</v>
      </c>
      <c r="C2" s="38" t="s">
        <v>1120</v>
      </c>
      <c r="D2" s="21"/>
      <c r="E2" s="38"/>
      <c r="F2" s="38"/>
      <c r="G2" s="21"/>
      <c r="H2" s="21"/>
      <c r="I2" s="21"/>
      <c r="J2" s="21"/>
      <c r="K2" s="21"/>
      <c r="L2" s="38"/>
      <c r="M2" s="38"/>
      <c r="N2" s="21"/>
      <c r="O2" s="21"/>
      <c r="P2" s="21"/>
    </row>
    <row r="3" spans="1:42" x14ac:dyDescent="0.3">
      <c r="A3" s="21"/>
      <c r="B3" s="545" t="s">
        <v>1236</v>
      </c>
      <c r="C3" s="38" t="s">
        <v>1120</v>
      </c>
      <c r="D3" s="21"/>
      <c r="E3" s="545" t="s">
        <v>675</v>
      </c>
      <c r="F3" s="38" t="s">
        <v>1116</v>
      </c>
      <c r="G3" s="21"/>
      <c r="H3" s="545" t="s">
        <v>675</v>
      </c>
      <c r="I3" s="38" t="s">
        <v>1116</v>
      </c>
      <c r="J3" s="21"/>
      <c r="K3" s="21"/>
      <c r="L3" s="545" t="s">
        <v>675</v>
      </c>
      <c r="M3" s="38" t="s">
        <v>1116</v>
      </c>
      <c r="N3" s="21"/>
      <c r="O3" s="21"/>
      <c r="P3" s="21"/>
    </row>
    <row r="4" spans="1:42" x14ac:dyDescent="0.3">
      <c r="A4" s="21"/>
      <c r="B4" s="545" t="s">
        <v>1237</v>
      </c>
      <c r="C4" s="38" t="s">
        <v>1120</v>
      </c>
      <c r="D4" s="21"/>
      <c r="E4" s="545" t="s">
        <v>1237</v>
      </c>
      <c r="F4" s="38" t="s">
        <v>1120</v>
      </c>
      <c r="G4" s="21"/>
      <c r="H4" s="545" t="s">
        <v>1236</v>
      </c>
      <c r="I4" s="38" t="s">
        <v>1120</v>
      </c>
      <c r="J4" s="21"/>
      <c r="K4" s="21"/>
      <c r="L4" s="545" t="s">
        <v>1236</v>
      </c>
      <c r="M4" s="38" t="s">
        <v>1149</v>
      </c>
      <c r="N4" s="21"/>
      <c r="O4" s="21"/>
      <c r="P4" s="21"/>
    </row>
    <row r="5" spans="1:42" x14ac:dyDescent="0.3">
      <c r="A5" s="21"/>
      <c r="B5" s="21"/>
      <c r="C5" s="21"/>
      <c r="D5" s="21"/>
      <c r="E5" s="21"/>
      <c r="F5" s="21"/>
      <c r="G5" s="21"/>
      <c r="H5" s="21"/>
      <c r="I5" s="21"/>
      <c r="J5" s="21"/>
      <c r="K5" s="21"/>
      <c r="L5" s="21"/>
      <c r="M5" s="21"/>
      <c r="N5" s="21"/>
      <c r="O5" s="21"/>
      <c r="P5" s="21"/>
    </row>
    <row r="6" spans="1:42" x14ac:dyDescent="0.3">
      <c r="B6" s="545" t="s">
        <v>23</v>
      </c>
      <c r="C6" s="38" t="s">
        <v>1238</v>
      </c>
      <c r="E6" s="545" t="s">
        <v>23</v>
      </c>
      <c r="F6" s="38" t="s">
        <v>1238</v>
      </c>
      <c r="G6" s="38"/>
      <c r="H6" s="545" t="s">
        <v>23</v>
      </c>
      <c r="I6" s="38" t="s">
        <v>1238</v>
      </c>
      <c r="J6" s="38"/>
      <c r="K6" s="38"/>
      <c r="L6" s="545" t="s">
        <v>23</v>
      </c>
      <c r="M6" s="38" t="s">
        <v>569</v>
      </c>
      <c r="N6" s="38" t="s">
        <v>1240</v>
      </c>
      <c r="AK6" s="27" t="s">
        <v>557</v>
      </c>
      <c r="AL6" s="424">
        <v>45717</v>
      </c>
      <c r="AM6" s="424">
        <v>45808</v>
      </c>
    </row>
    <row r="7" spans="1:42" x14ac:dyDescent="0.3">
      <c r="B7" s="463" t="s">
        <v>1145</v>
      </c>
      <c r="C7" s="546">
        <v>79228308</v>
      </c>
      <c r="E7" s="463" t="s">
        <v>1149</v>
      </c>
      <c r="F7" s="546">
        <v>23096559</v>
      </c>
      <c r="G7" s="38"/>
      <c r="H7" s="463" t="s">
        <v>1158</v>
      </c>
      <c r="I7" s="546">
        <v>54430146</v>
      </c>
      <c r="J7" s="38"/>
      <c r="K7" s="38"/>
      <c r="L7" s="463" t="s">
        <v>1158</v>
      </c>
      <c r="M7" s="38">
        <v>84882.25</v>
      </c>
      <c r="N7" s="38">
        <v>0.75</v>
      </c>
    </row>
    <row r="8" spans="1:42" x14ac:dyDescent="0.3">
      <c r="B8" s="463" t="s">
        <v>1107</v>
      </c>
      <c r="C8" s="546">
        <v>6935065</v>
      </c>
      <c r="E8" s="463" t="s">
        <v>1153</v>
      </c>
      <c r="F8" s="546">
        <v>39699855</v>
      </c>
      <c r="G8" s="38"/>
      <c r="H8" s="463" t="s">
        <v>1159</v>
      </c>
      <c r="I8" s="546">
        <v>48623099</v>
      </c>
      <c r="J8" s="38"/>
      <c r="K8" s="38"/>
      <c r="L8" s="463" t="s">
        <v>1160</v>
      </c>
      <c r="M8" s="38">
        <v>102040</v>
      </c>
      <c r="N8" s="38">
        <v>0</v>
      </c>
    </row>
    <row r="9" spans="1:42" x14ac:dyDescent="0.3">
      <c r="B9" s="463" t="s">
        <v>1108</v>
      </c>
      <c r="C9" s="546">
        <v>20636970</v>
      </c>
      <c r="E9" s="463" t="s">
        <v>1152</v>
      </c>
      <c r="F9" s="546">
        <v>44003929</v>
      </c>
      <c r="G9" s="38"/>
      <c r="H9" s="463" t="s">
        <v>1160</v>
      </c>
      <c r="I9" s="546">
        <v>3747098</v>
      </c>
      <c r="J9" s="38"/>
      <c r="K9" s="38"/>
      <c r="L9" s="463" t="s">
        <v>1159</v>
      </c>
      <c r="M9" s="38">
        <v>102194</v>
      </c>
      <c r="N9" s="38">
        <v>1</v>
      </c>
      <c r="AH9" s="44" t="s">
        <v>47</v>
      </c>
      <c r="AI9" s="44" t="s">
        <v>138</v>
      </c>
      <c r="AJ9" s="44" t="s">
        <v>876</v>
      </c>
      <c r="AK9" s="44" t="s">
        <v>1235</v>
      </c>
      <c r="AL9" s="44" t="s">
        <v>1241</v>
      </c>
      <c r="AM9" s="44" t="s">
        <v>1191</v>
      </c>
      <c r="AN9" s="44" t="s">
        <v>1242</v>
      </c>
      <c r="AO9" s="44" t="s">
        <v>21</v>
      </c>
      <c r="AP9" s="44" t="s">
        <v>873</v>
      </c>
    </row>
    <row r="10" spans="1:42" x14ac:dyDescent="0.3">
      <c r="B10" s="463" t="s">
        <v>1102</v>
      </c>
      <c r="C10" s="546">
        <v>106800343</v>
      </c>
      <c r="E10" s="463" t="s">
        <v>1102</v>
      </c>
      <c r="F10" s="546">
        <v>106800343</v>
      </c>
      <c r="G10" s="38"/>
      <c r="H10" s="463" t="s">
        <v>1102</v>
      </c>
      <c r="I10" s="546">
        <v>106800343</v>
      </c>
      <c r="J10" s="38"/>
      <c r="K10" s="38"/>
      <c r="L10" s="463" t="s">
        <v>1102</v>
      </c>
      <c r="M10" s="38">
        <v>90627.166666666672</v>
      </c>
      <c r="N10" s="38">
        <v>0.66666666666666663</v>
      </c>
      <c r="AH10" s="44"/>
      <c r="AI10" s="44" t="s">
        <v>1152</v>
      </c>
      <c r="AJ10" s="544" t="str">
        <f>IF(ISBLANK(Table_NguonHang[[#This Row],[SKU]]),Table_NguonHang[[#This Row],[Nguyên liệu]],Table_NguonHang[[#This Row],[SKU]])</f>
        <v>NL2</v>
      </c>
      <c r="AK10" s="44" t="s">
        <v>1160</v>
      </c>
      <c r="AL10" s="547" cm="1">
        <f t="array" ref="AL10">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69159.371428571423</v>
      </c>
      <c r="AM10" s="547">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0" s="114">
        <v>200</v>
      </c>
      <c r="AO10" s="547">
        <f>Table_NguonHang[[#This Row],[Lượng đặt]]*Table_NguonHang[[#This Row],[Giá trung bình]]</f>
        <v>13831874.285714285</v>
      </c>
      <c r="AP10" s="44"/>
    </row>
    <row r="11" spans="1:42" x14ac:dyDescent="0.3">
      <c r="B11" s="38"/>
      <c r="C11" s="38"/>
      <c r="E11" s="38"/>
      <c r="F11" s="38"/>
      <c r="G11" s="38"/>
      <c r="H11" s="38"/>
      <c r="I11" s="38"/>
      <c r="J11" s="38"/>
      <c r="K11" s="38"/>
      <c r="L11" s="38"/>
      <c r="M11" s="38"/>
      <c r="N11" s="38"/>
      <c r="AH11" s="44"/>
      <c r="AI11" s="44" t="s">
        <v>1152</v>
      </c>
      <c r="AJ11" s="544" t="str">
        <f>IF(ISBLANK(Table_NguonHang[[#This Row],[SKU]]),Table_NguonHang[[#This Row],[Nguyên liệu]],Table_NguonHang[[#This Row],[SKU]])</f>
        <v>NL2</v>
      </c>
      <c r="AK11" s="44" t="s">
        <v>1159</v>
      </c>
      <c r="AL11" s="547" cm="1">
        <f t="array" ref="AL1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124550.39622641509</v>
      </c>
      <c r="AM11" s="547">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1" s="114">
        <v>65</v>
      </c>
      <c r="AO11" s="547">
        <f>Table_NguonHang[[#This Row],[Lượng đặt]]*Table_NguonHang[[#This Row],[Giá trung bình]]</f>
        <v>8095775.7547169812</v>
      </c>
      <c r="AP11" s="44"/>
    </row>
    <row r="12" spans="1:42" x14ac:dyDescent="0.3">
      <c r="B12" s="38"/>
      <c r="C12" s="38"/>
      <c r="E12" s="38"/>
      <c r="F12" s="38"/>
      <c r="G12" s="38"/>
      <c r="H12" s="38"/>
      <c r="I12" s="38"/>
      <c r="J12" s="38"/>
      <c r="K12" s="38"/>
      <c r="L12" s="38"/>
      <c r="M12" s="38"/>
      <c r="N12" s="38"/>
      <c r="AH12" s="44"/>
      <c r="AI12" s="44" t="s">
        <v>1153</v>
      </c>
      <c r="AJ12" s="544" t="str">
        <f>IF(ISBLANK(Table_NguonHang[[#This Row],[SKU]]),Table_NguonHang[[#This Row],[Nguyên liệu]],Table_NguonHang[[#This Row],[SKU]])</f>
        <v>NL1</v>
      </c>
      <c r="AK12" s="44" t="s">
        <v>1158</v>
      </c>
      <c r="AL12" s="547" cm="1">
        <f t="array" ref="AL12">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63209</v>
      </c>
      <c r="AM12" s="547">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746.89799240368961</v>
      </c>
      <c r="AN12" s="114">
        <v>747</v>
      </c>
      <c r="AO12" s="547">
        <f>Table_NguonHang[[#This Row],[Lượng đặt]]*Table_NguonHang[[#This Row],[Giá trung bình]]</f>
        <v>47217123</v>
      </c>
      <c r="AP12" s="44"/>
    </row>
    <row r="13" spans="1:42" x14ac:dyDescent="0.3">
      <c r="B13" s="38"/>
      <c r="C13" s="38"/>
      <c r="E13" s="38"/>
      <c r="F13" s="38"/>
      <c r="G13" s="38"/>
      <c r="H13" s="38"/>
      <c r="I13" s="38"/>
      <c r="J13" s="38"/>
      <c r="K13" s="38"/>
      <c r="L13" s="38"/>
      <c r="M13" s="38"/>
      <c r="N13" s="38"/>
      <c r="AH13" s="44" t="s">
        <v>1149</v>
      </c>
      <c r="AI13" s="44"/>
      <c r="AJ13" s="544" t="str">
        <f>IF(ISBLANK(Table_NguonHang[[#This Row],[SKU]]),Table_NguonHang[[#This Row],[Nguyên liệu]],Table_NguonHang[[#This Row],[SKU]])</f>
        <v>HH1</v>
      </c>
      <c r="AK13" s="44" t="s">
        <v>1158</v>
      </c>
      <c r="AL13" s="547" cm="1">
        <f t="array" ref="AL13">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81857.659292035401</v>
      </c>
      <c r="AM13" s="547">
        <f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4.6108695652173912</v>
      </c>
      <c r="AN13" s="114">
        <v>5</v>
      </c>
      <c r="AO13" s="547">
        <f>Table_NguonHang[[#This Row],[Lượng đặt]]*Table_NguonHang[[#This Row],[Giá trung bình]]</f>
        <v>409288.29646017699</v>
      </c>
      <c r="AP13" s="44"/>
    </row>
    <row r="14" spans="1:42" x14ac:dyDescent="0.3">
      <c r="B14" s="38"/>
      <c r="C14" s="38"/>
      <c r="E14" s="38"/>
      <c r="F14" s="38"/>
      <c r="G14" s="38"/>
      <c r="H14" s="38"/>
      <c r="I14" s="38"/>
      <c r="J14" s="38"/>
      <c r="K14" s="38"/>
      <c r="L14" s="38"/>
      <c r="M14" s="38"/>
      <c r="N14" s="38"/>
    </row>
    <row r="15" spans="1:42" x14ac:dyDescent="0.3">
      <c r="B15" s="38"/>
      <c r="C15" s="38"/>
      <c r="E15" s="38"/>
      <c r="F15" s="38"/>
      <c r="G15" s="38"/>
      <c r="H15" s="38"/>
      <c r="I15" s="38"/>
      <c r="J15" s="38"/>
      <c r="K15" s="38"/>
      <c r="L15" s="38"/>
      <c r="M15" s="38"/>
      <c r="N15" s="38"/>
    </row>
    <row r="16" spans="1:42" x14ac:dyDescent="0.3">
      <c r="B16" s="38"/>
      <c r="C16" s="38"/>
      <c r="E16" s="38"/>
      <c r="F16" s="38"/>
      <c r="G16" s="38"/>
      <c r="H16" s="38"/>
      <c r="I16" s="38"/>
      <c r="J16" s="38"/>
      <c r="K16" s="38"/>
      <c r="L16" s="38"/>
      <c r="M16" s="38"/>
      <c r="N16" s="38"/>
    </row>
    <row r="17" spans="2:14" x14ac:dyDescent="0.3">
      <c r="B17" s="38"/>
      <c r="C17" s="38"/>
      <c r="E17" s="38"/>
      <c r="F17" s="38"/>
      <c r="G17" s="38"/>
      <c r="H17" s="38"/>
      <c r="I17" s="38"/>
      <c r="J17" s="38"/>
      <c r="K17" s="38"/>
      <c r="L17" s="38"/>
      <c r="M17" s="38"/>
      <c r="N17" s="38"/>
    </row>
    <row r="18" spans="2:14" x14ac:dyDescent="0.3">
      <c r="B18" s="38"/>
      <c r="C18" s="38"/>
      <c r="E18" s="38"/>
      <c r="F18" s="38"/>
      <c r="G18" s="38"/>
      <c r="H18" s="38"/>
      <c r="I18" s="38"/>
      <c r="J18" s="38"/>
      <c r="K18" s="38"/>
      <c r="L18" s="38"/>
      <c r="M18" s="38"/>
      <c r="N18" s="38"/>
    </row>
    <row r="19" spans="2:14" x14ac:dyDescent="0.3">
      <c r="B19" s="38"/>
      <c r="C19" s="38"/>
      <c r="E19" s="38"/>
      <c r="F19" s="38"/>
      <c r="G19" s="38"/>
      <c r="H19" s="38"/>
      <c r="I19" s="38"/>
      <c r="J19" s="38"/>
      <c r="K19" s="38"/>
      <c r="L19" s="38"/>
      <c r="M19" s="38"/>
      <c r="N19" s="38"/>
    </row>
    <row r="20" spans="2:14" x14ac:dyDescent="0.3">
      <c r="B20" s="38"/>
      <c r="C20" s="38"/>
      <c r="E20" s="38"/>
      <c r="F20" s="38"/>
      <c r="G20" s="38"/>
      <c r="H20" s="38"/>
      <c r="I20" s="38"/>
      <c r="J20" s="38"/>
      <c r="K20" s="38"/>
      <c r="L20" s="38"/>
      <c r="M20" s="38"/>
      <c r="N20" s="38"/>
    </row>
    <row r="21" spans="2:14" x14ac:dyDescent="0.3">
      <c r="B21" s="38"/>
      <c r="C21" s="38"/>
      <c r="E21" s="38"/>
      <c r="F21" s="38"/>
      <c r="G21" s="38"/>
      <c r="H21" s="38"/>
      <c r="I21" s="38"/>
      <c r="J21" s="38"/>
      <c r="K21" s="38"/>
      <c r="L21" s="38"/>
      <c r="M21" s="38"/>
      <c r="N21" s="38"/>
    </row>
    <row r="22" spans="2:14" x14ac:dyDescent="0.3">
      <c r="B22" s="38"/>
      <c r="C22" s="38"/>
      <c r="E22" s="38"/>
      <c r="F22" s="38"/>
      <c r="G22" s="38"/>
      <c r="H22" s="38"/>
      <c r="I22" s="38"/>
      <c r="J22" s="38"/>
      <c r="K22" s="38"/>
      <c r="L22" s="38"/>
      <c r="M22" s="38"/>
      <c r="N22" s="38"/>
    </row>
    <row r="23" spans="2:14" x14ac:dyDescent="0.3">
      <c r="B23" s="38"/>
      <c r="C23" s="38"/>
      <c r="E23" s="38"/>
      <c r="F23" s="38"/>
      <c r="G23" s="38"/>
      <c r="H23" s="38"/>
      <c r="I23" s="38"/>
      <c r="J23" s="38"/>
      <c r="K23" s="38"/>
      <c r="L23" s="38"/>
      <c r="M23" s="38"/>
      <c r="N23" s="38"/>
    </row>
    <row r="24" spans="2:14" x14ac:dyDescent="0.3">
      <c r="B24" s="38"/>
      <c r="C24" s="38"/>
    </row>
    <row r="25" spans="2:14" x14ac:dyDescent="0.3">
      <c r="B25" s="38"/>
      <c r="C25" s="38"/>
    </row>
    <row r="26" spans="2:14" x14ac:dyDescent="0.3">
      <c r="B26" s="38"/>
      <c r="C26" s="38"/>
    </row>
    <row r="27" spans="2:14" x14ac:dyDescent="0.3">
      <c r="B27" s="38"/>
      <c r="C27" s="38"/>
    </row>
    <row r="28" spans="2:14" x14ac:dyDescent="0.3">
      <c r="B28" s="38"/>
      <c r="C28" s="38"/>
    </row>
    <row r="29" spans="2:14" x14ac:dyDescent="0.3">
      <c r="B29" s="38"/>
      <c r="C29" s="38"/>
    </row>
    <row r="30" spans="2:14" x14ac:dyDescent="0.3">
      <c r="B30" s="38"/>
      <c r="C30" s="38"/>
    </row>
    <row r="31" spans="2:14" x14ac:dyDescent="0.3">
      <c r="B31" s="38"/>
      <c r="C31" s="38"/>
    </row>
    <row r="32" spans="2:14" x14ac:dyDescent="0.3">
      <c r="B32" s="38"/>
      <c r="C32" s="38"/>
    </row>
    <row r="33" spans="2:3" x14ac:dyDescent="0.3">
      <c r="B33" s="38"/>
      <c r="C33" s="38"/>
    </row>
    <row r="34" spans="2:3" x14ac:dyDescent="0.3">
      <c r="B34" s="38"/>
      <c r="C34" s="38"/>
    </row>
    <row r="35" spans="2:3" x14ac:dyDescent="0.3">
      <c r="B35" s="38"/>
      <c r="C35" s="38"/>
    </row>
    <row r="36" spans="2:3" x14ac:dyDescent="0.3">
      <c r="B36" s="38"/>
      <c r="C36" s="38"/>
    </row>
    <row r="37" spans="2:3" x14ac:dyDescent="0.3">
      <c r="B37" s="38"/>
      <c r="C37" s="38"/>
    </row>
    <row r="38" spans="2:3" x14ac:dyDescent="0.3">
      <c r="B38" s="38"/>
      <c r="C38" s="38"/>
    </row>
    <row r="39" spans="2:3" x14ac:dyDescent="0.3">
      <c r="B39" s="38"/>
      <c r="C39" s="38"/>
    </row>
    <row r="40" spans="2:3" x14ac:dyDescent="0.3">
      <c r="B40" s="38"/>
      <c r="C40" s="38"/>
    </row>
    <row r="41" spans="2:3" x14ac:dyDescent="0.3">
      <c r="B41" s="38"/>
      <c r="C41" s="38"/>
    </row>
    <row r="42" spans="2:3" x14ac:dyDescent="0.3">
      <c r="B42" s="38"/>
      <c r="C42" s="38"/>
    </row>
    <row r="43" spans="2:3" x14ac:dyDescent="0.3">
      <c r="B43" s="38"/>
      <c r="C43" s="38"/>
    </row>
    <row r="44" spans="2:3" x14ac:dyDescent="0.3">
      <c r="B44" s="38"/>
      <c r="C44" s="38"/>
    </row>
    <row r="45" spans="2:3" x14ac:dyDescent="0.3">
      <c r="B45" s="38"/>
      <c r="C45" s="38"/>
    </row>
    <row r="46" spans="2:3" x14ac:dyDescent="0.3">
      <c r="B46" s="38"/>
      <c r="C46" s="38"/>
    </row>
    <row r="47" spans="2:3" x14ac:dyDescent="0.3">
      <c r="B47" s="38"/>
      <c r="C47" s="38"/>
    </row>
    <row r="48" spans="2:3" x14ac:dyDescent="0.3">
      <c r="B48" s="38"/>
      <c r="C48" s="38"/>
    </row>
    <row r="49" spans="2:3" x14ac:dyDescent="0.3">
      <c r="B49" s="38"/>
      <c r="C49" s="38"/>
    </row>
    <row r="50" spans="2:3" x14ac:dyDescent="0.3">
      <c r="B50" s="38"/>
      <c r="C50" s="38"/>
    </row>
    <row r="51" spans="2:3" x14ac:dyDescent="0.3">
      <c r="B51" s="38"/>
      <c r="C51" s="38"/>
    </row>
    <row r="52" spans="2:3" x14ac:dyDescent="0.3">
      <c r="B52" s="38"/>
      <c r="C52" s="38"/>
    </row>
    <row r="53" spans="2:3" x14ac:dyDescent="0.3">
      <c r="B53" s="38"/>
      <c r="C53" s="38"/>
    </row>
    <row r="54" spans="2:3" x14ac:dyDescent="0.3">
      <c r="B54" s="38"/>
      <c r="C54" s="38"/>
    </row>
    <row r="55" spans="2:3" x14ac:dyDescent="0.3">
      <c r="B55" s="38"/>
      <c r="C55" s="38"/>
    </row>
    <row r="56" spans="2:3" x14ac:dyDescent="0.3">
      <c r="B56" s="38"/>
      <c r="C56" s="38"/>
    </row>
    <row r="57" spans="2:3" x14ac:dyDescent="0.3">
      <c r="B57" s="38"/>
      <c r="C57" s="38"/>
    </row>
  </sheetData>
  <sheetProtection algorithmName="SHA-512" hashValue="3K/QJVwYwl+VpV0iLHXImjQG5I1YkH9PZMAkkdoscF1b/Xtumt7ZTIEdAv7wXDz4tQghT9Q8Zmny2YjdysP5fQ==" saltValue="HW85si8fK3/LcAViu5YZxQ==" spinCount="100000" sheet="1" scenarios="1" formatCells="0" formatColumns="0" formatRows="0" insertColumns="0" insertRows="0" deleteColumns="0" deleteRows="0" sort="0" autoFilter="0" pivotTables="0"/>
  <dataValidations count="3">
    <dataValidation type="list" allowBlank="1" showInputMessage="1" showErrorMessage="1" sqref="AH10:AH13" xr:uid="{5CED1BF1-912C-437A-824B-3041B9E56B35}">
      <formula1>Ma_SKU</formula1>
    </dataValidation>
    <dataValidation type="list" allowBlank="1" showInputMessage="1" showErrorMessage="1" sqref="AI10:AI13" xr:uid="{1FD2805A-227C-47E3-9830-8C1F77B2A692}">
      <formula1>MaNguyenLieu</formula1>
    </dataValidation>
    <dataValidation type="list" allowBlank="1" showInputMessage="1" showErrorMessage="1" sqref="AK10:AK13" xr:uid="{B295EDF3-807A-459F-B327-3A6B5430E759}">
      <formula1>MaNhaCungCap</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32099" r:id="rId7" name="Button 3">
              <controlPr defaultSize="0" print="0" autoFill="0" autoPict="0" macro="[0]!AddRow">
                <anchor moveWithCells="1">
                  <from>
                    <xdr:col>33</xdr:col>
                    <xdr:colOff>28575</xdr:colOff>
                    <xdr:row>6</xdr:row>
                    <xdr:rowOff>95250</xdr:rowOff>
                  </from>
                  <to>
                    <xdr:col>33</xdr:col>
                    <xdr:colOff>504825</xdr:colOff>
                    <xdr:row>7</xdr:row>
                    <xdr:rowOff>142875</xdr:rowOff>
                  </to>
                </anchor>
              </controlPr>
            </control>
          </mc:Choice>
        </mc:AlternateContent>
        <mc:AlternateContent xmlns:mc="http://schemas.openxmlformats.org/markup-compatibility/2006">
          <mc:Choice Requires="x14">
            <control shapeId="132100" r:id="rId8" name="Button 4">
              <controlPr defaultSize="0" print="0" autoFill="0" autoPict="0" macro="[0]!DeleteRow">
                <anchor moveWithCells="1">
                  <from>
                    <xdr:col>33</xdr:col>
                    <xdr:colOff>542925</xdr:colOff>
                    <xdr:row>6</xdr:row>
                    <xdr:rowOff>95250</xdr:rowOff>
                  </from>
                  <to>
                    <xdr:col>34</xdr:col>
                    <xdr:colOff>333375</xdr:colOff>
                    <xdr:row>7</xdr:row>
                    <xdr:rowOff>142875</xdr:rowOff>
                  </to>
                </anchor>
              </controlPr>
            </control>
          </mc:Choice>
        </mc:AlternateContent>
        <mc:AlternateContent xmlns:mc="http://schemas.openxmlformats.org/markup-compatibility/2006">
          <mc:Choice Requires="x14">
            <control shapeId="132101" r:id="rId9" name="Button 5">
              <controlPr defaultSize="0" print="0" autoFill="0" autoPict="0" macro="[0]!AddColumn">
                <anchor moveWithCells="1">
                  <from>
                    <xdr:col>40</xdr:col>
                    <xdr:colOff>666750</xdr:colOff>
                    <xdr:row>6</xdr:row>
                    <xdr:rowOff>66675</xdr:rowOff>
                  </from>
                  <to>
                    <xdr:col>42</xdr:col>
                    <xdr:colOff>66675</xdr:colOff>
                    <xdr:row>7</xdr:row>
                    <xdr:rowOff>114300</xdr:rowOff>
                  </to>
                </anchor>
              </controlPr>
            </control>
          </mc:Choice>
        </mc:AlternateContent>
        <mc:AlternateContent xmlns:mc="http://schemas.openxmlformats.org/markup-compatibility/2006">
          <mc:Choice Requires="x14">
            <control shapeId="132102" r:id="rId10" name="Button 6">
              <controlPr defaultSize="0" print="0" autoFill="0" autoPict="0" macro="[0]!DeleteColumn">
                <anchor moveWithCells="1">
                  <from>
                    <xdr:col>42</xdr:col>
                    <xdr:colOff>104775</xdr:colOff>
                    <xdr:row>6</xdr:row>
                    <xdr:rowOff>66675</xdr:rowOff>
                  </from>
                  <to>
                    <xdr:col>42</xdr:col>
                    <xdr:colOff>647700</xdr:colOff>
                    <xdr:row>7</xdr:row>
                    <xdr:rowOff>114300</xdr:rowOff>
                  </to>
                </anchor>
              </controlPr>
            </control>
          </mc:Choice>
        </mc:AlternateContent>
        <mc:AlternateContent xmlns:mc="http://schemas.openxmlformats.org/markup-compatibility/2006">
          <mc:Choice Requires="x14">
            <control shapeId="132103" r:id="rId11" name="Button 7">
              <controlPr defaultSize="0" print="0" autoFill="0" autoPict="0" macro="[0]!RefreshTables">
                <anchor moveWithCells="1">
                  <from>
                    <xdr:col>31</xdr:col>
                    <xdr:colOff>495300</xdr:colOff>
                    <xdr:row>0</xdr:row>
                    <xdr:rowOff>180975</xdr:rowOff>
                  </from>
                  <to>
                    <xdr:col>32</xdr:col>
                    <xdr:colOff>352425</xdr:colOff>
                    <xdr:row>2</xdr:row>
                    <xdr:rowOff>19050</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7" id="{97EA1C2C-0C26-4FF9-81F7-33DCEDBEF5A2}">
            <xm:f>Security!$A$1="NO VBA"</xm:f>
            <x14:dxf>
              <font>
                <color theme="0"/>
              </font>
              <border>
                <vertical/>
                <horizontal/>
              </border>
            </x14:dxf>
          </x14:cfRule>
          <xm:sqref>B58:C1048576 D9:D1048576 B24:B57 E24:N1048576</xm:sqref>
        </x14:conditionalFormatting>
        <x14:conditionalFormatting xmlns:xm="http://schemas.microsoft.com/office/excel/2006/main">
          <x14:cfRule type="expression" priority="4" id="{C643B3F0-4C89-4F41-A6CC-B7EEB7DD07C5}">
            <xm:f>Security!$A$1="NO VBA"</xm:f>
            <x14:dxf>
              <font>
                <color theme="0"/>
              </font>
              <border>
                <vertical/>
                <horizontal/>
              </border>
            </x14:dxf>
          </x14:cfRule>
          <xm:sqref>A9:A1048576</xm:sqref>
        </x14:conditionalFormatting>
        <x14:conditionalFormatting xmlns:xm="http://schemas.microsoft.com/office/excel/2006/main">
          <x14:cfRule type="expression" priority="3" id="{AB8319A1-40C2-4FCB-BC32-424D1695753E}">
            <xm:f>Security!$A$1="NO VBA"</xm:f>
            <x14:dxf>
              <font>
                <color theme="0"/>
              </font>
              <border>
                <vertical/>
                <horizontal/>
              </border>
            </x14:dxf>
          </x14:cfRule>
          <xm:sqref>P9:P1048576</xm:sqref>
        </x14:conditionalFormatting>
        <x14:conditionalFormatting xmlns:xm="http://schemas.microsoft.com/office/excel/2006/main">
          <x14:cfRule type="expression" priority="2" id="{11CA7503-4E07-49BA-955E-9DAE7D9BEDAF}">
            <xm:f>Security!$A$1="NO VBA"</xm:f>
            <x14:dxf>
              <font>
                <color theme="0"/>
              </font>
              <border>
                <vertical/>
                <horizontal/>
              </border>
            </x14:dxf>
          </x14:cfRule>
          <xm:sqref>O9:O1048576</xm:sqref>
        </x14:conditionalFormatting>
        <x14:conditionalFormatting xmlns:xm="http://schemas.microsoft.com/office/excel/2006/main">
          <x14:cfRule type="expression" priority="1" id="{0C5C772C-25B6-4778-A6BD-C473D1B3509E}">
            <xm:f>Security!$A$1="NO VBA"</xm:f>
            <x14:dxf>
              <font>
                <color theme="0"/>
              </font>
              <border>
                <vertical/>
                <horizontal/>
              </border>
            </x14:dxf>
          </x14:cfRule>
          <xm:sqref>AK6:AM6</xm:sqref>
        </x14:conditionalFormatting>
      </x14:conditionalFormattings>
    </ext>
    <ext xmlns:x15="http://schemas.microsoft.com/office/spreadsheetml/2010/11/main" uri="{7E03D99C-DC04-49d9-9315-930204A7B6E9}">
      <x15:timelineRefs>
        <x15:timelineRef r:id="rId13"/>
      </x15:timelineRef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sheetPr>
  <dimension ref="B1:Y101"/>
  <sheetViews>
    <sheetView showGridLines="0" topLeftCell="R16" workbookViewId="0">
      <selection activeCell="V22" sqref="V22"/>
    </sheetView>
  </sheetViews>
  <sheetFormatPr defaultRowHeight="18" customHeight="1" outlineLevelRow="1" outlineLevelCol="2" x14ac:dyDescent="0.3"/>
  <cols>
    <col min="1" max="1" width="1.25" style="7" customWidth="1"/>
    <col min="2" max="2" width="17.5" style="7" hidden="1" customWidth="1" outlineLevel="1"/>
    <col min="3" max="3" width="16.25" style="7" hidden="1" customWidth="1" outlineLevel="1"/>
    <col min="4" max="4" width="11.625" style="7" hidden="1" customWidth="1" outlineLevel="1"/>
    <col min="5" max="5" width="11.25" style="7" hidden="1" customWidth="1" outlineLevel="1"/>
    <col min="6" max="10" width="1.25" style="7" hidden="1" customWidth="1" outlineLevel="1"/>
    <col min="11" max="11" width="1.25" style="7" customWidth="1" collapsed="1"/>
    <col min="12" max="12" width="9.625" style="7" customWidth="1"/>
    <col min="13" max="13" width="10" style="7" bestFit="1" customWidth="1"/>
    <col min="14" max="14" width="10" style="54" customWidth="1" collapsed="1"/>
    <col min="15" max="15" width="9.875" style="54" customWidth="1"/>
    <col min="16" max="16" width="18.125" style="7" customWidth="1"/>
    <col min="17" max="17" width="6.75" style="7" bestFit="1" customWidth="1"/>
    <col min="18" max="18" width="2.125" style="7" customWidth="1"/>
    <col min="19" max="19" width="16.5" style="7" customWidth="1"/>
    <col min="20" max="20" width="12.75" style="7" customWidth="1"/>
    <col min="21" max="21" width="16.625" style="7" customWidth="1" collapsed="1"/>
    <col min="22" max="22" width="16.25" style="7" customWidth="1" outlineLevel="2"/>
    <col min="23" max="23" width="14.125" style="7" customWidth="1" outlineLevel="2"/>
    <col min="24" max="24" width="6.75" style="7" customWidth="1"/>
    <col min="25" max="25" width="9" style="38"/>
    <col min="26" max="16384" width="9" style="7"/>
  </cols>
  <sheetData>
    <row r="1" spans="13:22" ht="18" customHeight="1" x14ac:dyDescent="0.3">
      <c r="M1" s="54" t="s">
        <v>577</v>
      </c>
      <c r="N1" s="422"/>
      <c r="O1" s="7"/>
      <c r="P1" s="420">
        <f>SUM(Table_TonKho_DuPhong[[#All],[Giá trị dự phòng]])</f>
        <v>0</v>
      </c>
      <c r="Q1" s="420"/>
      <c r="R1" s="15"/>
      <c r="S1" s="15"/>
      <c r="T1" s="15"/>
      <c r="U1" s="15"/>
      <c r="V1" s="421" cm="1">
        <f t="array" ref="V1" xml:space="preserve">
IF(ISBLANK(TonKho_Kho),
IFERROR(
SUM(_xlfn._xlws.FILTER(Table_Main[Giá trị hàng nhập],
(Table_Main[Mã SKU] = TonKho_MaHang) *
(NOT(ISBLANK(Table_Main[Mã SKU]))) *
(Table_Main[Mã SKU] &lt;&gt; "") *
(Table_Main[Loại] = "Xuất") *
(Table_Main[Ngày xuất nhập] &lt; TonKho_NgayTheoDoi)
)),0)
+IFERROR(
SUM(_xlfn._xlws.FILTER(Table_Main[Giá trị hàng nhập],
(Table_Main[Mã Nguyên liệu] = TonKho_MaHang) *
(NOT(ISBLANK(Table_Main[Mã Nguyên liệu]))) *
(Table_Main[Mã Nguyên liệu] &lt;&gt; "") *
(Table_Main[Loại] = "Xuất") *
(Table_Main[Ngày xuất nhập] &lt; TonKho_NgayTheoDoi)
)),0),
IFERROR(
SUM(_xlfn._xlws.FILTER(Table_Main[Giá trị hàng nhập],
(Table_Main[Mã SKU] = TonKho_MaHang) *
(NOT(ISBLANK(Table_Main[Mã SKU]))) *
(Table_Main[Mã SKU] &lt;&gt; "") *
(Table_Main[Loại] = "Xuất") *
(Table_Main[Kho] = TonKho_Kho) *
(Table_Main[Ngày xuất nhập] &lt; TonKho_NgayTheoDoi)
)),0)
+IFERROR(
SUM(_xlfn._xlws.FILTER(Table_Main[Giá trị hàng nhập],
(Table_Main[Mã Nguyên liệu] = TonKho_MaHang) *
(NOT(ISBLANK(Table_Main[Mã Nguyên liệu]))) *
(Table_Main[Mã Nguyên liệu] &lt;&gt; "") *
(Table_Main[Loại] = "Xuất") *
(Table_Main[Kho] = TonKho_Kho) *
(Table_Main[Ngày xuất nhập] &lt; TonKho_NgayTheoDoi)
)),0))</f>
        <v>0</v>
      </c>
    </row>
    <row r="2" spans="13:22" ht="18" customHeight="1" x14ac:dyDescent="0.3">
      <c r="M2" s="54" t="s">
        <v>559</v>
      </c>
      <c r="N2" s="220"/>
      <c r="O2" s="220"/>
      <c r="Q2" s="15"/>
      <c r="R2" s="15"/>
      <c r="S2" s="15"/>
      <c r="T2" s="15"/>
      <c r="U2" s="15"/>
      <c r="V2" s="421" cm="1">
        <f t="array" ref="V2">IFERROR(
IF(
OR(
VLOOKUP(TonKho_MaHang,Table_NguyenLieu[[Mã Nguyên liệu]:[Chức năng]],Sheet_NguyenLieu!$E$1,0) = "Sản xuất",
VLOOKUP(TonKho_MaHang,Table_NguyenLieu[[Mã Nguyên liệu]:[Chức năng]],Sheet_NguyenLieu!$E$1,0) = "Nguyên liệu"),
TonKho_GTXuat*
SUM(_xlfn._xlws.FILTER(Table_TonKho[SL xuất],
(NOT(ISBLANK(Table_TonKho[Sản xuất])))
)) /
SUM(Table_TonKho[Sản xuất]),
TonKho_GTXuat),
TonKho_GTXuat)</f>
        <v>0</v>
      </c>
    </row>
    <row r="3" spans="13:22" ht="18" customHeight="1" x14ac:dyDescent="0.3">
      <c r="M3" s="54" t="s">
        <v>578</v>
      </c>
      <c r="N3" s="220"/>
      <c r="O3" s="15" t="str" cm="1">
        <f t="array" ref="O3">IF(N2="SKU",
TRANSPOSE(Ma_SKU),
IF(N2="Nguyên liệu",
TRANSPOSE(MaNguyenLieu),""))</f>
        <v/>
      </c>
    </row>
    <row r="4" spans="13:22" ht="18" customHeight="1" x14ac:dyDescent="0.3">
      <c r="M4" s="54"/>
      <c r="O4" s="229"/>
    </row>
    <row r="5" spans="13:22" ht="18" customHeight="1" outlineLevel="1" x14ac:dyDescent="0.3">
      <c r="M5" s="54"/>
      <c r="O5" s="229"/>
    </row>
    <row r="6" spans="13:22" ht="18" customHeight="1" outlineLevel="1" x14ac:dyDescent="0.3">
      <c r="M6" s="54"/>
      <c r="O6" s="229"/>
    </row>
    <row r="7" spans="13:22" ht="18" customHeight="1" outlineLevel="1" x14ac:dyDescent="0.3">
      <c r="M7" s="54"/>
      <c r="O7" s="229"/>
    </row>
    <row r="8" spans="13:22" ht="18" customHeight="1" outlineLevel="1" x14ac:dyDescent="0.3">
      <c r="M8" s="54"/>
      <c r="O8" s="229"/>
    </row>
    <row r="9" spans="13:22" ht="18" customHeight="1" outlineLevel="1" x14ac:dyDescent="0.3">
      <c r="M9" s="54"/>
      <c r="O9" s="229"/>
    </row>
    <row r="10" spans="13:22" ht="18" customHeight="1" outlineLevel="1" x14ac:dyDescent="0.3">
      <c r="M10" s="54"/>
      <c r="O10" s="229"/>
    </row>
    <row r="11" spans="13:22" ht="18" customHeight="1" outlineLevel="1" x14ac:dyDescent="0.3">
      <c r="M11" s="54"/>
      <c r="O11" s="229"/>
    </row>
    <row r="12" spans="13:22" ht="18" customHeight="1" outlineLevel="1" x14ac:dyDescent="0.3">
      <c r="M12" s="54"/>
      <c r="O12" s="229"/>
    </row>
    <row r="13" spans="13:22" ht="18" customHeight="1" outlineLevel="1" x14ac:dyDescent="0.3">
      <c r="M13" s="54"/>
      <c r="O13" s="229"/>
    </row>
    <row r="14" spans="13:22" ht="18" customHeight="1" outlineLevel="1" x14ac:dyDescent="0.3">
      <c r="M14" s="54"/>
      <c r="O14" s="229"/>
    </row>
    <row r="15" spans="13:22" ht="18" customHeight="1" outlineLevel="1" x14ac:dyDescent="0.3">
      <c r="M15" s="54"/>
      <c r="O15" s="229"/>
    </row>
    <row r="16" spans="13:22" ht="18" customHeight="1" outlineLevel="1" x14ac:dyDescent="0.3">
      <c r="M16" s="54"/>
      <c r="O16" s="229"/>
    </row>
    <row r="17" spans="2:24" ht="18" customHeight="1" outlineLevel="1" x14ac:dyDescent="0.3">
      <c r="M17" s="54"/>
      <c r="O17" s="229"/>
    </row>
    <row r="18" spans="2:24" ht="18" customHeight="1" outlineLevel="1" x14ac:dyDescent="0.3">
      <c r="M18" s="54"/>
      <c r="O18" s="229"/>
    </row>
    <row r="19" spans="2:24" ht="18" customHeight="1" outlineLevel="1" x14ac:dyDescent="0.3">
      <c r="M19" s="54"/>
      <c r="O19" s="229"/>
    </row>
    <row r="20" spans="2:24" ht="18" customHeight="1" outlineLevel="1" x14ac:dyDescent="0.3">
      <c r="M20" s="54"/>
      <c r="O20" s="229"/>
    </row>
    <row r="21" spans="2:24" ht="16.5" x14ac:dyDescent="0.3">
      <c r="B21" s="97" t="s">
        <v>1194</v>
      </c>
      <c r="C21" s="97" t="s">
        <v>1156</v>
      </c>
      <c r="D21"/>
      <c r="E21"/>
      <c r="M21" s="7" t="s">
        <v>579</v>
      </c>
      <c r="N21" s="7" t="s">
        <v>580</v>
      </c>
      <c r="O21" s="7" t="s">
        <v>542</v>
      </c>
      <c r="P21" s="7" t="s">
        <v>1244</v>
      </c>
      <c r="Q21" s="7" t="s">
        <v>873</v>
      </c>
      <c r="U21" s="7" t="s">
        <v>581</v>
      </c>
      <c r="V21" s="7" t="s">
        <v>1245</v>
      </c>
      <c r="W21" s="7" t="s">
        <v>582</v>
      </c>
      <c r="X21" s="7" t="s">
        <v>873</v>
      </c>
    </row>
    <row r="22" spans="2:24" ht="16.5" x14ac:dyDescent="0.3">
      <c r="B22" s="97" t="s">
        <v>23</v>
      </c>
      <c r="C22" s="504" t="s">
        <v>1149</v>
      </c>
      <c r="D22" s="504" t="s">
        <v>1153</v>
      </c>
      <c r="E22" s="504" t="s">
        <v>1152</v>
      </c>
      <c r="M22" s="15"/>
      <c r="N22" s="15"/>
      <c r="O22" s="31"/>
      <c r="P22" s="18" cm="1">
        <f t="array" ref="P22"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f>
        <v>0</v>
      </c>
      <c r="S22" s="7" t="str" cm="1">
        <f t="array" ref="S22:S24">_xlfn.SORTBY(Table_SKU[Mã SKU], Table_SKU[Tồn kho],-1)</f>
        <v>HH1</v>
      </c>
      <c r="T22" s="7" t="e" cm="1" vm="1">
        <f t="array" ref="T22">_xlfn.UNIQUE(
IF( ISBLANK(TonKho_Kho),
IFERROR(
_xlfn._xlws.FILTER(Table_Main[Ngày xuất nhập],
(Table_Main[Mã SKU] = TonKho_MaHang) *
(Table_Main[Loại] = "Nhập") *
(Table_Main[Ngày xuất nhập] &lt; TonKho_NgayTheoDoi)
),
_xlfn._xlws.FILTER(Table_Main[Ngày xuất nhập],
(Table_Main[Mã Nguyên liệu] = TonKho_MaHang) *
(Table_Main[Loại] = "Nhập") *
(Table_Main[Ngày xuất nhập] &lt; TonKho_NgayTheoDoi)
)),
IFERROR(
_xlfn._xlws.FILTER(Table_Main[Ngày xuất nhập],
(Table_Main[Mã SKU] = TonKho_MaHang) *
(Table_Main[Loại] = "Nhập") *
(Table_Main[Kho] = TonKho_Kho) *
(Table_Main[Ngày xuất nhập] &lt; TonKho_NgayTheoDoi)
),
_xlfn._xlws.FILTER(Table_Main[Ngày xuất nhập],
(Table_Main[Mã Nguyên liệu] = TonKho_MaHang) *
(Table_Main[Loại] = "Nhập") *
(Table_Main[Kho] = TonKho_Kho) *
(Table_Main[Ngày xuất nhập] &lt; TonKho_NgayTheoDoi)
))))</f>
        <v>#VALUE!</v>
      </c>
      <c r="U22" s="337"/>
      <c r="V22" s="18" cm="1">
        <f t="array" ref="V22"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f>
        <v>0</v>
      </c>
      <c r="W22" s="18">
        <f>IF(Table_TonKho_TuoiKho[[#This Row],[Giá trị tồn]] = 0,0,
TonKho_NgayTheoDoi -Table_TonKho_TuoiKho[[#This Row],[Ngày nhập]])</f>
        <v>0</v>
      </c>
      <c r="X22" s="212"/>
    </row>
    <row r="23" spans="2:24" ht="16.5" x14ac:dyDescent="0.3">
      <c r="B23" s="519">
        <v>45717</v>
      </c>
      <c r="C23" s="504">
        <v>71284.637313432802</v>
      </c>
      <c r="D23" s="504">
        <v>5461230.0948885884</v>
      </c>
      <c r="E23" s="504">
        <v>719490.96854972269</v>
      </c>
      <c r="N23" s="7"/>
      <c r="O23" s="7"/>
      <c r="S23" s="7" t="str">
        <v>TP1</v>
      </c>
    </row>
    <row r="24" spans="2:24" ht="16.5" x14ac:dyDescent="0.3">
      <c r="B24" s="519">
        <v>45748</v>
      </c>
      <c r="C24" s="504"/>
      <c r="D24" s="504">
        <v>3878156.8210526318</v>
      </c>
      <c r="E24" s="504">
        <v>994140.11321242829</v>
      </c>
      <c r="N24" s="7"/>
      <c r="O24" s="7"/>
      <c r="S24" s="7" t="str">
        <v>TP2</v>
      </c>
    </row>
    <row r="25" spans="2:24" ht="16.5" x14ac:dyDescent="0.3">
      <c r="B25" s="519">
        <v>45778</v>
      </c>
      <c r="C25" s="504">
        <v>304294.31268656714</v>
      </c>
      <c r="D25" s="504">
        <v>1585928.3</v>
      </c>
      <c r="E25" s="504">
        <v>1830850.8074074076</v>
      </c>
    </row>
    <row r="26" spans="2:24" ht="16.5" x14ac:dyDescent="0.3">
      <c r="B26" s="519" t="s">
        <v>1102</v>
      </c>
      <c r="C26" s="504">
        <v>375578.94999999995</v>
      </c>
      <c r="D26" s="504">
        <v>10925315.215941221</v>
      </c>
      <c r="E26" s="504">
        <v>3544481.8891695584</v>
      </c>
      <c r="P26" s="44"/>
      <c r="Q26" s="44"/>
    </row>
    <row r="27" spans="2:24" ht="16.5" x14ac:dyDescent="0.3">
      <c r="B27"/>
      <c r="C27"/>
      <c r="D27"/>
      <c r="P27" s="44"/>
      <c r="Q27" s="44"/>
    </row>
    <row r="28" spans="2:24" ht="16.5" x14ac:dyDescent="0.3">
      <c r="B28"/>
      <c r="C28"/>
      <c r="D28"/>
      <c r="N28" s="7"/>
      <c r="O28" s="7"/>
      <c r="R28" s="44"/>
      <c r="S28" s="44"/>
      <c r="T28" s="44"/>
      <c r="U28" s="54"/>
    </row>
    <row r="29" spans="2:24" ht="16.5" x14ac:dyDescent="0.3">
      <c r="B29"/>
      <c r="C29"/>
      <c r="D29"/>
      <c r="N29" s="7"/>
      <c r="O29" s="7"/>
      <c r="U29" s="54"/>
    </row>
    <row r="30" spans="2:24" ht="16.5" x14ac:dyDescent="0.3">
      <c r="B30"/>
      <c r="C30"/>
      <c r="D30"/>
      <c r="N30" s="7"/>
      <c r="O30" s="7"/>
      <c r="U30" s="44"/>
    </row>
    <row r="31" spans="2:24" ht="16.5" x14ac:dyDescent="0.3">
      <c r="B31"/>
      <c r="C31"/>
      <c r="D31"/>
      <c r="N31" s="7"/>
      <c r="O31" s="7"/>
      <c r="P31" s="54"/>
      <c r="Q31" s="54"/>
      <c r="U31" s="44"/>
    </row>
    <row r="32" spans="2:24" ht="16.5" x14ac:dyDescent="0.3">
      <c r="B32"/>
      <c r="C32"/>
      <c r="D32"/>
      <c r="N32" s="7"/>
      <c r="O32" s="7"/>
      <c r="P32" s="54"/>
      <c r="Q32" s="54"/>
      <c r="R32" s="44"/>
      <c r="S32" s="44"/>
      <c r="T32" s="44"/>
      <c r="U32" s="44"/>
    </row>
    <row r="33" spans="2:22" ht="16.5" x14ac:dyDescent="0.3">
      <c r="B33"/>
      <c r="C33"/>
      <c r="D33"/>
      <c r="N33" s="7"/>
      <c r="O33" s="7"/>
      <c r="P33" s="54"/>
      <c r="Q33" s="54"/>
      <c r="R33" s="44"/>
      <c r="S33" s="44"/>
      <c r="T33" s="44"/>
      <c r="U33" s="44"/>
    </row>
    <row r="34" spans="2:22" ht="16.5" x14ac:dyDescent="0.3">
      <c r="B34"/>
      <c r="C34"/>
      <c r="D34"/>
      <c r="N34" s="7"/>
      <c r="O34" s="7"/>
      <c r="P34" s="54"/>
      <c r="Q34" s="54"/>
      <c r="R34" s="44"/>
      <c r="S34" s="44"/>
      <c r="T34" s="44"/>
      <c r="U34" s="44"/>
    </row>
    <row r="35" spans="2:22" ht="16.5" x14ac:dyDescent="0.3">
      <c r="B35"/>
      <c r="C35"/>
      <c r="D35"/>
      <c r="N35" s="7"/>
      <c r="O35" s="7"/>
      <c r="P35" s="54"/>
      <c r="Q35" s="54"/>
      <c r="R35" s="44"/>
      <c r="S35" s="44"/>
      <c r="T35" s="44"/>
      <c r="U35" s="44"/>
    </row>
    <row r="36" spans="2:22" ht="16.5" x14ac:dyDescent="0.3">
      <c r="B36"/>
      <c r="C36"/>
      <c r="D36"/>
      <c r="P36" s="44"/>
      <c r="Q36" s="44"/>
      <c r="R36" s="44"/>
      <c r="S36" s="44"/>
      <c r="T36" s="44"/>
      <c r="U36" s="44"/>
    </row>
    <row r="37" spans="2:22" ht="16.5" x14ac:dyDescent="0.3">
      <c r="B37"/>
      <c r="C37"/>
      <c r="D37"/>
      <c r="P37" s="44"/>
      <c r="Q37" s="44"/>
      <c r="R37" s="44"/>
      <c r="S37" s="44"/>
      <c r="T37" s="44"/>
      <c r="U37" s="44"/>
      <c r="V37" s="44"/>
    </row>
    <row r="38" spans="2:22" ht="16.5" x14ac:dyDescent="0.3">
      <c r="B38"/>
      <c r="C38"/>
      <c r="D38"/>
      <c r="P38" s="44"/>
      <c r="Q38" s="44"/>
      <c r="R38" s="44"/>
      <c r="S38" s="44"/>
      <c r="T38" s="44"/>
      <c r="U38" s="44"/>
      <c r="V38" s="44"/>
    </row>
    <row r="39" spans="2:22" ht="18" customHeight="1" x14ac:dyDescent="0.3">
      <c r="P39" s="44"/>
      <c r="Q39" s="44"/>
      <c r="R39" s="44"/>
      <c r="S39" s="44"/>
      <c r="T39" s="44"/>
      <c r="U39" s="44"/>
      <c r="V39" s="44"/>
    </row>
    <row r="40" spans="2:22" ht="18" customHeight="1" x14ac:dyDescent="0.3">
      <c r="P40" s="44"/>
      <c r="Q40" s="44"/>
      <c r="R40" s="44"/>
      <c r="S40" s="44"/>
      <c r="T40" s="44"/>
      <c r="U40" s="44"/>
      <c r="V40" s="44"/>
    </row>
    <row r="41" spans="2:22" ht="18" customHeight="1" x14ac:dyDescent="0.3">
      <c r="P41" s="44"/>
      <c r="Q41" s="44"/>
      <c r="R41" s="44"/>
      <c r="S41" s="44"/>
      <c r="T41" s="44"/>
      <c r="U41" s="44"/>
      <c r="V41" s="44"/>
    </row>
    <row r="42" spans="2:22" ht="18" customHeight="1" x14ac:dyDescent="0.3">
      <c r="P42" s="44"/>
      <c r="Q42" s="44"/>
      <c r="R42" s="44"/>
      <c r="S42" s="44"/>
      <c r="T42" s="44"/>
      <c r="U42" s="44"/>
    </row>
    <row r="43" spans="2:22" ht="18" customHeight="1" x14ac:dyDescent="0.3">
      <c r="P43" s="44"/>
      <c r="Q43" s="44"/>
      <c r="R43" s="44"/>
      <c r="S43" s="44"/>
      <c r="T43" s="44"/>
      <c r="U43" s="44"/>
    </row>
    <row r="44" spans="2:22" ht="18" customHeight="1" x14ac:dyDescent="0.3">
      <c r="P44" s="44"/>
      <c r="Q44" s="44"/>
      <c r="R44" s="44"/>
      <c r="S44" s="44"/>
      <c r="T44" s="44"/>
      <c r="U44" s="44"/>
    </row>
    <row r="45" spans="2:22" ht="18" customHeight="1" x14ac:dyDescent="0.3">
      <c r="P45" s="44"/>
      <c r="Q45" s="44"/>
      <c r="R45" s="44"/>
      <c r="S45" s="44"/>
      <c r="T45" s="44"/>
      <c r="U45" s="44"/>
    </row>
    <row r="46" spans="2:22" ht="18" customHeight="1" x14ac:dyDescent="0.3">
      <c r="P46" s="44"/>
      <c r="Q46" s="44"/>
      <c r="R46" s="44"/>
      <c r="S46" s="44"/>
      <c r="T46" s="44"/>
      <c r="U46" s="44"/>
    </row>
    <row r="47" spans="2:22" ht="18" customHeight="1" x14ac:dyDescent="0.3">
      <c r="P47" s="44"/>
      <c r="Q47" s="44"/>
      <c r="R47" s="44"/>
      <c r="S47" s="44"/>
      <c r="T47" s="44"/>
      <c r="U47" s="44"/>
    </row>
    <row r="48" spans="2:22" ht="18" customHeight="1" x14ac:dyDescent="0.3">
      <c r="P48" s="44"/>
      <c r="Q48" s="44"/>
      <c r="R48" s="44"/>
      <c r="S48" s="44"/>
      <c r="T48" s="44"/>
      <c r="U48" s="44"/>
    </row>
    <row r="49" spans="16:21" ht="18" customHeight="1" x14ac:dyDescent="0.3">
      <c r="P49" s="44"/>
      <c r="Q49" s="44"/>
      <c r="R49" s="44"/>
      <c r="S49" s="44"/>
      <c r="T49" s="44"/>
      <c r="U49" s="44"/>
    </row>
    <row r="50" spans="16:21" ht="18" customHeight="1" x14ac:dyDescent="0.3">
      <c r="P50" s="44"/>
      <c r="Q50" s="44"/>
      <c r="R50" s="44"/>
      <c r="S50" s="44"/>
      <c r="T50" s="44"/>
      <c r="U50" s="44"/>
    </row>
    <row r="51" spans="16:21" ht="18" customHeight="1" x14ac:dyDescent="0.3">
      <c r="P51" s="44"/>
      <c r="Q51" s="44"/>
      <c r="R51" s="44"/>
      <c r="S51" s="44"/>
      <c r="T51" s="44"/>
      <c r="U51" s="44"/>
    </row>
    <row r="52" spans="16:21" ht="18" customHeight="1" x14ac:dyDescent="0.3">
      <c r="P52" s="44"/>
      <c r="Q52" s="44"/>
      <c r="R52" s="44"/>
      <c r="S52" s="44"/>
      <c r="T52" s="44"/>
      <c r="U52" s="44"/>
    </row>
    <row r="53" spans="16:21" ht="18" customHeight="1" x14ac:dyDescent="0.3">
      <c r="P53" s="44"/>
      <c r="Q53" s="44"/>
      <c r="R53" s="44"/>
      <c r="S53" s="44"/>
      <c r="T53" s="44"/>
      <c r="U53" s="44"/>
    </row>
    <row r="54" spans="16:21" ht="18" customHeight="1" x14ac:dyDescent="0.3">
      <c r="P54" s="44"/>
      <c r="Q54" s="44"/>
      <c r="R54" s="44"/>
      <c r="S54" s="44"/>
      <c r="T54" s="44"/>
      <c r="U54" s="44"/>
    </row>
    <row r="55" spans="16:21" ht="18" customHeight="1" x14ac:dyDescent="0.3">
      <c r="P55" s="44"/>
      <c r="Q55" s="44"/>
      <c r="R55" s="44"/>
      <c r="S55" s="44"/>
      <c r="T55" s="44"/>
      <c r="U55" s="44"/>
    </row>
    <row r="56" spans="16:21" ht="18" customHeight="1" x14ac:dyDescent="0.3">
      <c r="P56" s="44"/>
      <c r="Q56" s="44"/>
      <c r="R56" s="44"/>
      <c r="S56" s="44"/>
      <c r="T56" s="44"/>
      <c r="U56" s="44"/>
    </row>
    <row r="57" spans="16:21" ht="18" customHeight="1" x14ac:dyDescent="0.3">
      <c r="P57" s="44"/>
      <c r="Q57" s="44"/>
      <c r="R57" s="44"/>
      <c r="S57" s="44"/>
      <c r="T57" s="44"/>
      <c r="U57" s="44"/>
    </row>
    <row r="58" spans="16:21" ht="18" customHeight="1" x14ac:dyDescent="0.3">
      <c r="P58" s="44"/>
      <c r="Q58" s="44"/>
      <c r="R58" s="44"/>
      <c r="S58" s="44"/>
      <c r="T58" s="44"/>
      <c r="U58" s="44"/>
    </row>
    <row r="59" spans="16:21" ht="18" customHeight="1" x14ac:dyDescent="0.3">
      <c r="P59" s="44"/>
      <c r="Q59" s="44"/>
      <c r="R59" s="44"/>
      <c r="S59" s="44"/>
      <c r="T59" s="44"/>
      <c r="U59" s="44"/>
    </row>
    <row r="60" spans="16:21" ht="18" customHeight="1" x14ac:dyDescent="0.3">
      <c r="P60" s="44"/>
      <c r="Q60" s="44"/>
      <c r="R60" s="44"/>
      <c r="S60" s="44"/>
      <c r="T60" s="44"/>
      <c r="U60" s="44"/>
    </row>
    <row r="61" spans="16:21" ht="18" customHeight="1" x14ac:dyDescent="0.3">
      <c r="P61" s="44"/>
      <c r="Q61" s="44"/>
      <c r="R61" s="44"/>
      <c r="S61" s="44"/>
      <c r="T61" s="44"/>
      <c r="U61" s="44"/>
    </row>
    <row r="62" spans="16:21" ht="18" customHeight="1" x14ac:dyDescent="0.3">
      <c r="P62" s="44"/>
      <c r="Q62" s="44"/>
      <c r="R62" s="44"/>
      <c r="S62" s="44"/>
      <c r="T62" s="44"/>
    </row>
    <row r="63" spans="16:21" ht="18" customHeight="1" x14ac:dyDescent="0.3">
      <c r="P63" s="44"/>
      <c r="Q63" s="44"/>
      <c r="R63" s="44"/>
      <c r="S63" s="44"/>
      <c r="T63" s="44"/>
    </row>
    <row r="64" spans="16:21" ht="18" customHeight="1" x14ac:dyDescent="0.3">
      <c r="P64" s="44"/>
      <c r="Q64" s="44"/>
      <c r="R64" s="44"/>
      <c r="S64" s="44"/>
      <c r="T64" s="44"/>
    </row>
    <row r="65" spans="16:20" ht="18" customHeight="1" x14ac:dyDescent="0.3">
      <c r="P65" s="44"/>
      <c r="Q65" s="44"/>
      <c r="R65" s="44"/>
      <c r="S65" s="44"/>
      <c r="T65" s="44"/>
    </row>
    <row r="66" spans="16:20" ht="18" customHeight="1" x14ac:dyDescent="0.3">
      <c r="P66" s="44"/>
      <c r="Q66" s="44"/>
      <c r="R66" s="44"/>
      <c r="S66" s="44"/>
      <c r="T66" s="44"/>
    </row>
    <row r="67" spans="16:20" ht="18" customHeight="1" x14ac:dyDescent="0.3">
      <c r="P67" s="44"/>
      <c r="Q67" s="44"/>
    </row>
    <row r="68" spans="16:20" ht="18" customHeight="1" x14ac:dyDescent="0.3">
      <c r="P68" s="44"/>
      <c r="Q68" s="44"/>
    </row>
    <row r="69" spans="16:20" ht="18" customHeight="1" x14ac:dyDescent="0.3">
      <c r="P69" s="44"/>
      <c r="Q69" s="44"/>
    </row>
    <row r="70" spans="16:20" ht="18" customHeight="1" x14ac:dyDescent="0.3">
      <c r="P70" s="44"/>
      <c r="Q70" s="44"/>
    </row>
    <row r="71" spans="16:20" ht="18" customHeight="1" x14ac:dyDescent="0.3">
      <c r="P71" s="44"/>
      <c r="Q71" s="44"/>
    </row>
    <row r="72" spans="16:20" ht="18" customHeight="1" x14ac:dyDescent="0.3">
      <c r="P72" s="44"/>
      <c r="Q72" s="44"/>
    </row>
    <row r="73" spans="16:20" ht="18" customHeight="1" x14ac:dyDescent="0.3">
      <c r="P73" s="44"/>
      <c r="Q73" s="44"/>
    </row>
    <row r="74" spans="16:20" ht="18" customHeight="1" x14ac:dyDescent="0.3">
      <c r="P74" s="44"/>
      <c r="Q74" s="44"/>
    </row>
    <row r="75" spans="16:20" ht="18" customHeight="1" x14ac:dyDescent="0.3">
      <c r="P75" s="44"/>
      <c r="Q75" s="44"/>
    </row>
    <row r="76" spans="16:20" ht="18" customHeight="1" x14ac:dyDescent="0.3">
      <c r="P76" s="44"/>
      <c r="Q76" s="44"/>
    </row>
    <row r="77" spans="16:20" ht="18" customHeight="1" x14ac:dyDescent="0.3">
      <c r="P77" s="44"/>
      <c r="Q77" s="44"/>
    </row>
    <row r="78" spans="16:20" ht="18" customHeight="1" x14ac:dyDescent="0.3">
      <c r="P78" s="44"/>
      <c r="Q78" s="44"/>
    </row>
    <row r="79" spans="16:20" ht="18" customHeight="1" x14ac:dyDescent="0.3">
      <c r="P79" s="44"/>
      <c r="Q79" s="44"/>
    </row>
    <row r="80" spans="16:20" ht="18" customHeight="1" x14ac:dyDescent="0.3">
      <c r="P80" s="44"/>
      <c r="Q80" s="44"/>
    </row>
    <row r="81" spans="16:17" ht="18" customHeight="1" x14ac:dyDescent="0.3">
      <c r="P81" s="44"/>
      <c r="Q81" s="44"/>
    </row>
    <row r="82" spans="16:17" ht="18" customHeight="1" x14ac:dyDescent="0.3">
      <c r="P82" s="44"/>
      <c r="Q82" s="44"/>
    </row>
    <row r="83" spans="16:17" ht="18" customHeight="1" x14ac:dyDescent="0.3">
      <c r="P83" s="44"/>
      <c r="Q83" s="44"/>
    </row>
    <row r="84" spans="16:17" ht="18" customHeight="1" x14ac:dyDescent="0.3">
      <c r="P84" s="44"/>
      <c r="Q84" s="44"/>
    </row>
    <row r="85" spans="16:17" ht="18" customHeight="1" x14ac:dyDescent="0.3">
      <c r="P85" s="44"/>
      <c r="Q85" s="44"/>
    </row>
    <row r="86" spans="16:17" ht="18" customHeight="1" x14ac:dyDescent="0.3">
      <c r="P86" s="44"/>
      <c r="Q86" s="44"/>
    </row>
    <row r="87" spans="16:17" ht="18" customHeight="1" x14ac:dyDescent="0.3">
      <c r="P87" s="44"/>
      <c r="Q87" s="44"/>
    </row>
    <row r="88" spans="16:17" ht="18" customHeight="1" x14ac:dyDescent="0.3">
      <c r="P88" s="44"/>
      <c r="Q88" s="44"/>
    </row>
    <row r="89" spans="16:17" ht="18" customHeight="1" x14ac:dyDescent="0.3">
      <c r="P89" s="44"/>
      <c r="Q89" s="44"/>
    </row>
    <row r="90" spans="16:17" ht="18" customHeight="1" x14ac:dyDescent="0.3">
      <c r="P90" s="44"/>
      <c r="Q90" s="44"/>
    </row>
    <row r="91" spans="16:17" ht="18" customHeight="1" x14ac:dyDescent="0.3">
      <c r="P91" s="44"/>
      <c r="Q91" s="44"/>
    </row>
    <row r="92" spans="16:17" ht="18" customHeight="1" x14ac:dyDescent="0.3">
      <c r="P92" s="44"/>
      <c r="Q92" s="44"/>
    </row>
    <row r="93" spans="16:17" ht="18" customHeight="1" x14ac:dyDescent="0.3">
      <c r="P93" s="44"/>
      <c r="Q93" s="44"/>
    </row>
    <row r="94" spans="16:17" ht="18" customHeight="1" x14ac:dyDescent="0.3">
      <c r="P94" s="44"/>
      <c r="Q94" s="44"/>
    </row>
    <row r="95" spans="16:17" ht="18" customHeight="1" x14ac:dyDescent="0.3">
      <c r="P95" s="44"/>
      <c r="Q95" s="44"/>
    </row>
    <row r="96" spans="16:17" ht="18" customHeight="1" x14ac:dyDescent="0.3">
      <c r="P96" s="44"/>
      <c r="Q96" s="44"/>
    </row>
    <row r="97" spans="16:17" ht="18" customHeight="1" x14ac:dyDescent="0.3">
      <c r="P97" s="44"/>
      <c r="Q97" s="44"/>
    </row>
    <row r="98" spans="16:17" ht="18" customHeight="1" x14ac:dyDescent="0.3">
      <c r="P98" s="44"/>
      <c r="Q98" s="44"/>
    </row>
    <row r="99" spans="16:17" ht="18" customHeight="1" x14ac:dyDescent="0.3">
      <c r="P99" s="44"/>
      <c r="Q99" s="44"/>
    </row>
    <row r="100" spans="16:17" ht="18" customHeight="1" x14ac:dyDescent="0.3">
      <c r="P100" s="44"/>
      <c r="Q100" s="44"/>
    </row>
    <row r="101" spans="16:17" ht="18" customHeight="1" x14ac:dyDescent="0.3">
      <c r="P101" s="44"/>
      <c r="Q101" s="44"/>
    </row>
  </sheetData>
  <sheetProtection algorithmName="SHA-512" hashValue="hO6NIjRZIdC62eFG1QwmQHqC22AehRAP74OZIOaKCwABKZqj/UPDDjhs0w/N+He27Ojlh7LUK+pA3rTBK+febQ==" saltValue="171Ll3VHfOjNVocv03gySw==" spinCount="100000" sheet="1" scenarios="1" formatCells="0" formatColumns="0" formatRows="0" insertColumns="0" insertRows="0" deleteColumns="0" deleteRows="0" sort="0" autoFilter="0" pivotTables="0"/>
  <dataValidations disablePrompts="1" count="3">
    <dataValidation type="list" allowBlank="1" showInputMessage="1" showErrorMessage="1" sqref="N3" xr:uid="{C78C6767-E610-450E-AACB-1A4B3FB931A0}">
      <formula1>MaKho</formula1>
    </dataValidation>
    <dataValidation type="list" allowBlank="1" showInputMessage="1" showErrorMessage="1" sqref="N2" xr:uid="{2E413D79-4567-4C1C-BEA5-956B7BC4FE14}">
      <formula1>"SKU, Nguyên liệu"</formula1>
    </dataValidation>
    <dataValidation type="list" allowBlank="1" showInputMessage="1" showErrorMessage="1" sqref="O2" xr:uid="{7FD35AA0-A873-4491-92E1-9B75EA7413A3}">
      <formula1>_xlfn.ANCHORARRAY($O$3)</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
                <anchor moveWithCells="1">
                  <from>
                    <xdr:col>18</xdr:col>
                    <xdr:colOff>333375</xdr:colOff>
                    <xdr:row>2</xdr:row>
                    <xdr:rowOff>104775</xdr:rowOff>
                  </from>
                  <to>
                    <xdr:col>18</xdr:col>
                    <xdr:colOff>809625</xdr:colOff>
                    <xdr:row>3</xdr:row>
                    <xdr:rowOff>133350</xdr:rowOff>
                  </to>
                </anchor>
              </controlPr>
            </control>
          </mc:Choice>
        </mc:AlternateContent>
        <mc:AlternateContent xmlns:mc="http://schemas.openxmlformats.org/markup-compatibility/2006">
          <mc:Choice Requires="x14">
            <control shapeId="58370" r:id="rId5" name="Button 2">
              <controlPr defaultSize="0" print="0" autoFill="0" autoPict="0" macro="[0]!DeleteRow">
                <anchor moveWithCells="1">
                  <from>
                    <xdr:col>18</xdr:col>
                    <xdr:colOff>962025</xdr:colOff>
                    <xdr:row>2</xdr:row>
                    <xdr:rowOff>104775</xdr:rowOff>
                  </from>
                  <to>
                    <xdr:col>19</xdr:col>
                    <xdr:colOff>180975</xdr:colOff>
                    <xdr:row>3</xdr:row>
                    <xdr:rowOff>133350</xdr:rowOff>
                  </to>
                </anchor>
              </controlPr>
            </control>
          </mc:Choice>
        </mc:AlternateContent>
        <mc:AlternateContent xmlns:mc="http://schemas.openxmlformats.org/markup-compatibility/2006">
          <mc:Choice Requires="x14">
            <control shapeId="58371" r:id="rId6" name="Button 3">
              <controlPr defaultSize="0" print="0" autoFill="0" autoPict="0" macro="[0]!AddColumn">
                <anchor moveWithCells="1">
                  <from>
                    <xdr:col>19</xdr:col>
                    <xdr:colOff>628650</xdr:colOff>
                    <xdr:row>2</xdr:row>
                    <xdr:rowOff>104775</xdr:rowOff>
                  </from>
                  <to>
                    <xdr:col>20</xdr:col>
                    <xdr:colOff>171450</xdr:colOff>
                    <xdr:row>3</xdr:row>
                    <xdr:rowOff>133350</xdr:rowOff>
                  </to>
                </anchor>
              </controlPr>
            </control>
          </mc:Choice>
        </mc:AlternateContent>
        <mc:AlternateContent xmlns:mc="http://schemas.openxmlformats.org/markup-compatibility/2006">
          <mc:Choice Requires="x14">
            <control shapeId="58372" r:id="rId7" name="Button 4">
              <controlPr defaultSize="0" print="0" autoFill="0" autoPict="0" macro="[0]!DeleteColumn">
                <anchor moveWithCells="1">
                  <from>
                    <xdr:col>20</xdr:col>
                    <xdr:colOff>304800</xdr:colOff>
                    <xdr:row>2</xdr:row>
                    <xdr:rowOff>104775</xdr:rowOff>
                  </from>
                  <to>
                    <xdr:col>20</xdr:col>
                    <xdr:colOff>847725</xdr:colOff>
                    <xdr:row>3</xdr:row>
                    <xdr:rowOff>133350</xdr:rowOff>
                  </to>
                </anchor>
              </controlPr>
            </control>
          </mc:Choice>
        </mc:AlternateContent>
        <mc:AlternateContent xmlns:mc="http://schemas.openxmlformats.org/markup-compatibility/2006">
          <mc:Choice Requires="x14">
            <control shapeId="58378" r:id="rId8" name="Option Button 10">
              <controlPr defaultSize="0" autoFill="0" autoLine="0" autoPict="0" macro="[0]!DoiDonViHienThi">
                <anchor moveWithCells="1">
                  <from>
                    <xdr:col>19</xdr:col>
                    <xdr:colOff>371475</xdr:colOff>
                    <xdr:row>0</xdr:row>
                    <xdr:rowOff>171450</xdr:rowOff>
                  </from>
                  <to>
                    <xdr:col>19</xdr:col>
                    <xdr:colOff>952500</xdr:colOff>
                    <xdr:row>1</xdr:row>
                    <xdr:rowOff>219075</xdr:rowOff>
                  </to>
                </anchor>
              </controlPr>
            </control>
          </mc:Choice>
        </mc:AlternateContent>
        <mc:AlternateContent xmlns:mc="http://schemas.openxmlformats.org/markup-compatibility/2006">
          <mc:Choice Requires="x14">
            <control shapeId="58379" r:id="rId9" name="Option Button 11">
              <controlPr defaultSize="0" autoFill="0" autoLine="0" autoPict="0" macro="[0]!DoiDonViHienThi">
                <anchor moveWithCells="1">
                  <from>
                    <xdr:col>19</xdr:col>
                    <xdr:colOff>838200</xdr:colOff>
                    <xdr:row>0</xdr:row>
                    <xdr:rowOff>171450</xdr:rowOff>
                  </from>
                  <to>
                    <xdr:col>20</xdr:col>
                    <xdr:colOff>447675</xdr:colOff>
                    <xdr:row>1</xdr:row>
                    <xdr:rowOff>219075</xdr:rowOff>
                  </to>
                </anchor>
              </controlPr>
            </control>
          </mc:Choice>
        </mc:AlternateContent>
        <mc:AlternateContent xmlns:mc="http://schemas.openxmlformats.org/markup-compatibility/2006">
          <mc:Choice Requires="x14">
            <control shapeId="58380" r:id="rId10" name="Option Button 12">
              <controlPr defaultSize="0" autoFill="0" autoLine="0" autoPict="0" macro="[0]!DoiDonViHienThi">
                <anchor moveWithCells="1">
                  <from>
                    <xdr:col>20</xdr:col>
                    <xdr:colOff>333375</xdr:colOff>
                    <xdr:row>0</xdr:row>
                    <xdr:rowOff>171450</xdr:rowOff>
                  </from>
                  <to>
                    <xdr:col>20</xdr:col>
                    <xdr:colOff>914400</xdr:colOff>
                    <xdr:row>1</xdr:row>
                    <xdr:rowOff>219075</xdr:rowOff>
                  </to>
                </anchor>
              </controlPr>
            </control>
          </mc:Choice>
        </mc:AlternateContent>
        <mc:AlternateContent xmlns:mc="http://schemas.openxmlformats.org/markup-compatibility/2006">
          <mc:Choice Requires="x14">
            <control shapeId="58381" r:id="rId11" name="Option Button 13">
              <controlPr defaultSize="0" autoFill="0" autoLine="0" autoPict="0" macro="[0]!DoiDonViHienThi">
                <anchor moveWithCells="1">
                  <from>
                    <xdr:col>20</xdr:col>
                    <xdr:colOff>800100</xdr:colOff>
                    <xdr:row>0</xdr:row>
                    <xdr:rowOff>171450</xdr:rowOff>
                  </from>
                  <to>
                    <xdr:col>20</xdr:col>
                    <xdr:colOff>1152525</xdr:colOff>
                    <xdr:row>1</xdr:row>
                    <xdr:rowOff>219075</xdr:rowOff>
                  </to>
                </anchor>
              </controlPr>
            </control>
          </mc:Choice>
        </mc:AlternateContent>
        <mc:AlternateContent xmlns:mc="http://schemas.openxmlformats.org/markup-compatibility/2006">
          <mc:Choice Requires="x14">
            <control shapeId="58382" r:id="rId12" name="Group Box 14">
              <controlPr defaultSize="0" autoFill="0" autoPict="0">
                <anchor moveWithCells="1">
                  <from>
                    <xdr:col>19</xdr:col>
                    <xdr:colOff>257175</xdr:colOff>
                    <xdr:row>0</xdr:row>
                    <xdr:rowOff>123825</xdr:rowOff>
                  </from>
                  <to>
                    <xdr:col>21</xdr:col>
                    <xdr:colOff>0</xdr:colOff>
                    <xdr:row>2</xdr:row>
                    <xdr:rowOff>28575</xdr:rowOff>
                  </to>
                </anchor>
              </controlPr>
            </control>
          </mc:Choice>
        </mc:AlternateContent>
        <mc:AlternateContent xmlns:mc="http://schemas.openxmlformats.org/markup-compatibility/2006">
          <mc:Choice Requires="x14">
            <control shapeId="58383" r:id="rId13" name="Group Box 15">
              <controlPr defaultSize="0" autoFill="0" autoPict="0">
                <anchor moveWithCells="1">
                  <from>
                    <xdr:col>16</xdr:col>
                    <xdr:colOff>495300</xdr:colOff>
                    <xdr:row>0</xdr:row>
                    <xdr:rowOff>123825</xdr:rowOff>
                  </from>
                  <to>
                    <xdr:col>19</xdr:col>
                    <xdr:colOff>209550</xdr:colOff>
                    <xdr:row>2</xdr:row>
                    <xdr:rowOff>28575</xdr:rowOff>
                  </to>
                </anchor>
              </controlPr>
            </control>
          </mc:Choice>
        </mc:AlternateContent>
        <mc:AlternateContent xmlns:mc="http://schemas.openxmlformats.org/markup-compatibility/2006">
          <mc:Choice Requires="x14">
            <control shapeId="58384" r:id="rId14" name="Button 16">
              <controlPr defaultSize="0" autoFill="0" autoPict="0" macro="[0]!NhanNghin">
                <anchor moveWithCells="1">
                  <from>
                    <xdr:col>17</xdr:col>
                    <xdr:colOff>57150</xdr:colOff>
                    <xdr:row>0</xdr:row>
                    <xdr:rowOff>219075</xdr:rowOff>
                  </from>
                  <to>
                    <xdr:col>18</xdr:col>
                    <xdr:colOff>361950</xdr:colOff>
                    <xdr:row>1</xdr:row>
                    <xdr:rowOff>161925</xdr:rowOff>
                  </to>
                </anchor>
              </controlPr>
            </control>
          </mc:Choice>
        </mc:AlternateContent>
        <mc:AlternateContent xmlns:mc="http://schemas.openxmlformats.org/markup-compatibility/2006">
          <mc:Choice Requires="x14">
            <control shapeId="58385" r:id="rId15" name="Button 17">
              <controlPr defaultSize="0" autoFill="0" autoPict="0" macro="[0]!NhanTrieu">
                <anchor moveWithCells="1">
                  <from>
                    <xdr:col>18</xdr:col>
                    <xdr:colOff>409575</xdr:colOff>
                    <xdr:row>0</xdr:row>
                    <xdr:rowOff>219075</xdr:rowOff>
                  </from>
                  <to>
                    <xdr:col>18</xdr:col>
                    <xdr:colOff>876300</xdr:colOff>
                    <xdr:row>1</xdr:row>
                    <xdr:rowOff>161925</xdr:rowOff>
                  </to>
                </anchor>
              </controlPr>
            </control>
          </mc:Choice>
        </mc:AlternateContent>
        <mc:AlternateContent xmlns:mc="http://schemas.openxmlformats.org/markup-compatibility/2006">
          <mc:Choice Requires="x14">
            <control shapeId="58386" r:id="rId16" name="Button 18">
              <controlPr defaultSize="0" autoFill="0" autoPict="0" macro="[0]!NhanTy">
                <anchor moveWithCells="1">
                  <from>
                    <xdr:col>18</xdr:col>
                    <xdr:colOff>923925</xdr:colOff>
                    <xdr:row>0</xdr:row>
                    <xdr:rowOff>219075</xdr:rowOff>
                  </from>
                  <to>
                    <xdr:col>19</xdr:col>
                    <xdr:colOff>133350</xdr:colOff>
                    <xdr:row>1</xdr:row>
                    <xdr:rowOff>161925</xdr:rowOff>
                  </to>
                </anchor>
              </controlPr>
            </control>
          </mc:Choice>
        </mc:AlternateContent>
        <mc:AlternateContent xmlns:mc="http://schemas.openxmlformats.org/markup-compatibility/2006">
          <mc:Choice Requires="x14">
            <control shapeId="58387" r:id="rId17" name="Button 19">
              <controlPr defaultSize="0" print="0" autoFill="0" autoPict="0" macro="[0]!RefreshTables">
                <anchor moveWithCells="1">
                  <from>
                    <xdr:col>12</xdr:col>
                    <xdr:colOff>57150</xdr:colOff>
                    <xdr:row>5</xdr:row>
                    <xdr:rowOff>152400</xdr:rowOff>
                  </from>
                  <to>
                    <xdr:col>12</xdr:col>
                    <xdr:colOff>600075</xdr:colOff>
                    <xdr:row>6</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037794BD-7E4B-429D-98DD-46CDA5D2A8FB}">
            <xm:f>Security!$A$1="NO VBA"</xm:f>
            <x14:dxf>
              <font>
                <color theme="0"/>
              </font>
              <border>
                <vertical/>
                <horizontal/>
              </border>
            </x14:dxf>
          </x14:cfRule>
          <xm:sqref>L2:O2 Q2:XFD2 A22:A38 A1:XFD1 A3:XFD21 A39:XFD1048576 E22:XFD22 E27:XFD38 F23:XFD26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outlinePr summaryBelow="0" summaryRight="0"/>
  </sheetPr>
  <dimension ref="A1:CO38"/>
  <sheetViews>
    <sheetView showGridLines="0" topLeftCell="AT1" workbookViewId="0">
      <selection activeCell="AY39" sqref="AY39"/>
    </sheetView>
  </sheetViews>
  <sheetFormatPr defaultRowHeight="18" customHeight="1" outlineLevelRow="1" outlineLevelCol="1" x14ac:dyDescent="0.3"/>
  <cols>
    <col min="1" max="1" width="1.25" style="7" customWidth="1" collapsed="1"/>
    <col min="2" max="2" width="23.5" style="7" hidden="1" customWidth="1" outlineLevel="1"/>
    <col min="3" max="3" width="10.625" style="7" hidden="1" customWidth="1" outlineLevel="1"/>
    <col min="4" max="4" width="1.25" style="7" hidden="1" customWidth="1" outlineLevel="1"/>
    <col min="5" max="5" width="13" style="7" hidden="1" customWidth="1" outlineLevel="1"/>
    <col min="6" max="6" width="16.25" style="7" hidden="1" customWidth="1" outlineLevel="1"/>
    <col min="7" max="12" width="1.25" style="7" hidden="1" customWidth="1" outlineLevel="1"/>
    <col min="13" max="13" width="1.25" style="7" customWidth="1"/>
    <col min="14" max="14" width="1.375" style="7" customWidth="1" outlineLevel="1"/>
    <col min="15" max="15" width="1.25" style="7" customWidth="1" outlineLevel="1"/>
    <col min="16" max="16" width="13" style="7" customWidth="1" outlineLevel="1"/>
    <col min="17" max="17" width="16.25" style="7" customWidth="1" outlineLevel="1"/>
    <col min="18" max="18" width="5.375" style="7" customWidth="1" outlineLevel="1"/>
    <col min="19" max="19" width="14.25" style="7" customWidth="1" outlineLevel="1"/>
    <col min="20" max="20" width="5.375" style="7" customWidth="1" outlineLevel="1"/>
    <col min="21" max="21" width="11.75" style="7" customWidth="1" outlineLevel="1"/>
    <col min="22" max="32" width="1.25" style="7" customWidth="1" outlineLevel="1"/>
    <col min="33" max="33" width="16.875" style="7" customWidth="1" outlineLevel="1"/>
    <col min="34" max="34" width="16.25" style="7" customWidth="1" outlineLevel="1"/>
    <col min="35" max="35" width="11.875" style="7" customWidth="1" outlineLevel="1"/>
    <col min="36" max="36" width="12.125" style="7" customWidth="1" outlineLevel="1"/>
    <col min="37" max="45" width="1.25" style="7" customWidth="1" outlineLevel="1"/>
    <col min="46" max="46" width="13.375" style="38" customWidth="1"/>
    <col min="47" max="47" width="8.75" style="7" customWidth="1"/>
    <col min="48" max="48" width="6.625" style="7" customWidth="1"/>
    <col min="49" max="49" width="8.75" style="7" customWidth="1"/>
    <col min="50" max="50" width="9" style="44"/>
    <col min="51" max="51" width="11.25" style="7" bestFit="1" customWidth="1" collapsed="1"/>
    <col min="52" max="53" width="10.25" style="7" hidden="1" customWidth="1" outlineLevel="1"/>
    <col min="54" max="54" width="7.75" style="7" customWidth="1" collapsed="1"/>
    <col min="55" max="55" width="10" style="7" hidden="1" customWidth="1" outlineLevel="1"/>
    <col min="56" max="56" width="8.25" style="44" hidden="1" customWidth="1" outlineLevel="1"/>
    <col min="57" max="57" width="7.75" style="44" hidden="1" customWidth="1" outlineLevel="1"/>
    <col min="58" max="58" width="10" style="7" hidden="1" customWidth="1" outlineLevel="1"/>
    <col min="59" max="59" width="11.25" style="7" customWidth="1"/>
    <col min="60" max="60" width="9" style="7" customWidth="1" outlineLevel="1" collapsed="1"/>
    <col min="61" max="61" width="9" style="7"/>
    <col min="62" max="62" width="9" style="7" customWidth="1" outlineLevel="1"/>
    <col min="63" max="63" width="14.25" style="7" customWidth="1" outlineLevel="1"/>
    <col min="64" max="66" width="14.125" style="7" customWidth="1" outlineLevel="1"/>
    <col min="67" max="69" width="12.375" style="7" customWidth="1" outlineLevel="1"/>
    <col min="70" max="70" width="17.375" style="7" customWidth="1"/>
    <col min="71" max="71" width="6.75" style="7" bestFit="1" customWidth="1" collapsed="1"/>
    <col min="72" max="93" width="9" style="38"/>
    <col min="94" max="16384" width="9" style="7"/>
  </cols>
  <sheetData>
    <row r="1" spans="50:70" ht="18" customHeight="1" x14ac:dyDescent="0.3">
      <c r="AX1" s="7"/>
      <c r="BD1" s="7"/>
      <c r="BE1" s="7"/>
    </row>
    <row r="2" spans="50:70" ht="18" customHeight="1" x14ac:dyDescent="0.3">
      <c r="AX2" s="7"/>
      <c r="BD2" s="7"/>
      <c r="BE2" s="7"/>
    </row>
    <row r="3" spans="50:70" ht="18" customHeight="1" outlineLevel="1" x14ac:dyDescent="0.3">
      <c r="AX3" s="7"/>
      <c r="BD3" s="7"/>
      <c r="BE3" s="7"/>
    </row>
    <row r="4" spans="50:70" ht="18" customHeight="1" outlineLevel="1" x14ac:dyDescent="0.3">
      <c r="AX4" s="7"/>
      <c r="BD4" s="7"/>
      <c r="BE4" s="7"/>
      <c r="BR4" s="11"/>
    </row>
    <row r="5" spans="50:70" ht="18" customHeight="1" outlineLevel="1" x14ac:dyDescent="0.3">
      <c r="AX5" s="7"/>
      <c r="BD5" s="7"/>
      <c r="BE5" s="7"/>
      <c r="BR5" s="11"/>
    </row>
    <row r="6" spans="50:70" ht="18" customHeight="1" outlineLevel="1" x14ac:dyDescent="0.3">
      <c r="AX6" s="7"/>
      <c r="BD6" s="7"/>
      <c r="BE6" s="7"/>
      <c r="BR6" s="11"/>
    </row>
    <row r="7" spans="50:70" ht="18" customHeight="1" outlineLevel="1" x14ac:dyDescent="0.3">
      <c r="AX7" s="7"/>
      <c r="BD7" s="7"/>
      <c r="BE7" s="7"/>
      <c r="BR7" s="11"/>
    </row>
    <row r="8" spans="50:70" ht="18" customHeight="1" outlineLevel="1" x14ac:dyDescent="0.3">
      <c r="AX8" s="7"/>
      <c r="BD8" s="7"/>
      <c r="BE8" s="7"/>
      <c r="BR8" s="11"/>
    </row>
    <row r="9" spans="50:70" ht="18" customHeight="1" outlineLevel="1" x14ac:dyDescent="0.3">
      <c r="AX9" s="7"/>
      <c r="BD9" s="7"/>
      <c r="BE9" s="7"/>
      <c r="BR9" s="11"/>
    </row>
    <row r="10" spans="50:70" ht="18" customHeight="1" outlineLevel="1" x14ac:dyDescent="0.3">
      <c r="AX10" s="7"/>
      <c r="BD10" s="7"/>
      <c r="BE10" s="7"/>
      <c r="BR10" s="11"/>
    </row>
    <row r="11" spans="50:70" ht="18" customHeight="1" outlineLevel="1" x14ac:dyDescent="0.3">
      <c r="AX11" s="7"/>
      <c r="BD11" s="7"/>
      <c r="BE11" s="7"/>
      <c r="BR11" s="11"/>
    </row>
    <row r="12" spans="50:70" ht="18" customHeight="1" outlineLevel="1" x14ac:dyDescent="0.3">
      <c r="AX12" s="7"/>
      <c r="BD12" s="7"/>
      <c r="BE12" s="7"/>
      <c r="BR12" s="11"/>
    </row>
    <row r="13" spans="50:70" ht="18" customHeight="1" outlineLevel="1" x14ac:dyDescent="0.3">
      <c r="AX13" s="7"/>
      <c r="BD13" s="7"/>
      <c r="BE13" s="7"/>
      <c r="BR13" s="11"/>
    </row>
    <row r="14" spans="50:70" ht="18" customHeight="1" outlineLevel="1" x14ac:dyDescent="0.3">
      <c r="AX14" s="7"/>
      <c r="BD14" s="7"/>
      <c r="BE14" s="7"/>
      <c r="BR14" s="11"/>
    </row>
    <row r="15" spans="50:70" ht="18" customHeight="1" outlineLevel="1" x14ac:dyDescent="0.3">
      <c r="AX15" s="7"/>
      <c r="BD15" s="7"/>
      <c r="BE15" s="7"/>
      <c r="BR15" s="11"/>
    </row>
    <row r="16" spans="50:70" ht="18" customHeight="1" outlineLevel="1" x14ac:dyDescent="0.3">
      <c r="AX16" s="7"/>
      <c r="BD16" s="7"/>
      <c r="BE16" s="7"/>
      <c r="BR16" s="11"/>
    </row>
    <row r="17" spans="2:71" ht="18" customHeight="1" outlineLevel="1" x14ac:dyDescent="0.3">
      <c r="AX17" s="7"/>
      <c r="BD17" s="7"/>
      <c r="BE17" s="7"/>
      <c r="BR17" s="11"/>
    </row>
    <row r="18" spans="2:71" ht="16.5" outlineLevel="1" x14ac:dyDescent="0.3">
      <c r="B18" s="97" t="s">
        <v>3</v>
      </c>
      <c r="C18" s="519">
        <v>45778</v>
      </c>
      <c r="AX18" s="7"/>
      <c r="BD18" s="7"/>
      <c r="BE18" s="7"/>
      <c r="BR18" s="11"/>
    </row>
    <row r="19" spans="2:71" ht="16.5" outlineLevel="1" x14ac:dyDescent="0.3">
      <c r="B19" s="97" t="s">
        <v>559</v>
      </c>
      <c r="C19" t="s">
        <v>1116</v>
      </c>
      <c r="E19" s="97" t="s">
        <v>876</v>
      </c>
      <c r="F19" t="s">
        <v>1116</v>
      </c>
      <c r="P19" s="97" t="s">
        <v>578</v>
      </c>
      <c r="Q19" t="s">
        <v>1116</v>
      </c>
      <c r="AX19" s="7"/>
      <c r="BD19" s="7"/>
      <c r="BE19" s="7"/>
      <c r="BR19" s="11"/>
    </row>
    <row r="20" spans="2:71" ht="18" customHeight="1" x14ac:dyDescent="0.3">
      <c r="AX20" s="7"/>
      <c r="BD20" s="7"/>
      <c r="BE20" s="7"/>
      <c r="BR20" s="11" cm="1">
        <f t="array" ref="BR20" xml:space="preserve">
IF(MONTH(TonKho_NgayTheoDoi) = 1,
IFERROR(
SUM(_xlfn._xlws.FILTER(Table_TonKho[Dự phòng lũy kế],
(Table_TonKho[Kỳ] = DATE(YEAR(TonKho_NgayTheoDoi)-1, 12, 1))
)),0),
IFERROR(
SUM(_xlfn._xlws.FILTER(Table_TonKho[Dự phòng lũy kế],
(Table_TonKho[Kỳ] = DATE(YEAR(TonKho_NgayTheoDoi), MONTH(TonKho_NgayTheoDoi) -1, 1))
)),0))
-
IF(MONTH(TonKho_NgayTheoDoi) = 2,
IFERROR(
SUM(_xlfn._xlws.FILTER(Table_TonKho[Dự phòng lũy kế],
(Table_TonKho[Kỳ] = DATE(YEAR(TonKho_NgayTheoDoi)-1, 12, 1))
)),0),
IF(MONTH(TonKho_NgayTheoDoi) = 1,
IFERROR(
SUM(_xlfn._xlws.FILTER(Table_TonKho[Dự phòng lũy kế],
(Table_TonKho[Kỳ] = DATE(YEAR(TonKho_NgayTheoDoi)-1, 11, 1))
)),0),
IFERROR(
SUM(_xlfn._xlws.FILTER(Table_TonKho[Dự phòng lũy kế],
(Table_TonKho[Kỳ] = DATE(YEAR(TonKho_NgayTheoDoi), MONTH(TonKho_NgayTheoDoi) -2, 1))
)),0)))</f>
        <v>0</v>
      </c>
    </row>
    <row r="21" spans="2:71" ht="16.5" x14ac:dyDescent="0.3">
      <c r="B21" s="97" t="s">
        <v>1182</v>
      </c>
      <c r="C21"/>
      <c r="E21" s="97" t="s">
        <v>1157</v>
      </c>
      <c r="F21" s="97" t="s">
        <v>1156</v>
      </c>
      <c r="G21"/>
      <c r="H21"/>
      <c r="I21"/>
      <c r="J21"/>
      <c r="K21"/>
      <c r="L21"/>
      <c r="M21"/>
      <c r="N21"/>
      <c r="O21"/>
      <c r="P21" s="97" t="s">
        <v>1157</v>
      </c>
      <c r="Q21" s="97" t="s">
        <v>1156</v>
      </c>
      <c r="R21"/>
      <c r="S21"/>
      <c r="T21"/>
      <c r="U21"/>
      <c r="V21"/>
      <c r="W21"/>
      <c r="X21"/>
      <c r="Y21"/>
      <c r="Z21"/>
      <c r="AA21"/>
      <c r="AB21"/>
      <c r="AC21"/>
      <c r="AD21"/>
      <c r="AE21"/>
      <c r="AF21"/>
      <c r="AG21" s="97" t="s">
        <v>364</v>
      </c>
      <c r="AH21" s="97" t="s">
        <v>1156</v>
      </c>
      <c r="AI21"/>
      <c r="AJ21"/>
      <c r="AK21"/>
      <c r="AL21"/>
      <c r="AM21"/>
      <c r="AN21"/>
      <c r="AO21"/>
      <c r="AP21"/>
      <c r="AQ21"/>
      <c r="AR21"/>
      <c r="AS21"/>
      <c r="AU21" s="46" t="s">
        <v>3</v>
      </c>
      <c r="AV21" s="46" t="s">
        <v>2</v>
      </c>
      <c r="AW21" s="46" t="s">
        <v>1</v>
      </c>
      <c r="AX21" s="46" t="s">
        <v>47</v>
      </c>
      <c r="AY21" s="46" t="s">
        <v>138</v>
      </c>
      <c r="AZ21" s="46" t="s">
        <v>583</v>
      </c>
      <c r="BA21" s="46" t="s">
        <v>876</v>
      </c>
      <c r="BB21" s="46" t="s">
        <v>578</v>
      </c>
      <c r="BC21" s="46" t="s">
        <v>584</v>
      </c>
      <c r="BD21" s="46" t="s">
        <v>585</v>
      </c>
      <c r="BE21" s="46" t="s">
        <v>586</v>
      </c>
      <c r="BF21" s="46" t="s">
        <v>587</v>
      </c>
      <c r="BG21" s="46" t="s">
        <v>588</v>
      </c>
      <c r="BH21" s="46" t="s">
        <v>589</v>
      </c>
      <c r="BI21" s="46" t="s">
        <v>590</v>
      </c>
      <c r="BJ21" s="46" t="s">
        <v>591</v>
      </c>
      <c r="BK21" s="46" t="s">
        <v>592</v>
      </c>
      <c r="BL21" s="484" t="s">
        <v>593</v>
      </c>
      <c r="BM21" s="46" t="s">
        <v>1180</v>
      </c>
      <c r="BN21" s="46" t="s">
        <v>1181</v>
      </c>
      <c r="BO21" s="46" t="s">
        <v>594</v>
      </c>
      <c r="BP21" s="46" t="s">
        <v>894</v>
      </c>
      <c r="BQ21" s="46" t="s">
        <v>681</v>
      </c>
      <c r="BR21" s="484" t="s">
        <v>547</v>
      </c>
      <c r="BS21" s="46" t="s">
        <v>873</v>
      </c>
    </row>
    <row r="22" spans="2:71" ht="16.5" x14ac:dyDescent="0.3">
      <c r="B22" s="98" t="s">
        <v>1183</v>
      </c>
      <c r="C22" s="504">
        <v>35332325.538446799</v>
      </c>
      <c r="E22" s="97" t="s">
        <v>23</v>
      </c>
      <c r="F22" t="s">
        <v>1155</v>
      </c>
      <c r="G22"/>
      <c r="H22"/>
      <c r="I22"/>
      <c r="J22"/>
      <c r="K22"/>
      <c r="L22"/>
      <c r="M22"/>
      <c r="N22"/>
      <c r="O22"/>
      <c r="P22"/>
      <c r="Q22" t="s">
        <v>138</v>
      </c>
      <c r="R22"/>
      <c r="S22" t="s">
        <v>836</v>
      </c>
      <c r="T22"/>
      <c r="U22" t="s">
        <v>835</v>
      </c>
      <c r="V22"/>
      <c r="W22"/>
      <c r="X22"/>
      <c r="Y22"/>
      <c r="Z22"/>
      <c r="AA22"/>
      <c r="AB22"/>
      <c r="AC22"/>
      <c r="AD22"/>
      <c r="AE22"/>
      <c r="AF22"/>
      <c r="AG22" s="97" t="s">
        <v>23</v>
      </c>
      <c r="AH22" t="s">
        <v>1149</v>
      </c>
      <c r="AI22" t="s">
        <v>1153</v>
      </c>
      <c r="AJ22" t="s">
        <v>1152</v>
      </c>
      <c r="AK22"/>
      <c r="AL22"/>
      <c r="AM22"/>
      <c r="AN22"/>
      <c r="AO22"/>
      <c r="AP22"/>
      <c r="AQ22"/>
      <c r="AR22"/>
      <c r="AS22"/>
      <c r="AU22" s="49">
        <f>IFERROR(
IF(ISBLANK(AW22),
DATE(AV22,12,1),
DATE(AV22,AW22,1)),0)</f>
        <v>45778</v>
      </c>
      <c r="AV22" s="230">
        <v>2025</v>
      </c>
      <c r="AW22" s="230">
        <v>5</v>
      </c>
      <c r="AX22" s="230" t="s">
        <v>1151</v>
      </c>
      <c r="AY22" s="230"/>
      <c r="AZ2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2" s="51" t="str">
        <f>IF(ISBLANK(Table_TonKho[[#This Row],[SKU]]),Table_TonKho[[#This Row],[Nguyên liệu]],Table_TonKho[[#This Row],[SKU]])</f>
        <v>TP2</v>
      </c>
      <c r="BB22" s="231" t="s">
        <v>1155</v>
      </c>
      <c r="BC22" s="120" cm="1">
        <f t="array" ref="BC2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20</v>
      </c>
      <c r="BD22" s="120" cm="1">
        <f t="array" ref="BD2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67</v>
      </c>
      <c r="BE22" s="120" cm="1">
        <f t="array" ref="BE2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42</v>
      </c>
      <c r="BF22" s="120" cm="1">
        <f t="array" ref="BF2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45</v>
      </c>
      <c r="BG22" s="391"/>
      <c r="BH22" s="120">
        <f>Table_TonKho[[#This Row],[KQ kiểm kê]]-Table_TonKho[[#This Row],[SL Cuối kỳ]]</f>
        <v>-45</v>
      </c>
      <c r="BI22" s="120" cm="1">
        <f t="array" ref="BI2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67</v>
      </c>
      <c r="BJ22" s="120" cm="1">
        <f t="array" ref="BJ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42</v>
      </c>
      <c r="BK22" s="120" cm="1">
        <f t="array" ref="BK2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2" s="120" cm="1">
        <f t="array" ref="BL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2" s="120" cm="1">
        <f t="array" ref="BM2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2" s="120">
        <f>Table_TonKho[[#This Row],[Giá trị cuối kỳ]]-Table_TonKho[[#This Row],[Tồn kho cuối kỳ]]</f>
        <v>0</v>
      </c>
      <c r="BO22" s="120" cm="1">
        <f t="array" ref="BO2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2" s="120" cm="1">
        <f t="array" ref="BP2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2" s="120" cm="1">
        <f t="array" ref="BQ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2" s="390"/>
      <c r="BS22" s="232"/>
    </row>
    <row r="23" spans="2:71" ht="16.5" x14ac:dyDescent="0.3">
      <c r="B23" s="98" t="s">
        <v>1184</v>
      </c>
      <c r="C23" s="504">
        <v>12841853.32237763</v>
      </c>
      <c r="E23" s="519">
        <v>45717</v>
      </c>
      <c r="F23" s="504">
        <v>553</v>
      </c>
      <c r="G23"/>
      <c r="H23"/>
      <c r="I23"/>
      <c r="J23"/>
      <c r="K23"/>
      <c r="L23"/>
      <c r="M23"/>
      <c r="N23"/>
      <c r="O23"/>
      <c r="P23" s="97" t="s">
        <v>23</v>
      </c>
      <c r="Q23" t="s">
        <v>1153</v>
      </c>
      <c r="R23" t="s">
        <v>1152</v>
      </c>
      <c r="S23" t="s">
        <v>1150</v>
      </c>
      <c r="T23" t="s">
        <v>1151</v>
      </c>
      <c r="U23" t="s">
        <v>1149</v>
      </c>
      <c r="V23"/>
      <c r="W23"/>
      <c r="X23"/>
      <c r="Y23"/>
      <c r="Z23"/>
      <c r="AA23"/>
      <c r="AB23"/>
      <c r="AC23"/>
      <c r="AD23"/>
      <c r="AE23"/>
      <c r="AF23"/>
      <c r="AG23" s="519">
        <v>45717</v>
      </c>
      <c r="AH23" s="504">
        <v>5914113.746268657</v>
      </c>
      <c r="AI23" s="504">
        <v>5921794.871794872</v>
      </c>
      <c r="AJ23" s="504">
        <v>4812804.8167141499</v>
      </c>
      <c r="AK23"/>
      <c r="AL23"/>
      <c r="AM23"/>
      <c r="AN23"/>
      <c r="AO23"/>
      <c r="AP23"/>
      <c r="AQ23"/>
      <c r="AR23"/>
      <c r="AS23"/>
      <c r="AU23" s="49">
        <f t="shared" ref="AU23:AU36" si="0">IFERROR(
IF(ISBLANK(AW23),
DATE(AV23,12,1),
DATE(AV23,AW23,1)),0)</f>
        <v>45778</v>
      </c>
      <c r="AV23" s="230">
        <v>2025</v>
      </c>
      <c r="AW23" s="230">
        <v>5</v>
      </c>
      <c r="AX23" s="230" t="s">
        <v>1150</v>
      </c>
      <c r="AY23" s="230"/>
      <c r="AZ2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3" s="51" t="str">
        <f>IF(ISBLANK(Table_TonKho[[#This Row],[SKU]]),Table_TonKho[[#This Row],[Nguyên liệu]],Table_TonKho[[#This Row],[SKU]])</f>
        <v>TP1</v>
      </c>
      <c r="BB23" s="231" t="s">
        <v>1155</v>
      </c>
      <c r="BC23" s="120" cm="1">
        <f t="array" ref="BC2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146</v>
      </c>
      <c r="BD23" s="120" cm="1">
        <f t="array" ref="BD2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v>
      </c>
      <c r="BE23" s="120" cm="1">
        <f t="array" ref="BE2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91</v>
      </c>
      <c r="BF23" s="120" cm="1">
        <f t="array" ref="BF2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66</v>
      </c>
      <c r="BG23" s="391"/>
      <c r="BH23" s="120">
        <f>Table_TonKho[[#This Row],[KQ kiểm kê]]-Table_TonKho[[#This Row],[SL Cuối kỳ]]</f>
        <v>-66</v>
      </c>
      <c r="BI23" s="120" cm="1">
        <f t="array" ref="BI2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v>
      </c>
      <c r="BJ23" s="120" cm="1">
        <f t="array" ref="BJ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91</v>
      </c>
      <c r="BK23" s="120" cm="1">
        <f t="array" ref="BK2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3" s="120" cm="1">
        <f t="array" ref="BL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3" s="120" cm="1">
        <f t="array" ref="BM2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3" s="120">
        <f>Table_TonKho[[#This Row],[Giá trị cuối kỳ]]-Table_TonKho[[#This Row],[Tồn kho cuối kỳ]]</f>
        <v>0</v>
      </c>
      <c r="BO23" s="120" cm="1">
        <f t="array" ref="BO2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3" s="120" cm="1">
        <f t="array" ref="BP2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3" s="120" cm="1">
        <f t="array" ref="BQ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3" s="390"/>
      <c r="BS23" s="232"/>
    </row>
    <row r="24" spans="2:71" ht="16.5" x14ac:dyDescent="0.3">
      <c r="B24"/>
      <c r="C24"/>
      <c r="E24" s="519">
        <v>45748</v>
      </c>
      <c r="F24" s="504">
        <v>401</v>
      </c>
      <c r="G24"/>
      <c r="H24"/>
      <c r="I24"/>
      <c r="J24"/>
      <c r="K24"/>
      <c r="L24"/>
      <c r="M24"/>
      <c r="N24"/>
      <c r="O24"/>
      <c r="P24" s="519">
        <v>45717</v>
      </c>
      <c r="Q24" s="504">
        <v>171</v>
      </c>
      <c r="R24" s="504">
        <v>138</v>
      </c>
      <c r="S24" s="504">
        <v>106</v>
      </c>
      <c r="T24" s="504">
        <v>35</v>
      </c>
      <c r="U24" s="504">
        <v>103</v>
      </c>
      <c r="V24"/>
      <c r="W24"/>
      <c r="X24"/>
      <c r="Y24"/>
      <c r="Z24"/>
      <c r="AA24"/>
      <c r="AB24"/>
      <c r="AC24"/>
      <c r="AD24"/>
      <c r="AE24"/>
      <c r="AF24"/>
      <c r="AG24" s="519">
        <v>45748</v>
      </c>
      <c r="AH24" s="504">
        <v>9734331.7611940298</v>
      </c>
      <c r="AI24" s="504">
        <v>3007450.3741418766</v>
      </c>
      <c r="AJ24" s="504">
        <v>13305460.205299949</v>
      </c>
      <c r="AK24"/>
      <c r="AL24"/>
      <c r="AM24"/>
      <c r="AN24"/>
      <c r="AO24"/>
      <c r="AP24"/>
      <c r="AQ24"/>
      <c r="AR24"/>
      <c r="AS24"/>
      <c r="AU24" s="49">
        <f t="shared" si="0"/>
        <v>45778</v>
      </c>
      <c r="AV24" s="230">
        <v>2025</v>
      </c>
      <c r="AW24" s="230">
        <v>5</v>
      </c>
      <c r="AX24" s="230" t="s">
        <v>1149</v>
      </c>
      <c r="AY24" s="230"/>
      <c r="AZ2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4" s="51" t="str">
        <f>IF(ISBLANK(Table_TonKho[[#This Row],[SKU]]),Table_TonKho[[#This Row],[Nguyên liệu]],Table_TonKho[[#This Row],[SKU]])</f>
        <v>HH1</v>
      </c>
      <c r="BB24" s="231" t="s">
        <v>1155</v>
      </c>
      <c r="BC24" s="120" cm="1">
        <f t="array" ref="BC2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8</v>
      </c>
      <c r="BD24" s="120" cm="1">
        <f t="array" ref="BD2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85</v>
      </c>
      <c r="BE24" s="120" cm="1">
        <f t="array" ref="BE2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24</v>
      </c>
      <c r="BF24" s="120" cm="1">
        <f t="array" ref="BF2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69</v>
      </c>
      <c r="BG24" s="391"/>
      <c r="BH24" s="120">
        <f>Table_TonKho[[#This Row],[KQ kiểm kê]]-Table_TonKho[[#This Row],[SL Cuối kỳ]]</f>
        <v>-69</v>
      </c>
      <c r="BI24" s="120" cm="1">
        <f t="array" ref="BI2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4" s="120" cm="1">
        <f t="array" ref="BJ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24</v>
      </c>
      <c r="BK24" s="120" cm="1">
        <f t="array" ref="BK2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1425692.7462686568</v>
      </c>
      <c r="BL24" s="120" cm="1">
        <f t="array" ref="BL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1425692.7462686568</v>
      </c>
      <c r="BM24" s="120" cm="1">
        <f t="array" ref="BM2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6022420.7462686561</v>
      </c>
      <c r="BN24" s="120">
        <f>Table_TonKho[[#This Row],[Giá trị cuối kỳ]]-Table_TonKho[[#This Row],[Tồn kho cuối kỳ]]</f>
        <v>0</v>
      </c>
      <c r="BO24" s="120" cm="1">
        <f t="array" ref="BO2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6022420.7462686561</v>
      </c>
      <c r="BP24" s="120" cm="1">
        <f t="array" ref="BP2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4" s="120" cm="1">
        <f t="array" ref="BQ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4" s="390">
        <v>304294.31268656714</v>
      </c>
      <c r="BS24" s="232"/>
    </row>
    <row r="25" spans="2:71" ht="16.5" x14ac:dyDescent="0.3">
      <c r="B25"/>
      <c r="C25"/>
      <c r="E25" s="519">
        <v>45778</v>
      </c>
      <c r="F25" s="504">
        <v>437</v>
      </c>
      <c r="G25"/>
      <c r="H25"/>
      <c r="I25"/>
      <c r="J25"/>
      <c r="K25"/>
      <c r="L25"/>
      <c r="M25"/>
      <c r="N25"/>
      <c r="O25"/>
      <c r="P25" s="519">
        <v>45748</v>
      </c>
      <c r="Q25" s="504">
        <v>152</v>
      </c>
      <c r="R25" s="504">
        <v>75</v>
      </c>
      <c r="S25" s="504">
        <v>146</v>
      </c>
      <c r="T25" s="504">
        <v>20</v>
      </c>
      <c r="U25" s="504">
        <v>8</v>
      </c>
      <c r="V25"/>
      <c r="W25"/>
      <c r="X25"/>
      <c r="Y25"/>
      <c r="Z25"/>
      <c r="AA25"/>
      <c r="AB25"/>
      <c r="AC25"/>
      <c r="AD25"/>
      <c r="AE25"/>
      <c r="AF25"/>
      <c r="AG25" s="519">
        <v>45778</v>
      </c>
      <c r="AH25" s="504">
        <v>1425692.7462686568</v>
      </c>
      <c r="AI25" s="504">
        <v>5745298.7928473447</v>
      </c>
      <c r="AJ25" s="504">
        <v>8759216.8246460371</v>
      </c>
      <c r="AK25"/>
      <c r="AL25"/>
      <c r="AM25"/>
      <c r="AN25"/>
      <c r="AO25"/>
      <c r="AP25"/>
      <c r="AQ25"/>
      <c r="AR25"/>
      <c r="AS25"/>
      <c r="AU25" s="49">
        <f t="shared" si="0"/>
        <v>45778</v>
      </c>
      <c r="AV25" s="230">
        <v>2025</v>
      </c>
      <c r="AW25" s="230">
        <v>5</v>
      </c>
      <c r="AX25" s="230"/>
      <c r="AY25" s="230" t="s">
        <v>1153</v>
      </c>
      <c r="AZ2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5" s="51" t="str">
        <f>IF(ISBLANK(Table_TonKho[[#This Row],[SKU]]),Table_TonKho[[#This Row],[Nguyên liệu]],Table_TonKho[[#This Row],[SKU]])</f>
        <v>NL1</v>
      </c>
      <c r="BB25" s="231" t="s">
        <v>1155</v>
      </c>
      <c r="BC25" s="120" cm="1">
        <f t="array" ref="BC2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152</v>
      </c>
      <c r="BD25" s="120" cm="1">
        <f t="array" ref="BD2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51</v>
      </c>
      <c r="BE25" s="120" cm="1">
        <f t="array" ref="BE2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25" s="120" cm="1">
        <f t="array" ref="BF2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169</v>
      </c>
      <c r="BG25" s="391"/>
      <c r="BH25" s="120">
        <f>Table_TonKho[[#This Row],[KQ kiểm kê]]-Table_TonKho[[#This Row],[SL Cuối kỳ]]</f>
        <v>-169</v>
      </c>
      <c r="BI25" s="120" cm="1">
        <f t="array" ref="BI2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5" s="120" cm="1">
        <f t="array" ref="BJ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57.974358974358971</v>
      </c>
      <c r="BK25" s="120" cm="1">
        <f t="array" ref="BK2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3369423.3521961868</v>
      </c>
      <c r="BL25" s="120" cm="1">
        <f t="array" ref="BL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5745298.7928473447</v>
      </c>
      <c r="BM25" s="120" cm="1">
        <f t="array" ref="BM2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17950111.717979252</v>
      </c>
      <c r="BN25" s="120">
        <f>Table_TonKho[[#This Row],[Giá trị cuối kỳ]]-Table_TonKho[[#This Row],[Tồn kho cuối kỳ]]</f>
        <v>7075199.2432366535</v>
      </c>
      <c r="BO25" s="120" cm="1">
        <f t="array" ref="BO2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25025310.961215906</v>
      </c>
      <c r="BP25" s="120" cm="1">
        <f t="array" ref="BP2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5" s="120" cm="1">
        <f t="array" ref="BQ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5" s="390">
        <v>1585928.3</v>
      </c>
      <c r="BS25" s="232"/>
    </row>
    <row r="26" spans="2:71" ht="16.5" x14ac:dyDescent="0.3">
      <c r="B26"/>
      <c r="C26"/>
      <c r="E26" s="519" t="s">
        <v>1102</v>
      </c>
      <c r="F26" s="504">
        <v>1391</v>
      </c>
      <c r="G26"/>
      <c r="H26"/>
      <c r="I26"/>
      <c r="J26"/>
      <c r="K26"/>
      <c r="L26"/>
      <c r="M26"/>
      <c r="N26"/>
      <c r="O26"/>
      <c r="P26" s="519">
        <v>45778</v>
      </c>
      <c r="Q26" s="504">
        <v>169</v>
      </c>
      <c r="R26" s="504">
        <v>88</v>
      </c>
      <c r="S26" s="504">
        <v>66</v>
      </c>
      <c r="T26" s="504">
        <v>45</v>
      </c>
      <c r="U26" s="504">
        <v>69</v>
      </c>
      <c r="V26"/>
      <c r="W26"/>
      <c r="X26"/>
      <c r="Y26"/>
      <c r="Z26"/>
      <c r="AA26"/>
      <c r="AB26"/>
      <c r="AC26"/>
      <c r="AD26"/>
      <c r="AE26"/>
      <c r="AF26"/>
      <c r="AG26" s="519" t="s">
        <v>1102</v>
      </c>
      <c r="AH26" s="504">
        <v>17074138.253731344</v>
      </c>
      <c r="AI26" s="504">
        <v>14674544.038784092</v>
      </c>
      <c r="AJ26" s="504">
        <v>26877481.846660137</v>
      </c>
      <c r="AK26"/>
      <c r="AL26"/>
      <c r="AM26"/>
      <c r="AN26"/>
      <c r="AO26"/>
      <c r="AP26"/>
      <c r="AQ26"/>
      <c r="AR26"/>
      <c r="AS26"/>
      <c r="AU26" s="49">
        <f t="shared" si="0"/>
        <v>45778</v>
      </c>
      <c r="AV26" s="230">
        <v>2025</v>
      </c>
      <c r="AW26" s="230">
        <v>5</v>
      </c>
      <c r="AX26" s="230"/>
      <c r="AY26" s="230" t="s">
        <v>1152</v>
      </c>
      <c r="AZ2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6" s="51" t="str">
        <f>IF(ISBLANK(Table_TonKho[[#This Row],[SKU]]),Table_TonKho[[#This Row],[Nguyên liệu]],Table_TonKho[[#This Row],[SKU]])</f>
        <v>NL2</v>
      </c>
      <c r="BB26" s="231" t="s">
        <v>1155</v>
      </c>
      <c r="BC26" s="120" cm="1">
        <f t="array" ref="BC2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75</v>
      </c>
      <c r="BD26" s="120" cm="1">
        <f t="array" ref="BD2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56</v>
      </c>
      <c r="BE26" s="120" cm="1">
        <f t="array" ref="BE2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43</v>
      </c>
      <c r="BF26" s="120" cm="1">
        <f t="array" ref="BF2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88</v>
      </c>
      <c r="BG26" s="391"/>
      <c r="BH26" s="120">
        <f>Table_TonKho[[#This Row],[KQ kiểm kê]]-Table_TonKho[[#This Row],[SL Cuối kỳ]]</f>
        <v>-88</v>
      </c>
      <c r="BI26" s="120" cm="1">
        <f t="array" ref="BI2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6" s="120" cm="1">
        <f t="array" ref="BJ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73.320512820512818</v>
      </c>
      <c r="BK26" s="120" cm="1">
        <f t="array" ref="BK2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5119047.0334650427</v>
      </c>
      <c r="BL26" s="120" cm="1">
        <f t="array" ref="BL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8728631.4801391121</v>
      </c>
      <c r="BM26" s="120" cm="1">
        <f t="array" ref="BM2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11334764.325765178</v>
      </c>
      <c r="BN26" s="120">
        <f>Table_TonKho[[#This Row],[Giá trị cuối kỳ]]-Table_TonKho[[#This Row],[Tồn kho cuối kỳ]]</f>
        <v>5873980.8682298511</v>
      </c>
      <c r="BO26" s="120" cm="1">
        <f t="array" ref="BO2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17208745.193995029</v>
      </c>
      <c r="BP26" s="120" cm="1">
        <f t="array" ref="BP2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6" s="120" cm="1">
        <f t="array" ref="BQ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6" s="390">
        <v>1830850.8074074076</v>
      </c>
      <c r="BS26" s="232"/>
    </row>
    <row r="27" spans="2:71" ht="16.5" x14ac:dyDescent="0.3">
      <c r="B27"/>
      <c r="C27"/>
      <c r="E27"/>
      <c r="F27"/>
      <c r="G27"/>
      <c r="H27"/>
      <c r="I27"/>
      <c r="J27"/>
      <c r="K27"/>
      <c r="L27"/>
      <c r="M27"/>
      <c r="N27"/>
      <c r="O27"/>
      <c r="P27" s="519" t="s">
        <v>1102</v>
      </c>
      <c r="Q27" s="504">
        <v>492</v>
      </c>
      <c r="R27" s="504">
        <v>301</v>
      </c>
      <c r="S27" s="504">
        <v>318</v>
      </c>
      <c r="T27" s="504">
        <v>100</v>
      </c>
      <c r="U27" s="504">
        <v>180</v>
      </c>
      <c r="V27"/>
      <c r="W27"/>
      <c r="X27"/>
      <c r="Y27"/>
      <c r="Z27"/>
      <c r="AA27"/>
      <c r="AB27"/>
      <c r="AC27"/>
      <c r="AD27"/>
      <c r="AE27"/>
      <c r="AF27"/>
      <c r="AG27"/>
      <c r="AH27"/>
      <c r="AI27"/>
      <c r="AJ27"/>
      <c r="AK27"/>
      <c r="AL27"/>
      <c r="AM27"/>
      <c r="AN27"/>
      <c r="AO27"/>
      <c r="AP27"/>
      <c r="AQ27"/>
      <c r="AR27"/>
      <c r="AS27"/>
      <c r="AU27" s="49">
        <f t="shared" si="0"/>
        <v>45748</v>
      </c>
      <c r="AV27" s="230">
        <v>2025</v>
      </c>
      <c r="AW27" s="230">
        <v>4</v>
      </c>
      <c r="AX27" s="230" t="s">
        <v>1151</v>
      </c>
      <c r="AY27" s="230"/>
      <c r="AZ27"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7" s="51" t="str">
        <f>IF(ISBLANK(Table_TonKho[[#This Row],[SKU]]),Table_TonKho[[#This Row],[Nguyên liệu]],Table_TonKho[[#This Row],[SKU]])</f>
        <v>TP2</v>
      </c>
      <c r="BB27" s="231" t="s">
        <v>1155</v>
      </c>
      <c r="BC27" s="120" cm="1">
        <f t="array" ref="BC27">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35</v>
      </c>
      <c r="BD27" s="120" cm="1">
        <f t="array" ref="BD27">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45</v>
      </c>
      <c r="BE27" s="120" cm="1">
        <f t="array" ref="BE27">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60</v>
      </c>
      <c r="BF27" s="120" cm="1">
        <f t="array" ref="BF27">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20</v>
      </c>
      <c r="BG27" s="391"/>
      <c r="BH27" s="120">
        <f>Table_TonKho[[#This Row],[KQ kiểm kê]]-Table_TonKho[[#This Row],[SL Cuối kỳ]]</f>
        <v>-20</v>
      </c>
      <c r="BI27" s="120" cm="1">
        <f t="array" ref="BI27">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45</v>
      </c>
      <c r="BJ27" s="120" cm="1">
        <f t="array" ref="BJ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60</v>
      </c>
      <c r="BK27" s="120" cm="1">
        <f t="array" ref="BK27">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7" s="120" cm="1">
        <f t="array" ref="BL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7" s="120" cm="1">
        <f t="array" ref="BM27"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7" s="120">
        <f>Table_TonKho[[#This Row],[Giá trị cuối kỳ]]-Table_TonKho[[#This Row],[Tồn kho cuối kỳ]]</f>
        <v>0</v>
      </c>
      <c r="BO27" s="120" cm="1">
        <f t="array" ref="BO27"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7" s="120" cm="1">
        <f t="array" ref="BP27">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7" s="120" cm="1">
        <f t="array" ref="BQ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7" s="390"/>
      <c r="BS27" s="232"/>
    </row>
    <row r="28" spans="2:71" ht="16.5" x14ac:dyDescent="0.3">
      <c r="B28"/>
      <c r="C28"/>
      <c r="E28"/>
      <c r="F28"/>
      <c r="P28"/>
      <c r="Q28"/>
      <c r="R28"/>
      <c r="AG28"/>
      <c r="AH28"/>
      <c r="AI28"/>
      <c r="AU28" s="49">
        <f t="shared" si="0"/>
        <v>45748</v>
      </c>
      <c r="AV28" s="230">
        <v>2025</v>
      </c>
      <c r="AW28" s="230">
        <v>4</v>
      </c>
      <c r="AX28" s="230" t="s">
        <v>1150</v>
      </c>
      <c r="AY28" s="230"/>
      <c r="AZ28"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8" s="51" t="str">
        <f>IF(ISBLANK(Table_TonKho[[#This Row],[SKU]]),Table_TonKho[[#This Row],[Nguyên liệu]],Table_TonKho[[#This Row],[SKU]])</f>
        <v>TP1</v>
      </c>
      <c r="BB28" s="231" t="s">
        <v>1155</v>
      </c>
      <c r="BC28" s="120" cm="1">
        <f t="array" ref="BC28">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106</v>
      </c>
      <c r="BD28" s="120" cm="1">
        <f t="array" ref="BD28">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139</v>
      </c>
      <c r="BE28" s="120" cm="1">
        <f t="array" ref="BE28">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99</v>
      </c>
      <c r="BF28" s="120" cm="1">
        <f t="array" ref="BF28">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146</v>
      </c>
      <c r="BG28" s="391"/>
      <c r="BH28" s="120">
        <f>Table_TonKho[[#This Row],[KQ kiểm kê]]-Table_TonKho[[#This Row],[SL Cuối kỳ]]</f>
        <v>-146</v>
      </c>
      <c r="BI28" s="120" cm="1">
        <f t="array" ref="BI28">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139</v>
      </c>
      <c r="BJ28" s="120" cm="1">
        <f t="array" ref="BJ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99</v>
      </c>
      <c r="BK28" s="120" cm="1">
        <f t="array" ref="BK28">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8" s="120" cm="1">
        <f t="array" ref="BL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8" s="120" cm="1">
        <f t="array" ref="BM28"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8" s="120">
        <f>Table_TonKho[[#This Row],[Giá trị cuối kỳ]]-Table_TonKho[[#This Row],[Tồn kho cuối kỳ]]</f>
        <v>0</v>
      </c>
      <c r="BO28" s="120" cm="1">
        <f t="array" ref="BO28"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8" s="120" cm="1">
        <f t="array" ref="BP28">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8" s="120" cm="1">
        <f t="array" ref="BQ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8" s="390"/>
      <c r="BS28" s="232"/>
    </row>
    <row r="29" spans="2:71" ht="16.5" x14ac:dyDescent="0.3">
      <c r="B29"/>
      <c r="C29"/>
      <c r="E29"/>
      <c r="F29"/>
      <c r="P29"/>
      <c r="Q29"/>
      <c r="R29"/>
      <c r="AG29"/>
      <c r="AH29"/>
      <c r="AI29"/>
      <c r="AU29" s="49">
        <f t="shared" si="0"/>
        <v>45748</v>
      </c>
      <c r="AV29" s="230">
        <v>2025</v>
      </c>
      <c r="AW29" s="230">
        <v>4</v>
      </c>
      <c r="AX29" s="230" t="s">
        <v>1149</v>
      </c>
      <c r="AY29" s="230"/>
      <c r="AZ29"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9" s="51" t="str">
        <f>IF(ISBLANK(Table_TonKho[[#This Row],[SKU]]),Table_TonKho[[#This Row],[Nguyên liệu]],Table_TonKho[[#This Row],[SKU]])</f>
        <v>HH1</v>
      </c>
      <c r="BB29" s="231" t="s">
        <v>1155</v>
      </c>
      <c r="BC29" s="120" cm="1">
        <f t="array" ref="BC29">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103</v>
      </c>
      <c r="BD29" s="120" cm="1">
        <f t="array" ref="BD29">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v>
      </c>
      <c r="BE29" s="120" cm="1">
        <f t="array" ref="BE29">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108</v>
      </c>
      <c r="BF29" s="120" cm="1">
        <f t="array" ref="BF29">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v>
      </c>
      <c r="BG29" s="391"/>
      <c r="BH29" s="120">
        <f>Table_TonKho[[#This Row],[KQ kiểm kê]]-Table_TonKho[[#This Row],[SL Cuối kỳ]]</f>
        <v>-8</v>
      </c>
      <c r="BI29" s="120" cm="1">
        <f t="array" ref="BI29">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9" s="120" cm="1">
        <f t="array" ref="BJ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108</v>
      </c>
      <c r="BK29" s="120" cm="1">
        <f t="array" ref="BK29">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9734331.7611940298</v>
      </c>
      <c r="BL29" s="120" cm="1">
        <f t="array" ref="BL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9734331.7611940298</v>
      </c>
      <c r="BM29" s="120" cm="1">
        <f t="array" ref="BM29"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280105.49253731407</v>
      </c>
      <c r="BN29" s="120">
        <f>Table_TonKho[[#This Row],[Giá trị cuối kỳ]]-Table_TonKho[[#This Row],[Tồn kho cuối kỳ]]</f>
        <v>0</v>
      </c>
      <c r="BO29" s="120" cm="1">
        <f t="array" ref="BO29"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280105.49253731407</v>
      </c>
      <c r="BP29" s="120" cm="1">
        <f t="array" ref="BP29">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9" s="120" cm="1">
        <f t="array" ref="BQ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9" s="390"/>
      <c r="BS29" s="232"/>
    </row>
    <row r="30" spans="2:71" ht="16.5" x14ac:dyDescent="0.3">
      <c r="B30"/>
      <c r="C30"/>
      <c r="E30"/>
      <c r="F30"/>
      <c r="P30"/>
      <c r="Q30"/>
      <c r="R30"/>
      <c r="AG30"/>
      <c r="AH30"/>
      <c r="AI30"/>
      <c r="AU30" s="49">
        <f t="shared" si="0"/>
        <v>45748</v>
      </c>
      <c r="AV30" s="230">
        <v>2025</v>
      </c>
      <c r="AW30" s="230">
        <v>4</v>
      </c>
      <c r="AX30" s="230"/>
      <c r="AY30" s="230" t="s">
        <v>1153</v>
      </c>
      <c r="AZ30"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0" s="51" t="str">
        <f>IF(ISBLANK(Table_TonKho[[#This Row],[SKU]]),Table_TonKho[[#This Row],[Nguyên liệu]],Table_TonKho[[#This Row],[SKU]])</f>
        <v>NL1</v>
      </c>
      <c r="BB30" s="231" t="s">
        <v>1155</v>
      </c>
      <c r="BC30" s="120" cm="1">
        <f t="array" ref="BC30">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171</v>
      </c>
      <c r="BD30" s="120" cm="1">
        <f t="array" ref="BD30">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15</v>
      </c>
      <c r="BE30" s="120" cm="1">
        <f t="array" ref="BE30">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30" s="120" cm="1">
        <f t="array" ref="BF30">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152</v>
      </c>
      <c r="BG30" s="391"/>
      <c r="BH30" s="120">
        <f>Table_TonKho[[#This Row],[KQ kiểm kê]]-Table_TonKho[[#This Row],[SL Cuối kỳ]]</f>
        <v>-152</v>
      </c>
      <c r="BI30" s="120" cm="1">
        <f t="array" ref="BI30">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0" s="120" cm="1">
        <f t="array" ref="BJ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29.380434782608695</v>
      </c>
      <c r="BK30" s="120" cm="1">
        <f t="array" ref="BK30">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3480319.9298245613</v>
      </c>
      <c r="BL30" s="120" cm="1">
        <f t="array" ref="BL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3007450.3741418766</v>
      </c>
      <c r="BM30" s="120" cm="1">
        <f t="array" ref="BM30"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14971777.070175439</v>
      </c>
      <c r="BN30" s="120">
        <f>Table_TonKho[[#This Row],[Giá trị cuối kỳ]]-Table_TonKho[[#This Row],[Tồn kho cuối kỳ]]</f>
        <v>9451074.6838878132</v>
      </c>
      <c r="BO30" s="120" cm="1">
        <f t="array" ref="BO30"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24422851.754063252</v>
      </c>
      <c r="BP30" s="120" cm="1">
        <f t="array" ref="BP30">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0" s="120" cm="1">
        <f t="array" ref="BQ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0" s="390">
        <v>3878156.8210526318</v>
      </c>
      <c r="BS30" s="232"/>
    </row>
    <row r="31" spans="2:71" ht="16.5" x14ac:dyDescent="0.3">
      <c r="B31"/>
      <c r="C31"/>
      <c r="E31"/>
      <c r="F31"/>
      <c r="P31"/>
      <c r="Q31"/>
      <c r="R31"/>
      <c r="AG31"/>
      <c r="AH31"/>
      <c r="AI31"/>
      <c r="AU31" s="49">
        <f t="shared" si="0"/>
        <v>45748</v>
      </c>
      <c r="AV31" s="230">
        <v>2025</v>
      </c>
      <c r="AW31" s="230">
        <v>4</v>
      </c>
      <c r="AX31" s="230"/>
      <c r="AY31" s="230" t="s">
        <v>1152</v>
      </c>
      <c r="AZ31"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1" s="51" t="str">
        <f>IF(ISBLANK(Table_TonKho[[#This Row],[SKU]]),Table_TonKho[[#This Row],[Nguyên liệu]],Table_TonKho[[#This Row],[SKU]])</f>
        <v>NL2</v>
      </c>
      <c r="BB31" s="231" t="s">
        <v>1155</v>
      </c>
      <c r="BC31" s="120" cm="1">
        <f t="array" ref="BC3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138</v>
      </c>
      <c r="BD31" s="120" cm="1">
        <f t="array" ref="BD3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48</v>
      </c>
      <c r="BE31" s="120" cm="1">
        <f t="array" ref="BE3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111</v>
      </c>
      <c r="BF31" s="120" cm="1">
        <f t="array" ref="BF3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75</v>
      </c>
      <c r="BG31" s="391"/>
      <c r="BH31" s="120">
        <f>Table_TonKho[[#This Row],[KQ kiểm kê]]-Table_TonKho[[#This Row],[SL Cuối kỳ]]</f>
        <v>-75</v>
      </c>
      <c r="BI31" s="120" cm="1">
        <f t="array" ref="BI3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1" s="120" cm="1">
        <f t="array" ref="BJ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95.918478260869563</v>
      </c>
      <c r="BK31" s="120" cm="1">
        <f t="array" ref="BK3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15250117.64076978</v>
      </c>
      <c r="BL31" s="120" cm="1">
        <f t="array" ref="BL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13178090.787404319</v>
      </c>
      <c r="BM31" s="120" cm="1">
        <f t="array" ref="BM3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9332607.3592302203</v>
      </c>
      <c r="BN31" s="120">
        <f>Table_TonKho[[#This Row],[Giá trị cuối kỳ]]-Table_TonKho[[#This Row],[Tồn kho cuối kỳ]]</f>
        <v>9483565.3149039224</v>
      </c>
      <c r="BO31" s="120" cm="1">
        <f t="array" ref="BO3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18816172.674134143</v>
      </c>
      <c r="BP31" s="120" cm="1">
        <f t="array" ref="BP3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1" s="120" cm="1">
        <f t="array" ref="BQ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1" s="390">
        <v>994140.11321242829</v>
      </c>
      <c r="BS31" s="232"/>
    </row>
    <row r="32" spans="2:71" ht="16.5" x14ac:dyDescent="0.3">
      <c r="B32"/>
      <c r="C32"/>
      <c r="E32"/>
      <c r="F32"/>
      <c r="P32"/>
      <c r="Q32"/>
      <c r="R32"/>
      <c r="AG32"/>
      <c r="AH32"/>
      <c r="AI32"/>
      <c r="AU32" s="49">
        <f t="shared" si="0"/>
        <v>45717</v>
      </c>
      <c r="AV32" s="230">
        <v>2025</v>
      </c>
      <c r="AW32" s="230">
        <v>3</v>
      </c>
      <c r="AX32" s="230" t="s">
        <v>1151</v>
      </c>
      <c r="AY32" s="230"/>
      <c r="AZ3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2" s="51" t="str">
        <f>IF(ISBLANK(Table_TonKho[[#This Row],[SKU]]),Table_TonKho[[#This Row],[Nguyên liệu]],Table_TonKho[[#This Row],[SKU]])</f>
        <v>TP2</v>
      </c>
      <c r="BB32" s="231" t="s">
        <v>1155</v>
      </c>
      <c r="BC32" s="120" cm="1">
        <f t="array" ref="BC3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2" s="120" cm="1">
        <f t="array" ref="BD3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114</v>
      </c>
      <c r="BE32" s="120" cm="1">
        <f t="array" ref="BE3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79</v>
      </c>
      <c r="BF32" s="120" cm="1">
        <f t="array" ref="BF3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35</v>
      </c>
      <c r="BG32" s="391"/>
      <c r="BH32" s="120">
        <f>Table_TonKho[[#This Row],[KQ kiểm kê]]-Table_TonKho[[#This Row],[SL Cuối kỳ]]</f>
        <v>-35</v>
      </c>
      <c r="BI32" s="120" cm="1">
        <f t="array" ref="BI3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114</v>
      </c>
      <c r="BJ32" s="120" cm="1">
        <f t="array" ref="BJ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79</v>
      </c>
      <c r="BK32" s="120" cm="1">
        <f t="array" ref="BK3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2" s="120" cm="1">
        <f t="array" ref="BL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2" s="120" cm="1">
        <f t="array" ref="BM3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2" s="120">
        <f>Table_TonKho[[#This Row],[Giá trị cuối kỳ]]-Table_TonKho[[#This Row],[Tồn kho cuối kỳ]]</f>
        <v>0</v>
      </c>
      <c r="BO32" s="120" cm="1">
        <f t="array" ref="BO3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2" s="120" cm="1">
        <f t="array" ref="BP3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2" s="120" cm="1">
        <f t="array" ref="BQ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2" s="390"/>
      <c r="BS32" s="232"/>
    </row>
    <row r="33" spans="2:71" ht="16.5" x14ac:dyDescent="0.3">
      <c r="B33"/>
      <c r="C33"/>
      <c r="E33"/>
      <c r="F33"/>
      <c r="P33"/>
      <c r="Q33"/>
      <c r="R33"/>
      <c r="AG33"/>
      <c r="AH33"/>
      <c r="AI33"/>
      <c r="AU33" s="49">
        <f t="shared" si="0"/>
        <v>45717</v>
      </c>
      <c r="AV33" s="230">
        <v>2025</v>
      </c>
      <c r="AW33" s="230">
        <v>3</v>
      </c>
      <c r="AX33" s="230" t="s">
        <v>1150</v>
      </c>
      <c r="AY33" s="230"/>
      <c r="AZ3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3" s="51" t="str">
        <f>IF(ISBLANK(Table_TonKho[[#This Row],[SKU]]),Table_TonKho[[#This Row],[Nguyên liệu]],Table_TonKho[[#This Row],[SKU]])</f>
        <v>TP1</v>
      </c>
      <c r="BB33" s="231" t="s">
        <v>1155</v>
      </c>
      <c r="BC33" s="120" cm="1">
        <f t="array" ref="BC3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3" s="120" cm="1">
        <f t="array" ref="BD3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120</v>
      </c>
      <c r="BE33" s="120" cm="1">
        <f t="array" ref="BE3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v>
      </c>
      <c r="BF33" s="120" cm="1">
        <f t="array" ref="BF3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106</v>
      </c>
      <c r="BG33" s="391"/>
      <c r="BH33" s="120">
        <f>Table_TonKho[[#This Row],[KQ kiểm kê]]-Table_TonKho[[#This Row],[SL Cuối kỳ]]</f>
        <v>-106</v>
      </c>
      <c r="BI33" s="120" cm="1">
        <f t="array" ref="BI3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120</v>
      </c>
      <c r="BJ33" s="120" cm="1">
        <f t="array" ref="BJ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14</v>
      </c>
      <c r="BK33" s="120" cm="1">
        <f t="array" ref="BK3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3" s="120" cm="1">
        <f t="array" ref="BL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3" s="120" cm="1">
        <f t="array" ref="BM3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3" s="120">
        <f>Table_TonKho[[#This Row],[Giá trị cuối kỳ]]-Table_TonKho[[#This Row],[Tồn kho cuối kỳ]]</f>
        <v>0</v>
      </c>
      <c r="BO33" s="120" cm="1">
        <f t="array" ref="BO3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3" s="120" cm="1">
        <f t="array" ref="BP3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3" s="120" cm="1">
        <f t="array" ref="BQ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3" s="390"/>
      <c r="BS33" s="232"/>
    </row>
    <row r="34" spans="2:71" ht="16.5" x14ac:dyDescent="0.3">
      <c r="B34"/>
      <c r="C34"/>
      <c r="E34"/>
      <c r="F34"/>
      <c r="P34"/>
      <c r="Q34"/>
      <c r="R34"/>
      <c r="AG34"/>
      <c r="AH34"/>
      <c r="AI34"/>
      <c r="AU34" s="49">
        <f t="shared" si="0"/>
        <v>45717</v>
      </c>
      <c r="AV34" s="230">
        <v>2025</v>
      </c>
      <c r="AW34" s="230">
        <v>3</v>
      </c>
      <c r="AX34" s="230" t="s">
        <v>1149</v>
      </c>
      <c r="AY34" s="230"/>
      <c r="AZ3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34" s="51" t="str">
        <f>IF(ISBLANK(Table_TonKho[[#This Row],[SKU]]),Table_TonKho[[#This Row],[Nguyên liệu]],Table_TonKho[[#This Row],[SKU]])</f>
        <v>HH1</v>
      </c>
      <c r="BB34" s="231" t="s">
        <v>1155</v>
      </c>
      <c r="BC34" s="120" cm="1">
        <f t="array" ref="BC3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4" s="120" cm="1">
        <f t="array" ref="BD3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173</v>
      </c>
      <c r="BE34" s="120" cm="1">
        <f t="array" ref="BE3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70</v>
      </c>
      <c r="BF34" s="120" cm="1">
        <f t="array" ref="BF3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103</v>
      </c>
      <c r="BG34" s="391"/>
      <c r="BH34" s="120">
        <f>Table_TonKho[[#This Row],[KQ kiểm kê]]-Table_TonKho[[#This Row],[SL Cuối kỳ]]</f>
        <v>-103</v>
      </c>
      <c r="BI34" s="120" cm="1">
        <f t="array" ref="BI3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4" s="120" cm="1">
        <f t="array" ref="BJ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70</v>
      </c>
      <c r="BK34" s="120" cm="1">
        <f t="array" ref="BK3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5914113.746268657</v>
      </c>
      <c r="BL34" s="120" cm="1">
        <f t="array" ref="BL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5914113.746268657</v>
      </c>
      <c r="BM34" s="120" cm="1">
        <f t="array" ref="BM3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9283668.2537313439</v>
      </c>
      <c r="BN34" s="120">
        <f>Table_TonKho[[#This Row],[Giá trị cuối kỳ]]-Table_TonKho[[#This Row],[Tồn kho cuối kỳ]]</f>
        <v>0</v>
      </c>
      <c r="BO34" s="120" cm="1">
        <f t="array" ref="BO3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9283668.2537313439</v>
      </c>
      <c r="BP34" s="120" cm="1">
        <f t="array" ref="BP3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4" s="120" cm="1">
        <f t="array" ref="BQ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4" s="390">
        <v>71284.637313432802</v>
      </c>
      <c r="BS34" s="232"/>
    </row>
    <row r="35" spans="2:71" ht="16.5" x14ac:dyDescent="0.3">
      <c r="B35"/>
      <c r="C35"/>
      <c r="E35"/>
      <c r="F35"/>
      <c r="P35"/>
      <c r="Q35"/>
      <c r="R35"/>
      <c r="AG35"/>
      <c r="AH35"/>
      <c r="AI35"/>
      <c r="AU35" s="49">
        <f t="shared" si="0"/>
        <v>45717</v>
      </c>
      <c r="AV35" s="230">
        <v>2025</v>
      </c>
      <c r="AW35" s="230">
        <v>3</v>
      </c>
      <c r="AX35" s="230"/>
      <c r="AY35" s="230" t="s">
        <v>1153</v>
      </c>
      <c r="AZ3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5" s="51" t="str">
        <f>IF(ISBLANK(Table_TonKho[[#This Row],[SKU]]),Table_TonKho[[#This Row],[Nguyên liệu]],Table_TonKho[[#This Row],[SKU]])</f>
        <v>NL1</v>
      </c>
      <c r="BB35" s="231" t="s">
        <v>1155</v>
      </c>
      <c r="BC35" s="120" cm="1">
        <f t="array" ref="BC3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5" s="120" cm="1">
        <f t="array" ref="BD3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320</v>
      </c>
      <c r="BE35" s="120" cm="1">
        <f t="array" ref="BE3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149</v>
      </c>
      <c r="BF35" s="120" cm="1">
        <f t="array" ref="BF3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171</v>
      </c>
      <c r="BG35" s="391"/>
      <c r="BH35" s="120">
        <f>Table_TonKho[[#This Row],[KQ kiểm kê]]-Table_TonKho[[#This Row],[SL Cuối kỳ]]</f>
        <v>-171</v>
      </c>
      <c r="BI35" s="120" cm="1">
        <f t="array" ref="BI3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5" s="120" cm="1">
        <f t="array" ref="BJ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59.217948717948715</v>
      </c>
      <c r="BK35" s="120" cm="1">
        <f t="array" ref="BK3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14900000</v>
      </c>
      <c r="BL35" s="120" cm="1">
        <f t="array" ref="BL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5921794.871794872</v>
      </c>
      <c r="BM35" s="120" cm="1">
        <f t="array" ref="BM3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17503962</v>
      </c>
      <c r="BN35" s="120">
        <f>Table_TonKho[[#This Row],[Giá trị cuối kỳ]]-Table_TonKho[[#This Row],[Tồn kho cuối kỳ]]</f>
        <v>8978205.128205128</v>
      </c>
      <c r="BO35" s="120" cm="1">
        <f t="array" ref="BO3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26482167.128205128</v>
      </c>
      <c r="BP35" s="120" cm="1">
        <f t="array" ref="BP3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5" s="120" cm="1">
        <f t="array" ref="BQ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5" s="390">
        <v>5461230.0948885884</v>
      </c>
      <c r="BS35" s="232"/>
    </row>
    <row r="36" spans="2:71" ht="16.5" x14ac:dyDescent="0.3">
      <c r="B36"/>
      <c r="C36"/>
      <c r="E36"/>
      <c r="F36"/>
      <c r="P36"/>
      <c r="Q36"/>
      <c r="R36"/>
      <c r="AG36"/>
      <c r="AH36"/>
      <c r="AI36"/>
      <c r="AU36" s="49">
        <f t="shared" si="0"/>
        <v>45717</v>
      </c>
      <c r="AV36" s="230">
        <v>2025</v>
      </c>
      <c r="AW36" s="230">
        <v>3</v>
      </c>
      <c r="AX36" s="230"/>
      <c r="AY36" s="230" t="s">
        <v>1152</v>
      </c>
      <c r="AZ3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6" s="51" t="str">
        <f>IF(ISBLANK(Table_TonKho[[#This Row],[SKU]]),Table_TonKho[[#This Row],[Nguyên liệu]],Table_TonKho[[#This Row],[SKU]])</f>
        <v>NL2</v>
      </c>
      <c r="BB36" s="231" t="s">
        <v>1155</v>
      </c>
      <c r="BC36" s="120" cm="1">
        <f t="array" ref="BC3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6" s="120" cm="1">
        <f t="array" ref="BD3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220</v>
      </c>
      <c r="BE36" s="120" cm="1">
        <f t="array" ref="BE3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82</v>
      </c>
      <c r="BF36" s="120" cm="1">
        <f t="array" ref="BF3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138</v>
      </c>
      <c r="BG36" s="391"/>
      <c r="BH36" s="120">
        <f>Table_TonKho[[#This Row],[KQ kiểm kê]]-Table_TonKho[[#This Row],[SL Cuối kỳ]]</f>
        <v>-138</v>
      </c>
      <c r="BI36" s="120" cm="1">
        <f t="array" ref="BI3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6" s="120" cm="1">
        <f t="array" ref="BJ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32.589743589743591</v>
      </c>
      <c r="BK36" s="120" cm="1">
        <f t="array" ref="BK3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12300000</v>
      </c>
      <c r="BL36" s="120" cm="1">
        <f t="array" ref="BL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4888461.538461538</v>
      </c>
      <c r="BM36" s="120" cm="1">
        <f t="array" ref="BM3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19326564</v>
      </c>
      <c r="BN36" s="120">
        <f>Table_TonKho[[#This Row],[Giá trị cuối kỳ]]-Table_TonKho[[#This Row],[Tồn kho cuối kỳ]]</f>
        <v>7411538.4615384638</v>
      </c>
      <c r="BO36" s="120" cm="1">
        <f t="array" ref="BO3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26738102.461538464</v>
      </c>
      <c r="BP36" s="120" cm="1">
        <f t="array" ref="BP3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6" s="120" cm="1">
        <f t="array" ref="BQ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6" s="390">
        <v>719490.96854972269</v>
      </c>
      <c r="BS36" s="232"/>
    </row>
    <row r="37" spans="2:71" ht="16.5" x14ac:dyDescent="0.3">
      <c r="B37"/>
      <c r="C37"/>
      <c r="E37"/>
      <c r="F37"/>
      <c r="P37"/>
      <c r="Q37"/>
      <c r="R37"/>
      <c r="AG37"/>
      <c r="AH37"/>
      <c r="AI37"/>
    </row>
    <row r="38" spans="2:71" ht="16.5" x14ac:dyDescent="0.3">
      <c r="B38"/>
      <c r="C38"/>
      <c r="E38"/>
      <c r="F38"/>
      <c r="P38"/>
      <c r="Q38"/>
      <c r="R38"/>
      <c r="AG38"/>
      <c r="AH38"/>
      <c r="AI38"/>
    </row>
  </sheetData>
  <sheetProtection algorithmName="SHA-512" hashValue="sxkBsO3Gm8tc+1DZ0tb22IQmgS8hH6rLbeeMgRxyXZ1074bDjC2M/r+cJe1/xWkMiFMw7v6hZiz0p/qVvb4iFQ==" saltValue="gtp2klP03CQGq+0kyDk54w==" spinCount="100000" sheet="1" scenarios="1" formatCells="0" formatColumns="0" formatRows="0" insertColumns="0" insertRows="0" deleteColumns="0" deleteRows="0" sort="0" autoFilter="0" pivotTables="0"/>
  <phoneticPr fontId="14" type="noConversion"/>
  <dataValidations disablePrompts="1" count="3">
    <dataValidation type="list" allowBlank="1" showInputMessage="1" sqref="AX22:AX36" xr:uid="{C49357AD-F0B3-44D4-9F36-3975DE6ABDDC}">
      <formula1>Ma_SKU</formula1>
    </dataValidation>
    <dataValidation type="list" allowBlank="1" showInputMessage="1" sqref="AY22:AY36" xr:uid="{59BB61DA-160D-4CEE-99BF-30C08E651C75}">
      <formula1>MaNguyenLieu</formula1>
    </dataValidation>
    <dataValidation type="list" allowBlank="1" showInputMessage="1" sqref="BB22:BB36" xr:uid="{9F173645-6EE0-4ED1-B8A4-150ECA82A944}">
      <formula1>MaKho</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9399" r:id="rId8" name="Option Button 7">
              <controlPr defaultSize="0" autoFill="0" autoLine="0" autoPict="0" macro="[0]!DoiDonViHienThi">
                <anchor moveWithCells="1">
                  <from>
                    <xdr:col>48</xdr:col>
                    <xdr:colOff>514350</xdr:colOff>
                    <xdr:row>0</xdr:row>
                    <xdr:rowOff>152400</xdr:rowOff>
                  </from>
                  <to>
                    <xdr:col>49</xdr:col>
                    <xdr:colOff>381000</xdr:colOff>
                    <xdr:row>1</xdr:row>
                    <xdr:rowOff>200025</xdr:rowOff>
                  </to>
                </anchor>
              </controlPr>
            </control>
          </mc:Choice>
        </mc:AlternateContent>
        <mc:AlternateContent xmlns:mc="http://schemas.openxmlformats.org/markup-compatibility/2006">
          <mc:Choice Requires="x14">
            <control shapeId="59400" r:id="rId9" name="Option Button 8">
              <controlPr defaultSize="0" autoFill="0" autoLine="0" autoPict="0" macro="[0]!DoiDonViHienThi">
                <anchor moveWithCells="1">
                  <from>
                    <xdr:col>49</xdr:col>
                    <xdr:colOff>276225</xdr:colOff>
                    <xdr:row>0</xdr:row>
                    <xdr:rowOff>152400</xdr:rowOff>
                  </from>
                  <to>
                    <xdr:col>50</xdr:col>
                    <xdr:colOff>123825</xdr:colOff>
                    <xdr:row>1</xdr:row>
                    <xdr:rowOff>200025</xdr:rowOff>
                  </to>
                </anchor>
              </controlPr>
            </control>
          </mc:Choice>
        </mc:AlternateContent>
        <mc:AlternateContent xmlns:mc="http://schemas.openxmlformats.org/markup-compatibility/2006">
          <mc:Choice Requires="x14">
            <control shapeId="59401" r:id="rId10" name="Option Button 9">
              <controlPr defaultSize="0" autoFill="0" autoLine="0" autoPict="0" macro="[0]!DoiDonViHienThi">
                <anchor moveWithCells="1">
                  <from>
                    <xdr:col>50</xdr:col>
                    <xdr:colOff>9525</xdr:colOff>
                    <xdr:row>0</xdr:row>
                    <xdr:rowOff>152400</xdr:rowOff>
                  </from>
                  <to>
                    <xdr:col>50</xdr:col>
                    <xdr:colOff>542925</xdr:colOff>
                    <xdr:row>1</xdr:row>
                    <xdr:rowOff>200025</xdr:rowOff>
                  </to>
                </anchor>
              </controlPr>
            </control>
          </mc:Choice>
        </mc:AlternateContent>
        <mc:AlternateContent xmlns:mc="http://schemas.openxmlformats.org/markup-compatibility/2006">
          <mc:Choice Requires="x14">
            <control shapeId="59402" r:id="rId11" name="Option Button 10">
              <controlPr defaultSize="0" autoFill="0" autoLine="0" autoPict="0" macro="[0]!DoiDonViHienThi">
                <anchor moveWithCells="1">
                  <from>
                    <xdr:col>50</xdr:col>
                    <xdr:colOff>438150</xdr:colOff>
                    <xdr:row>0</xdr:row>
                    <xdr:rowOff>152400</xdr:rowOff>
                  </from>
                  <to>
                    <xdr:col>50</xdr:col>
                    <xdr:colOff>762000</xdr:colOff>
                    <xdr:row>1</xdr:row>
                    <xdr:rowOff>200025</xdr:rowOff>
                  </to>
                </anchor>
              </controlPr>
            </control>
          </mc:Choice>
        </mc:AlternateContent>
        <mc:AlternateContent xmlns:mc="http://schemas.openxmlformats.org/markup-compatibility/2006">
          <mc:Choice Requires="x14">
            <control shapeId="59403" r:id="rId12" name="Group Box 11">
              <controlPr defaultSize="0" autoFill="0" autoPict="0">
                <anchor moveWithCells="1">
                  <from>
                    <xdr:col>48</xdr:col>
                    <xdr:colOff>419100</xdr:colOff>
                    <xdr:row>0</xdr:row>
                    <xdr:rowOff>104775</xdr:rowOff>
                  </from>
                  <to>
                    <xdr:col>51</xdr:col>
                    <xdr:colOff>0</xdr:colOff>
                    <xdr:row>2</xdr:row>
                    <xdr:rowOff>9525</xdr:rowOff>
                  </to>
                </anchor>
              </controlPr>
            </control>
          </mc:Choice>
        </mc:AlternateContent>
        <mc:AlternateContent xmlns:mc="http://schemas.openxmlformats.org/markup-compatibility/2006">
          <mc:Choice Requires="x14">
            <control shapeId="59404" r:id="rId13" name="Group Box 12">
              <controlPr defaultSize="0" autoFill="0" autoPict="0">
                <anchor moveWithCells="1">
                  <from>
                    <xdr:col>46</xdr:col>
                    <xdr:colOff>57150</xdr:colOff>
                    <xdr:row>0</xdr:row>
                    <xdr:rowOff>104775</xdr:rowOff>
                  </from>
                  <to>
                    <xdr:col>48</xdr:col>
                    <xdr:colOff>381000</xdr:colOff>
                    <xdr:row>2</xdr:row>
                    <xdr:rowOff>9525</xdr:rowOff>
                  </to>
                </anchor>
              </controlPr>
            </control>
          </mc:Choice>
        </mc:AlternateContent>
        <mc:AlternateContent xmlns:mc="http://schemas.openxmlformats.org/markup-compatibility/2006">
          <mc:Choice Requires="x14">
            <control shapeId="59405" r:id="rId14" name="Button 13">
              <controlPr defaultSize="0" autoFill="0" autoPict="0" macro="[0]!NhanNghin">
                <anchor moveWithCells="1">
                  <from>
                    <xdr:col>46</xdr:col>
                    <xdr:colOff>133350</xdr:colOff>
                    <xdr:row>0</xdr:row>
                    <xdr:rowOff>200025</xdr:rowOff>
                  </from>
                  <to>
                    <xdr:col>46</xdr:col>
                    <xdr:colOff>552450</xdr:colOff>
                    <xdr:row>1</xdr:row>
                    <xdr:rowOff>142875</xdr:rowOff>
                  </to>
                </anchor>
              </controlPr>
            </control>
          </mc:Choice>
        </mc:AlternateContent>
        <mc:AlternateContent xmlns:mc="http://schemas.openxmlformats.org/markup-compatibility/2006">
          <mc:Choice Requires="x14">
            <control shapeId="59406" r:id="rId15" name="Button 14">
              <controlPr defaultSize="0" autoFill="0" autoPict="0" macro="[0]!NhanTrieu">
                <anchor moveWithCells="1">
                  <from>
                    <xdr:col>46</xdr:col>
                    <xdr:colOff>590550</xdr:colOff>
                    <xdr:row>0</xdr:row>
                    <xdr:rowOff>200025</xdr:rowOff>
                  </from>
                  <to>
                    <xdr:col>47</xdr:col>
                    <xdr:colOff>342900</xdr:colOff>
                    <xdr:row>1</xdr:row>
                    <xdr:rowOff>142875</xdr:rowOff>
                  </to>
                </anchor>
              </controlPr>
            </control>
          </mc:Choice>
        </mc:AlternateContent>
        <mc:AlternateContent xmlns:mc="http://schemas.openxmlformats.org/markup-compatibility/2006">
          <mc:Choice Requires="x14">
            <control shapeId="59407" r:id="rId16" name="Button 15">
              <controlPr defaultSize="0" autoFill="0" autoPict="0" macro="[0]!NhanTy">
                <anchor moveWithCells="1">
                  <from>
                    <xdr:col>47</xdr:col>
                    <xdr:colOff>390525</xdr:colOff>
                    <xdr:row>0</xdr:row>
                    <xdr:rowOff>200025</xdr:rowOff>
                  </from>
                  <to>
                    <xdr:col>48</xdr:col>
                    <xdr:colOff>304800</xdr:colOff>
                    <xdr:row>1</xdr:row>
                    <xdr:rowOff>142875</xdr:rowOff>
                  </to>
                </anchor>
              </controlPr>
            </control>
          </mc:Choice>
        </mc:AlternateContent>
        <mc:AlternateContent xmlns:mc="http://schemas.openxmlformats.org/markup-compatibility/2006">
          <mc:Choice Requires="x14">
            <control shapeId="59408" r:id="rId17" name="Button 16">
              <controlPr defaultSize="0" print="0" autoFill="0" autoPict="0" macro="[0]!AddRow">
                <anchor moveWithCells="1">
                  <from>
                    <xdr:col>45</xdr:col>
                    <xdr:colOff>0</xdr:colOff>
                    <xdr:row>20</xdr:row>
                    <xdr:rowOff>76200</xdr:rowOff>
                  </from>
                  <to>
                    <xdr:col>45</xdr:col>
                    <xdr:colOff>476250</xdr:colOff>
                    <xdr:row>21</xdr:row>
                    <xdr:rowOff>104775</xdr:rowOff>
                  </to>
                </anchor>
              </controlPr>
            </control>
          </mc:Choice>
        </mc:AlternateContent>
        <mc:AlternateContent xmlns:mc="http://schemas.openxmlformats.org/markup-compatibility/2006">
          <mc:Choice Requires="x14">
            <control shapeId="59409" r:id="rId18" name="Button 17">
              <controlPr defaultSize="0" print="0" autoFill="0" autoPict="0" macro="[0]!DeleteRow">
                <anchor moveWithCells="1">
                  <from>
                    <xdr:col>45</xdr:col>
                    <xdr:colOff>514350</xdr:colOff>
                    <xdr:row>20</xdr:row>
                    <xdr:rowOff>76200</xdr:rowOff>
                  </from>
                  <to>
                    <xdr:col>45</xdr:col>
                    <xdr:colOff>990600</xdr:colOff>
                    <xdr:row>21</xdr:row>
                    <xdr:rowOff>104775</xdr:rowOff>
                  </to>
                </anchor>
              </controlPr>
            </control>
          </mc:Choice>
        </mc:AlternateContent>
        <mc:AlternateContent xmlns:mc="http://schemas.openxmlformats.org/markup-compatibility/2006">
          <mc:Choice Requires="x14">
            <control shapeId="59410" r:id="rId19" name="Button 18">
              <controlPr defaultSize="0" print="0" autoFill="0" autoPict="0" macro="[0]!AddColumn">
                <anchor moveWithCells="1">
                  <from>
                    <xdr:col>71</xdr:col>
                    <xdr:colOff>66675</xdr:colOff>
                    <xdr:row>20</xdr:row>
                    <xdr:rowOff>47625</xdr:rowOff>
                  </from>
                  <to>
                    <xdr:col>71</xdr:col>
                    <xdr:colOff>581025</xdr:colOff>
                    <xdr:row>21</xdr:row>
                    <xdr:rowOff>76200</xdr:rowOff>
                  </to>
                </anchor>
              </controlPr>
            </control>
          </mc:Choice>
        </mc:AlternateContent>
        <mc:AlternateContent xmlns:mc="http://schemas.openxmlformats.org/markup-compatibility/2006">
          <mc:Choice Requires="x14">
            <control shapeId="59411" r:id="rId20" name="Button 19">
              <controlPr defaultSize="0" print="0" autoFill="0" autoPict="0" macro="[0]!DeleteColumn">
                <anchor moveWithCells="1">
                  <from>
                    <xdr:col>71</xdr:col>
                    <xdr:colOff>619125</xdr:colOff>
                    <xdr:row>20</xdr:row>
                    <xdr:rowOff>47625</xdr:rowOff>
                  </from>
                  <to>
                    <xdr:col>72</xdr:col>
                    <xdr:colOff>476250</xdr:colOff>
                    <xdr:row>21</xdr:row>
                    <xdr:rowOff>76200</xdr:rowOff>
                  </to>
                </anchor>
              </controlPr>
            </control>
          </mc:Choice>
        </mc:AlternateContent>
        <mc:AlternateContent xmlns:mc="http://schemas.openxmlformats.org/markup-compatibility/2006">
          <mc:Choice Requires="x14">
            <control shapeId="59412" r:id="rId21" name="Button 20">
              <controlPr defaultSize="0" print="0" autoFill="0" autoPict="0" macro="[0]!RefreshTables">
                <anchor moveWithCells="1">
                  <from>
                    <xdr:col>45</xdr:col>
                    <xdr:colOff>85725</xdr:colOff>
                    <xdr:row>2</xdr:row>
                    <xdr:rowOff>142875</xdr:rowOff>
                  </from>
                  <to>
                    <xdr:col>45</xdr:col>
                    <xdr:colOff>628650</xdr:colOff>
                    <xdr:row>3</xdr:row>
                    <xdr:rowOff>171450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3" id="{32D3BEA5-FFBB-4C2B-AF50-AB69C29144D2}">
            <xm:f>Security!$A$1="NO VBA"</xm:f>
            <x14:dxf>
              <font>
                <color theme="0"/>
              </font>
              <border>
                <vertical/>
                <horizontal/>
              </border>
            </x14:dxf>
          </x14:cfRule>
          <xm:sqref>AU37:BS1048576 AX22:BM22 BT27:XFD1048576 AU27:AU36 BC27:BS29 BC23:XFD23 AX23:BB36 V23:AE23 S22:AE22 AT27:AT1048576 AT22:AU26 S28:AF38 AF22:AF23 AJ22 AJ28:AJ38 A22:A38 AK28:AS1048576 AK1:AS23 AT21:BL21 BO21:XFD22 AT1:XFD2 AT3:BQ3 BS3:XFD3 AT4:XFD20 D23:E26 G23:G26 D27:G38 O22:O38 D22:G22 O39:AJ1048576 A39:G1048576 O1:AJ21 A1:G21 BC24:BQ26 BS24:XFD26 BC32:BS33 BC30:BQ31 BS30:BS31 BC34:BQ36 BS34:BS36</xm:sqref>
        </x14:conditionalFormatting>
        <x14:conditionalFormatting xmlns:xm="http://schemas.microsoft.com/office/excel/2006/main">
          <x14:cfRule type="expression" priority="2" id="{833482DE-020A-41E2-ABA9-0BA970483797}">
            <xm:f>Security!$A$1="NO VBA"</xm:f>
            <x14:dxf>
              <font>
                <color theme="0"/>
              </font>
              <border>
                <vertical/>
                <horizontal/>
              </border>
            </x14:dxf>
          </x14:cfRule>
          <xm:sqref>N1:N1048576</xm:sqref>
        </x14:conditionalFormatting>
        <x14:conditionalFormatting xmlns:xm="http://schemas.microsoft.com/office/excel/2006/main">
          <x14:cfRule type="expression" priority="1" id="{90C2552A-898C-462A-B425-65512B6528EA}">
            <xm:f>Security!$A$1="NO VBA"</xm:f>
            <x14:dxf>
              <font>
                <color theme="0"/>
              </font>
              <border>
                <vertical/>
                <horizontal/>
              </border>
            </x14:dxf>
          </x14:cfRule>
          <xm:sqref>H1:M1048576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CE4B-0716-4280-B067-BD6BCAC12C8B}">
  <sheetPr codeName="Sheet18">
    <tabColor theme="9"/>
    <outlinePr summaryBelow="0" summaryRight="0"/>
  </sheetPr>
  <dimension ref="A1:AG5"/>
  <sheetViews>
    <sheetView showGridLines="0" workbookViewId="0">
      <selection activeCell="C11" sqref="C11"/>
    </sheetView>
  </sheetViews>
  <sheetFormatPr defaultRowHeight="18" customHeight="1" outlineLevelCol="1" x14ac:dyDescent="0.3"/>
  <cols>
    <col min="1" max="1" width="9.625" style="7" customWidth="1"/>
    <col min="2" max="2" width="5.25" style="7" bestFit="1" customWidth="1"/>
    <col min="3" max="3" width="11.25" style="7" bestFit="1" customWidth="1"/>
    <col min="4" max="4" width="5.625" style="7" bestFit="1" customWidth="1"/>
    <col min="5" max="5" width="5.875" style="7" bestFit="1" customWidth="1"/>
    <col min="6" max="6" width="7" style="38" bestFit="1" customWidth="1"/>
    <col min="7" max="7" width="8.875" style="38" customWidth="1"/>
    <col min="8" max="8" width="11.5" style="38" bestFit="1" customWidth="1"/>
    <col min="9" max="9" width="16.25" style="7" customWidth="1"/>
    <col min="10" max="10" width="10.125" style="7" customWidth="1" outlineLevel="1"/>
    <col min="11" max="11" width="9.75" style="7" customWidth="1" outlineLevel="1"/>
    <col min="12" max="12" width="14.125" style="7" customWidth="1" outlineLevel="1"/>
    <col min="13" max="13" width="14.125" style="7" customWidth="1"/>
    <col min="14" max="14" width="16.875" style="7" customWidth="1"/>
    <col min="15" max="15" width="9.375" style="7" customWidth="1" outlineLevel="1"/>
    <col min="16" max="16" width="17" style="7" customWidth="1" outlineLevel="1"/>
    <col min="17" max="17" width="20.875" style="7" bestFit="1" customWidth="1"/>
    <col min="18" max="18" width="19.5" style="7" bestFit="1" customWidth="1"/>
    <col min="19" max="19" width="23.375" style="7" bestFit="1" customWidth="1"/>
    <col min="20" max="20" width="15.625" style="7" bestFit="1" customWidth="1"/>
    <col min="21" max="21" width="15.625" style="7" customWidth="1"/>
    <col min="22" max="22" width="16.375" style="7" customWidth="1" outlineLevel="1"/>
    <col min="23" max="23" width="10.875" style="7" customWidth="1" outlineLevel="1"/>
    <col min="24" max="25" width="14.5" style="7" customWidth="1" outlineLevel="1"/>
    <col min="26" max="26" width="9.75" style="7" customWidth="1" outlineLevel="1"/>
    <col min="27" max="27" width="15.375" style="38" customWidth="1" outlineLevel="1"/>
    <col min="28" max="28" width="14.5" style="38" bestFit="1" customWidth="1"/>
    <col min="29" max="29" width="9" style="38" customWidth="1"/>
    <col min="30" max="30" width="12.875" style="38" bestFit="1" customWidth="1"/>
    <col min="31" max="33" width="9" style="38"/>
    <col min="34" max="34" width="12.125" style="7" customWidth="1"/>
    <col min="35" max="35" width="11.375" style="7" customWidth="1"/>
    <col min="36" max="36" width="9.875" style="7" customWidth="1"/>
    <col min="37" max="37" width="10.125" style="7" customWidth="1"/>
    <col min="38" max="38" width="6.625" style="7" bestFit="1" customWidth="1"/>
    <col min="39" max="16384" width="9" style="7"/>
  </cols>
  <sheetData>
    <row r="1" spans="1:33" ht="22.5" customHeight="1" x14ac:dyDescent="0.3">
      <c r="F1" s="7"/>
      <c r="G1" s="7"/>
      <c r="H1" s="7"/>
      <c r="AA1" s="7"/>
      <c r="AB1" s="7"/>
      <c r="AC1" s="7"/>
      <c r="AD1" s="7"/>
      <c r="AE1" s="7"/>
      <c r="AF1" s="7"/>
      <c r="AG1" s="7"/>
    </row>
    <row r="2" spans="1:33" ht="18" customHeight="1" x14ac:dyDescent="0.3">
      <c r="F2" s="7"/>
      <c r="G2" s="7"/>
      <c r="H2" s="7"/>
      <c r="AA2" s="7"/>
      <c r="AB2" s="7"/>
      <c r="AC2" s="7"/>
      <c r="AD2" s="7"/>
      <c r="AE2" s="7"/>
      <c r="AF2" s="7"/>
      <c r="AG2" s="7"/>
    </row>
    <row r="3" spans="1:33" ht="18" customHeight="1" x14ac:dyDescent="0.3">
      <c r="B3" s="233">
        <v>1</v>
      </c>
      <c r="C3" s="51" t="str">
        <f>CONCATENATE(
"CP-",I3,"-",
MOD(E3,100)*100+F3,
"-",B3)</f>
        <v>CP--0-1</v>
      </c>
      <c r="D3" s="63">
        <f>IFERROR(
IF(ISBLANK(F3),
DATE(E3,12,1),
DATE(E3,F3,1)),0)</f>
        <v>336</v>
      </c>
      <c r="E3" s="230"/>
      <c r="F3" s="230"/>
      <c r="G3" s="403"/>
      <c r="H3" s="403"/>
      <c r="I3" s="230"/>
      <c r="J3" s="51">
        <f xml:space="preserve">
IFERROR(
VLOOKUP(I3,Table_NhanVien[],COUNTA(Table_NhanVien[[#Headers],[Mã NV]:[Chức năng]]),0),0)</f>
        <v>0</v>
      </c>
      <c r="K3" s="405">
        <f xml:space="preserve">
IFERROR(
VLOOKUP(I3,Table_NhanVien[],COUNTA(Table_NhanVien[[#Headers],[Mã NV]:[Người phụ thuộc]]),0),0)</f>
        <v>0</v>
      </c>
      <c r="L3" s="48">
        <f xml:space="preserve">
IFERROR(
VLOOKUP(I3,Table_NhanVien[],COUNTA(Table_NhanVien[[#Headers],[Mã NV]:[Lương gross]]),0),0)</f>
        <v>0</v>
      </c>
      <c r="M3" s="405">
        <f>Sheet_ChamCong!Z7</f>
        <v>0</v>
      </c>
      <c r="N3" s="120" t="e">
        <f>Sheet_ChamCong!X6</f>
        <v>#N/A</v>
      </c>
      <c r="O3" s="48" cm="1">
        <f t="array" ref="O3">IFERROR(SUM(
_xlfn._xlws.FILTER(Table_Main[Hoa hồng],
(Table_Main[NV Bán hàng] =I3)*
(Table_Main[Ngày lên đơn] &gt;= D3)*
(Table_Main[Ngày lên đơn] &lt; DATE(E3,F3+1, 1))
)),0)</f>
        <v>0</v>
      </c>
      <c r="P3" s="48" cm="1">
        <f t="array" ref="P3" xml:space="preserve">
IF(NOT(ISBLANK(F3)),
+IFERROR(
SUM(_xlfn._xlws.FILTER(Table_KPI[Thưởng KPI],
(NOT(ISBLANK(Table_KPI[Tháng]))) *
(Table_KPI[Nhân viên] = I3)*
(Table_KPI[Kỳ] &gt;= D3) *
(Table_KPI[Kỳ] &lt; DATE(E3,F3+1, 1))
)),0),0)</f>
        <v>0</v>
      </c>
      <c r="Q3" s="390"/>
      <c r="R3" s="405"/>
      <c r="S3" s="405"/>
      <c r="T3" s="405"/>
      <c r="U3" s="48" t="e">
        <f>ChamCong_MienThueOT</f>
        <v>#N/A</v>
      </c>
      <c r="V3" s="48">
        <f xml:space="preserve">
IF(ISBLANK(F3),0,
+N3+O3+P3+Q3+R3+S3-U3-ChiPhiNV_GiamTruBanThan-ChiPhiNV_GiamTruPhuThuoc*K3)</f>
        <v>0</v>
      </c>
      <c r="W3" s="48" cm="1">
        <f t="array" ref="W3" xml:space="preserve">
MAX(0,IFERROR(
SUM(_xlfn._xlws.FILTER(Table_ChiPhiNV_ThueSuatTNCN[Thuế lũy kế],
(NOT(ISBLANK(Table_ChiPhiNV_ThueSuatTNCN[Thu nhập tối đa])))*
(Table_ChiPhiNV_ThueSuatTNCN[Thu nhập tối thiểu]&lt;V3)*
(Table_ChiPhiNV_ThueSuatTNCN[Thu nhập tối đa]&gt;=V3)
)),0)
+
IFERROR(
SUM(_xlfn._xlws.FILTER(Table_ChiPhiNV_ThueSuatTNCN[Thuế suất],
(NOT(ISBLANK(Table_ChiPhiNV_ThueSuatTNCN[Thu nhập tối đa])))*
(Table_ChiPhiNV_ThueSuatTNCN[Thu nhập tối thiểu]&lt;V3)*
(Table_ChiPhiNV_ThueSuatTNCN[Thu nhập tối đa]&gt;=V3)
)),0)*
(V3
- IFERROR(
SUM(_xlfn._xlws.FILTER(Table_ChiPhiNV_ThueSuatTNCN[Thu nhập tối thiểu],
(NOT(ISBLANK(Table_ChiPhiNV_ThueSuatTNCN[Thu nhập tối đa])))*
(Table_ChiPhiNV_ThueSuatTNCN[Thu nhập tối thiểu]&lt;V3)*
(Table_ChiPhiNV_ThueSuatTNCN[Thu nhập tối đa]&gt;=V3)
)),0))
+IFERROR(
MAX(_xlfn._xlws.FILTER(Table_ChiPhiNV_ThueSuatTNCN[Thuế lũy kế],
(Table_ChiPhiNV_ThueSuatTNCN[Thu nhập tối thiểu]&lt;V3)*
(ISBLANK(Table_ChiPhiNV_ThueSuatTNCN[Thu nhập tối đa]))
)),0)
+
IFERROR(
MAX(_xlfn._xlws.FILTER(Table_ChiPhiNV_ThueSuatTNCN[Thuế suất],
(Table_ChiPhiNV_ThueSuatTNCN[Thu nhập tối thiểu]&lt;V3)*
(ISBLANK(Table_ChiPhiNV_ThueSuatTNCN[Thu nhập tối đa]))
)),0)*
(V3
- IFERROR(
MAX(_xlfn._xlws.FILTER(Table_ChiPhiNV_ThueSuatTNCN[Thu nhập tối thiểu],
(Table_ChiPhiNV_ThueSuatTNCN[Thu nhập tối thiểu]&lt;V3)*
(ISBLANK(Table_ChiPhiNV_ThueSuatTNCN[Thu nhập tối đa]))
)),0)))</f>
        <v>0</v>
      </c>
      <c r="X3" s="48">
        <f>IF(ISBLANK(F3),0,
IF(
L3 &lt;BHXH_LuongMax,
L3 * BHXH_TyLeDN,
BHXH_LuongMax * BHXH_TyLeDN
)
+IF(
L3 &lt; BHYT_LuongMax,
L3 * BHYT_TyLeDN,
BHYT_LuongMax * BHYT_TyLeDN
)
+IF(L3 &lt;BHTN_LuongMax,
L3 * BHTN_TyLeDN,
BHTN_LuongMax * BHTN_TyLeDN
)
)</f>
        <v>0</v>
      </c>
      <c r="Y3" s="48">
        <f>IF(ISBLANK(F3),0,
IF(
L3 &lt; BHXH_LuongMax,
L3 * BHXH_TyLeNV,
BHXH_LuongMax *BHXH_TyLeNV
)
+IF(
L3 &lt; BHYT_LuongMax,
L3 * BHYT_TyLeNV,
BHYT_LuongMax * BHYT_TyLeNV
)
+IF(
L3 &lt; BHTN_LuongMax,
L3 * BHTN_TyLeNV,
BHTN_LuongMax * BHTN_TyLeNV
)
)</f>
        <v>0</v>
      </c>
      <c r="Z3" s="48">
        <f xml:space="preserve">
IF(ISBLANK(F3),0,
IF(N3+O3+P3+Q3+R3+S3+T3-W3&lt;0,0,
N3+O3+P3+Q3+R3+S3+T3-W3))</f>
        <v>0</v>
      </c>
      <c r="AA3" s="48" t="e">
        <f xml:space="preserve">
IF(ISBLANK(F3),N3,N3+O3+P3+R3+X3+T3)</f>
        <v>#N/A</v>
      </c>
      <c r="AB3" s="48" t="e">
        <f>AA3</f>
        <v>#N/A</v>
      </c>
      <c r="AC3" s="234"/>
      <c r="AD3" s="234"/>
      <c r="AE3" s="7"/>
      <c r="AF3" s="7"/>
      <c r="AG3" s="7"/>
    </row>
    <row r="4" spans="1:33" ht="18" customHeight="1" x14ac:dyDescent="0.3">
      <c r="A4" s="28"/>
      <c r="B4" s="7" t="s">
        <v>638</v>
      </c>
      <c r="C4" s="7" t="s">
        <v>639</v>
      </c>
      <c r="D4" s="7" t="s">
        <v>3</v>
      </c>
      <c r="E4" s="7" t="s">
        <v>2</v>
      </c>
      <c r="F4" s="7" t="s">
        <v>1</v>
      </c>
      <c r="G4" s="7" t="s">
        <v>640</v>
      </c>
      <c r="H4" s="7" t="s">
        <v>641</v>
      </c>
      <c r="I4" s="7" t="s">
        <v>37</v>
      </c>
      <c r="J4" s="7" t="s">
        <v>583</v>
      </c>
      <c r="K4" s="7" t="s">
        <v>642</v>
      </c>
      <c r="L4" s="7" t="s">
        <v>617</v>
      </c>
      <c r="M4" s="7" t="s">
        <v>1232</v>
      </c>
      <c r="N4" s="7" t="s">
        <v>643</v>
      </c>
      <c r="O4" s="7" t="s">
        <v>140</v>
      </c>
      <c r="P4" s="7" t="s">
        <v>885</v>
      </c>
      <c r="Q4" s="7" t="s">
        <v>886</v>
      </c>
      <c r="R4" s="7" t="s">
        <v>644</v>
      </c>
      <c r="S4" s="7" t="s">
        <v>645</v>
      </c>
      <c r="T4" s="7" t="s">
        <v>646</v>
      </c>
      <c r="U4" s="7" t="s">
        <v>884</v>
      </c>
      <c r="V4" s="7" t="s">
        <v>647</v>
      </c>
      <c r="W4" s="7" t="s">
        <v>648</v>
      </c>
      <c r="X4" s="7" t="s">
        <v>649</v>
      </c>
      <c r="Y4" s="7" t="s">
        <v>650</v>
      </c>
      <c r="Z4" s="7" t="s">
        <v>651</v>
      </c>
      <c r="AA4" s="7" t="s">
        <v>257</v>
      </c>
      <c r="AB4" s="7" t="s">
        <v>652</v>
      </c>
      <c r="AC4" s="7" t="s">
        <v>873</v>
      </c>
      <c r="AD4" s="7" t="s">
        <v>1243</v>
      </c>
      <c r="AE4" s="7"/>
      <c r="AF4" s="7"/>
      <c r="AG4" s="7"/>
    </row>
    <row r="5" spans="1:33" ht="18" customHeight="1" x14ac:dyDescent="0.3">
      <c r="B5" s="233" cm="1">
        <f t="array" ref="B5" xml:space="preserve">
IFERROR(
COUNTA(_xlfn._xlws.FILTER(Table_ChiPhiNV[Nhân viên],
(Table_ChiPhiNV[Năm] = E5) *
(Table_ChiPhiNV[Tháng] = F5)*
(Table_ChiPhiNV[Nhân viên] = I5)
)),0)+1</f>
        <v>2</v>
      </c>
      <c r="C5" s="51" t="str">
        <f>CONCATENATE(
"CP-",I5,"-",
MOD(E5,100)*100+F5,
"-",B5)</f>
        <v>CP--0-2</v>
      </c>
      <c r="D5" s="63">
        <f>IFERROR(
IF(ISBLANK(F5),
DATE(E5,12,1),
DATE(E5,F5,1)),0)</f>
        <v>336</v>
      </c>
      <c r="F5" s="7"/>
      <c r="G5" s="403"/>
      <c r="H5" s="403"/>
      <c r="J5" s="51">
        <f xml:space="preserve">
IFERROR(
VLOOKUP(I5,Table_NhanVien[],COUNTA(Table_NhanVien[[#Headers],[Mã NV]:[Chức năng]]),0),0)</f>
        <v>0</v>
      </c>
      <c r="K5" s="405">
        <f xml:space="preserve">
IFERROR(
VLOOKUP(I5,Table_NhanVien[],COUNTA(Table_NhanVien[[#Headers],[Mã NV]:[Người phụ thuộc]]),0),0)</f>
        <v>0</v>
      </c>
      <c r="L5" s="48">
        <f xml:space="preserve">
IFERROR(
VLOOKUP(I5,Table_NhanVien[],COUNTA(Table_NhanVien[[#Headers],[Mã NV]:[Lương gross]]),0),0)</f>
        <v>0</v>
      </c>
      <c r="M5" s="405"/>
      <c r="N5" s="48" t="e">
        <f>ChamCong_LuongTT</f>
        <v>#N/A</v>
      </c>
      <c r="O5" s="48" cm="1">
        <f t="array" ref="O5">IFERROR(SUM(
_xlfn._xlws.FILTER(Table_Main[Hoa hồng],
(Table_Main[NV Bán hàng] =I5)*
(Table_Main[Ngày lên đơn] &gt;= D5)*
(Table_Main[Ngày lên đơn] &lt; DATE(E5,F5+1, 1))
)),0)</f>
        <v>0</v>
      </c>
      <c r="P5" s="48" cm="1">
        <f t="array" ref="P5" xml:space="preserve">
IF(NOT(ISBLANK(F5)),
+IFERROR(
SUM(_xlfn._xlws.FILTER(Table_KPI[Thưởng KPI],
(NOT(ISBLANK(Table_KPI[Tháng]))) *
(Table_KPI[Nhân viên] = I5)*
(Table_KPI[Kỳ] &gt;= D5) *
(Table_KPI[Kỳ] &lt; DATE(E5,F5+1, 1))
)),0),0)</f>
        <v>0</v>
      </c>
      <c r="Q5" s="390"/>
      <c r="R5" s="405"/>
      <c r="S5" s="405"/>
      <c r="T5" s="405"/>
      <c r="U5" s="48" t="e">
        <f t="shared" ref="U5" si="0">ChamCong_MienThueOT</f>
        <v>#N/A</v>
      </c>
      <c r="V5" s="48">
        <f xml:space="preserve">
IF(ISBLANK(F5),0,
+N5+O5+P5+Q5+R5+S5-Table_ChiPhiNV[[#This Row],[Miễn thuế tăng ca]]-ChiPhiNV_GiamTruBanThan-ChiPhiNV_GiamTruPhuThuoc*K5)</f>
        <v>0</v>
      </c>
      <c r="W5" s="48" cm="1">
        <f t="array" ref="W5"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f>
        <v>0</v>
      </c>
      <c r="X5" s="48">
        <f>IF(ISBLANK(F5),0,
IF(
L5 &lt;BHXH_LuongMax,
L5 * BHXH_TyLeDN,
BHXH_LuongMax * BHXH_TyLeDN
)
+IF(
L5 &lt; BHYT_LuongMax,
L5 * BHYT_TyLeDN,
BHYT_LuongMax * BHYT_TyLeDN
)
+IF(L5 &lt;BHTN_LuongMax,
L5 * BHTN_TyLeDN,
BHTN_LuongMax * BHTN_TyLeDN
)
)</f>
        <v>0</v>
      </c>
      <c r="Y5" s="48">
        <f>IF(ISBLANK(F5),0,
IF(
L5 &lt; BHXH_LuongMax,
L5 * BHXH_TyLeNV,
BHXH_LuongMax *BHXH_TyLeNV
)
+IF(
L5 &lt; BHYT_LuongMax,
L5 * BHYT_TyLeNV,
BHYT_LuongMax * BHYT_TyLeNV
)
+IF(
L5 &lt; BHTN_LuongMax,
L5 * BHTN_TyLeNV,
BHTN_LuongMax * BHTN_TyLeNV
)
)</f>
        <v>0</v>
      </c>
      <c r="Z5" s="48">
        <f xml:space="preserve">
IF(ISBLANK(F5),0,
IF(N5+O5+P5+Q5+R5+S5+T5-W5&lt;0,0,
N5+O5+P5+Q5+R5+S5+T5-W5))</f>
        <v>0</v>
      </c>
      <c r="AA5" s="48" t="e">
        <f xml:space="preserve">
IF(ISBLANK(F5),N5,N5+O5+P5+R5+X5+T5)</f>
        <v>#N/A</v>
      </c>
      <c r="AB5" s="48" t="e">
        <f>AA5</f>
        <v>#N/A</v>
      </c>
      <c r="AC5" s="234"/>
      <c r="AD5" s="214" cm="1">
        <f t="array" ref="AD5"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f>
        <v>0</v>
      </c>
      <c r="AE5" s="7"/>
      <c r="AF5" s="7"/>
      <c r="AG5" s="7"/>
    </row>
  </sheetData>
  <sheetProtection algorithmName="SHA-512" hashValue="akmYxbYAGAOJy0NwxoFRJe6FjrSsw3B0HVbvhXAO2mdxE2mdU/ynxb5IwqemJK/84wAUcVBB+DKrnMuLM0KXSw==" saltValue="TcQ3wvA41EiDwMteXfyCQg==" spinCount="100000" sheet="1" scenarios="1" formatCells="0" formatColumns="0" formatRows="0" insertColumns="0" insertRows="0" deleteColumns="0" deleteRows="0" sort="0" autoFilter="0" pivotTables="0"/>
  <protectedRanges>
    <protectedRange sqref="I5" name="Range1_4"/>
  </protectedRanges>
  <phoneticPr fontId="14" type="noConversion"/>
  <dataValidations count="2">
    <dataValidation type="list" allowBlank="1" showInputMessage="1" showErrorMessage="1" sqref="I3" xr:uid="{DAD6862D-5D70-4883-9CDA-F4E3D894E35F}">
      <formula1>MaNhanVien</formula1>
    </dataValidation>
    <dataValidation type="list" allowBlank="1" showInputMessage="1" sqref="I5" xr:uid="{01B7CE31-EDBA-45B7-8F3D-8B1EF85D264F}">
      <formula1>MaNhanVien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CopyToTable">
                <anchor moveWithCells="1">
                  <from>
                    <xdr:col>28</xdr:col>
                    <xdr:colOff>438150</xdr:colOff>
                    <xdr:row>1</xdr:row>
                    <xdr:rowOff>219075</xdr:rowOff>
                  </from>
                  <to>
                    <xdr:col>29</xdr:col>
                    <xdr:colOff>295275</xdr:colOff>
                    <xdr:row>3</xdr:row>
                    <xdr:rowOff>19050</xdr:rowOff>
                  </to>
                </anchor>
              </controlPr>
            </control>
          </mc:Choice>
        </mc:AlternateContent>
        <mc:AlternateContent xmlns:mc="http://schemas.openxmlformats.org/markup-compatibility/2006">
          <mc:Choice Requires="x14">
            <control shapeId="60427" r:id="rId5" name="Option Button 11">
              <controlPr defaultSize="0" autoFill="0" autoLine="0" autoPict="0" macro="[0]!DoiDonViHienThi">
                <anchor moveWithCells="1">
                  <from>
                    <xdr:col>4</xdr:col>
                    <xdr:colOff>190500</xdr:colOff>
                    <xdr:row>0</xdr:row>
                    <xdr:rowOff>152400</xdr:rowOff>
                  </from>
                  <to>
                    <xdr:col>5</xdr:col>
                    <xdr:colOff>333375</xdr:colOff>
                    <xdr:row>1</xdr:row>
                    <xdr:rowOff>142875</xdr:rowOff>
                  </to>
                </anchor>
              </controlPr>
            </control>
          </mc:Choice>
        </mc:AlternateContent>
        <mc:AlternateContent xmlns:mc="http://schemas.openxmlformats.org/markup-compatibility/2006">
          <mc:Choice Requires="x14">
            <control shapeId="60428" r:id="rId6" name="Option Button 12">
              <controlPr defaultSize="0" autoFill="0" autoLine="0" autoPict="0" macro="[0]!DoiDonViHienThi">
                <anchor moveWithCells="1">
                  <from>
                    <xdr:col>5</xdr:col>
                    <xdr:colOff>209550</xdr:colOff>
                    <xdr:row>0</xdr:row>
                    <xdr:rowOff>152400</xdr:rowOff>
                  </from>
                  <to>
                    <xdr:col>6</xdr:col>
                    <xdr:colOff>266700</xdr:colOff>
                    <xdr:row>1</xdr:row>
                    <xdr:rowOff>142875</xdr:rowOff>
                  </to>
                </anchor>
              </controlPr>
            </control>
          </mc:Choice>
        </mc:AlternateContent>
        <mc:AlternateContent xmlns:mc="http://schemas.openxmlformats.org/markup-compatibility/2006">
          <mc:Choice Requires="x14">
            <control shapeId="60429" r:id="rId7" name="Option Button 13">
              <controlPr defaultSize="0" autoFill="0" autoLine="0" autoPict="0" macro="[0]!DoiDonViHienThi">
                <anchor moveWithCells="1">
                  <from>
                    <xdr:col>6</xdr:col>
                    <xdr:colOff>142875</xdr:colOff>
                    <xdr:row>0</xdr:row>
                    <xdr:rowOff>152400</xdr:rowOff>
                  </from>
                  <to>
                    <xdr:col>7</xdr:col>
                    <xdr:colOff>57150</xdr:colOff>
                    <xdr:row>1</xdr:row>
                    <xdr:rowOff>142875</xdr:rowOff>
                  </to>
                </anchor>
              </controlPr>
            </control>
          </mc:Choice>
        </mc:AlternateContent>
        <mc:AlternateContent xmlns:mc="http://schemas.openxmlformats.org/markup-compatibility/2006">
          <mc:Choice Requires="x14">
            <control shapeId="60430" r:id="rId8" name="Option Button 14">
              <controlPr defaultSize="0" autoFill="0" autoLine="0" autoPict="0" macro="[0]!DoiDonViHienThi">
                <anchor moveWithCells="1">
                  <from>
                    <xdr:col>6</xdr:col>
                    <xdr:colOff>619125</xdr:colOff>
                    <xdr:row>0</xdr:row>
                    <xdr:rowOff>152400</xdr:rowOff>
                  </from>
                  <to>
                    <xdr:col>7</xdr:col>
                    <xdr:colOff>295275</xdr:colOff>
                    <xdr:row>1</xdr:row>
                    <xdr:rowOff>142875</xdr:rowOff>
                  </to>
                </anchor>
              </controlPr>
            </control>
          </mc:Choice>
        </mc:AlternateContent>
        <mc:AlternateContent xmlns:mc="http://schemas.openxmlformats.org/markup-compatibility/2006">
          <mc:Choice Requires="x14">
            <control shapeId="60431" r:id="rId9" name="Group Box 15">
              <controlPr defaultSize="0" autoFill="0" autoPict="0">
                <anchor moveWithCells="1">
                  <from>
                    <xdr:col>4</xdr:col>
                    <xdr:colOff>76200</xdr:colOff>
                    <xdr:row>0</xdr:row>
                    <xdr:rowOff>104775</xdr:rowOff>
                  </from>
                  <to>
                    <xdr:col>7</xdr:col>
                    <xdr:colOff>409575</xdr:colOff>
                    <xdr:row>1</xdr:row>
                    <xdr:rowOff>180975</xdr:rowOff>
                  </to>
                </anchor>
              </controlPr>
            </control>
          </mc:Choice>
        </mc:AlternateContent>
        <mc:AlternateContent xmlns:mc="http://schemas.openxmlformats.org/markup-compatibility/2006">
          <mc:Choice Requires="x14">
            <control shapeId="60432" r:id="rId10" name="Group Box 16">
              <controlPr defaultSize="0" autoFill="0" autoPict="0">
                <anchor moveWithCells="1">
                  <from>
                    <xdr:col>1</xdr:col>
                    <xdr:colOff>57150</xdr:colOff>
                    <xdr:row>0</xdr:row>
                    <xdr:rowOff>104775</xdr:rowOff>
                  </from>
                  <to>
                    <xdr:col>4</xdr:col>
                    <xdr:colOff>28575</xdr:colOff>
                    <xdr:row>1</xdr:row>
                    <xdr:rowOff>180975</xdr:rowOff>
                  </to>
                </anchor>
              </controlPr>
            </control>
          </mc:Choice>
        </mc:AlternateContent>
        <mc:AlternateContent xmlns:mc="http://schemas.openxmlformats.org/markup-compatibility/2006">
          <mc:Choice Requires="x14">
            <control shapeId="60433" r:id="rId11" name="Button 17">
              <controlPr defaultSize="0" autoFill="0" autoPict="0" macro="[0]!NhanNghin">
                <anchor moveWithCells="1">
                  <from>
                    <xdr:col>1</xdr:col>
                    <xdr:colOff>142875</xdr:colOff>
                    <xdr:row>0</xdr:row>
                    <xdr:rowOff>200025</xdr:rowOff>
                  </from>
                  <to>
                    <xdr:col>2</xdr:col>
                    <xdr:colOff>209550</xdr:colOff>
                    <xdr:row>1</xdr:row>
                    <xdr:rowOff>85725</xdr:rowOff>
                  </to>
                </anchor>
              </controlPr>
            </control>
          </mc:Choice>
        </mc:AlternateContent>
        <mc:AlternateContent xmlns:mc="http://schemas.openxmlformats.org/markup-compatibility/2006">
          <mc:Choice Requires="x14">
            <control shapeId="60434" r:id="rId12" name="Button 18">
              <controlPr defaultSize="0" autoFill="0" autoPict="0" macro="[0]!NhanTrieu">
                <anchor moveWithCells="1">
                  <from>
                    <xdr:col>2</xdr:col>
                    <xdr:colOff>257175</xdr:colOff>
                    <xdr:row>0</xdr:row>
                    <xdr:rowOff>200025</xdr:rowOff>
                  </from>
                  <to>
                    <xdr:col>2</xdr:col>
                    <xdr:colOff>723900</xdr:colOff>
                    <xdr:row>1</xdr:row>
                    <xdr:rowOff>85725</xdr:rowOff>
                  </to>
                </anchor>
              </controlPr>
            </control>
          </mc:Choice>
        </mc:AlternateContent>
        <mc:AlternateContent xmlns:mc="http://schemas.openxmlformats.org/markup-compatibility/2006">
          <mc:Choice Requires="x14">
            <control shapeId="60435" r:id="rId13" name="Button 19">
              <controlPr defaultSize="0" autoFill="0" autoPict="0" macro="[0]!NhanTy">
                <anchor moveWithCells="1">
                  <from>
                    <xdr:col>2</xdr:col>
                    <xdr:colOff>771525</xdr:colOff>
                    <xdr:row>0</xdr:row>
                    <xdr:rowOff>200025</xdr:rowOff>
                  </from>
                  <to>
                    <xdr:col>3</xdr:col>
                    <xdr:colOff>381000</xdr:colOff>
                    <xdr:row>1</xdr:row>
                    <xdr:rowOff>85725</xdr:rowOff>
                  </to>
                </anchor>
              </controlPr>
            </control>
          </mc:Choice>
        </mc:AlternateContent>
        <mc:AlternateContent xmlns:mc="http://schemas.openxmlformats.org/markup-compatibility/2006">
          <mc:Choice Requires="x14">
            <control shapeId="60436" r:id="rId14" name="Button 20">
              <controlPr defaultSize="0" print="0" autoFill="0" autoPict="0" macro="[0]!AddRow">
                <anchor moveWithCells="1">
                  <from>
                    <xdr:col>8</xdr:col>
                    <xdr:colOff>0</xdr:colOff>
                    <xdr:row>0</xdr:row>
                    <xdr:rowOff>85725</xdr:rowOff>
                  </from>
                  <to>
                    <xdr:col>8</xdr:col>
                    <xdr:colOff>476250</xdr:colOff>
                    <xdr:row>1</xdr:row>
                    <xdr:rowOff>57150</xdr:rowOff>
                  </to>
                </anchor>
              </controlPr>
            </control>
          </mc:Choice>
        </mc:AlternateContent>
        <mc:AlternateContent xmlns:mc="http://schemas.openxmlformats.org/markup-compatibility/2006">
          <mc:Choice Requires="x14">
            <control shapeId="60437" r:id="rId15" name="Button 21">
              <controlPr defaultSize="0" print="0" autoFill="0" autoPict="0" macro="[0]!DeleteRow">
                <anchor moveWithCells="1">
                  <from>
                    <xdr:col>8</xdr:col>
                    <xdr:colOff>514350</xdr:colOff>
                    <xdr:row>0</xdr:row>
                    <xdr:rowOff>85725</xdr:rowOff>
                  </from>
                  <to>
                    <xdr:col>8</xdr:col>
                    <xdr:colOff>990600</xdr:colOff>
                    <xdr:row>1</xdr:row>
                    <xdr:rowOff>57150</xdr:rowOff>
                  </to>
                </anchor>
              </controlPr>
            </control>
          </mc:Choice>
        </mc:AlternateContent>
        <mc:AlternateContent xmlns:mc="http://schemas.openxmlformats.org/markup-compatibility/2006">
          <mc:Choice Requires="x14">
            <control shapeId="60438" r:id="rId16" name="Button 22">
              <controlPr defaultSize="0" print="0" autoFill="0" autoPict="0" macro="[0]!AddColumn">
                <anchor moveWithCells="1">
                  <from>
                    <xdr:col>28</xdr:col>
                    <xdr:colOff>123825</xdr:colOff>
                    <xdr:row>0</xdr:row>
                    <xdr:rowOff>123825</xdr:rowOff>
                  </from>
                  <to>
                    <xdr:col>28</xdr:col>
                    <xdr:colOff>638175</xdr:colOff>
                    <xdr:row>1</xdr:row>
                    <xdr:rowOff>95250</xdr:rowOff>
                  </to>
                </anchor>
              </controlPr>
            </control>
          </mc:Choice>
        </mc:AlternateContent>
        <mc:AlternateContent xmlns:mc="http://schemas.openxmlformats.org/markup-compatibility/2006">
          <mc:Choice Requires="x14">
            <control shapeId="60439" r:id="rId17" name="Button 23">
              <controlPr defaultSize="0" print="0" autoFill="0" autoPict="0" macro="[0]!DeleteColumn">
                <anchor moveWithCells="1">
                  <from>
                    <xdr:col>28</xdr:col>
                    <xdr:colOff>676275</xdr:colOff>
                    <xdr:row>0</xdr:row>
                    <xdr:rowOff>123825</xdr:rowOff>
                  </from>
                  <to>
                    <xdr:col>29</xdr:col>
                    <xdr:colOff>533400</xdr:colOff>
                    <xdr:row>1</xdr:row>
                    <xdr:rowOff>95250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AEEC1A20-CB6B-44CA-A5ED-FB0FC4F8AB84}">
            <xm:f>Security!$A$1="NO VBA"</xm:f>
            <x14:dxf>
              <font>
                <color theme="0"/>
              </font>
              <border>
                <vertical/>
                <horizontal/>
              </border>
            </x14:dxf>
          </x14:cfRule>
          <xm:sqref>A4:L4 AD4:XFD4 A1:XFD3 A5:XFD1048576 N4:AB4</xm:sqref>
        </x14:conditionalFormatting>
        <x14:conditionalFormatting xmlns:xm="http://schemas.microsoft.com/office/excel/2006/main">
          <x14:cfRule type="expression" priority="1" id="{037BA51E-3A52-4801-BFB1-E8E942AE11D7}">
            <xm:f>Security!$A$1="NO VBA"</xm:f>
            <x14:dxf>
              <font>
                <color theme="0"/>
              </font>
              <border>
                <vertical/>
                <horizontal/>
              </border>
            </x14:dxf>
          </x14:cfRule>
          <xm:sqref>AC4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outlinePr summaryBelow="0" summaryRight="0"/>
  </sheetPr>
  <dimension ref="B1:BN57"/>
  <sheetViews>
    <sheetView showGridLines="0" workbookViewId="0">
      <selection activeCell="U19" sqref="U19"/>
    </sheetView>
  </sheetViews>
  <sheetFormatPr defaultRowHeight="18" customHeight="1" outlineLevelRow="1" outlineLevelCol="2" x14ac:dyDescent="0.3"/>
  <cols>
    <col min="1" max="1" width="9.625" style="7" customWidth="1"/>
    <col min="2" max="2" width="8.5" style="7" customWidth="1" outlineLevel="1"/>
    <col min="3" max="3" width="11.75" style="7" customWidth="1" outlineLevel="1"/>
    <col min="4" max="4" width="1.625" style="7" customWidth="1" outlineLevel="1"/>
    <col min="5" max="5" width="11.75" style="7" customWidth="1" outlineLevel="1"/>
    <col min="6" max="6" width="8.625" style="7" customWidth="1" outlineLevel="1"/>
    <col min="7" max="7" width="8.5" style="7" customWidth="1" outlineLevel="1"/>
    <col min="8" max="8" width="8.75" style="7" customWidth="1" outlineLevel="1"/>
    <col min="9" max="9" width="1.625" style="7" customWidth="1" outlineLevel="1"/>
    <col min="10" max="10" width="9.5" style="7" customWidth="1" outlineLevel="1"/>
    <col min="11" max="11" width="10.125" style="7" customWidth="1" outlineLevel="1"/>
    <col min="12" max="12" width="10.375" style="7" customWidth="1" outlineLevel="1"/>
    <col min="13" max="13" width="8.25" style="7" customWidth="1" outlineLevel="1"/>
    <col min="14" max="14" width="1.625" style="7" customWidth="1" outlineLevel="1"/>
    <col min="15" max="17" width="11.75" style="7" customWidth="1" outlineLevel="1"/>
    <col min="18" max="18" width="12.75" style="7" customWidth="1" outlineLevel="2"/>
    <col min="19" max="19" width="13" style="7" customWidth="1" outlineLevel="2"/>
    <col min="20" max="20" width="6.75" style="7" customWidth="1" outlineLevel="1"/>
    <col min="21" max="21" width="12.5" style="7" customWidth="1" collapsed="1"/>
    <col min="22" max="22" width="12.5" style="7" customWidth="1"/>
    <col min="23" max="23" width="15.625" style="7" customWidth="1" outlineLevel="1"/>
    <col min="24" max="24" width="13.625" style="7" customWidth="1" outlineLevel="1"/>
    <col min="25" max="25" width="13.375" style="7" customWidth="1" outlineLevel="1"/>
    <col min="26" max="26" width="12" style="7" customWidth="1" outlineLevel="1"/>
    <col min="27" max="27" width="6.75" style="7" customWidth="1" outlineLevel="1"/>
    <col min="28" max="28" width="7" style="7" customWidth="1"/>
    <col min="29" max="59" width="5.125" style="7" customWidth="1" outlineLevel="1"/>
    <col min="60" max="61" width="9" style="7"/>
    <col min="62" max="62" width="12.25" style="7" customWidth="1"/>
    <col min="63" max="63" width="9.625" style="7" customWidth="1"/>
    <col min="64" max="16384" width="9" style="7"/>
  </cols>
  <sheetData>
    <row r="1" spans="2:66" ht="18" customHeight="1" x14ac:dyDescent="0.3">
      <c r="W1" s="8" t="s">
        <v>37</v>
      </c>
      <c r="X1" s="23" t="s">
        <v>997</v>
      </c>
      <c r="Y1" s="25" t="s">
        <v>595</v>
      </c>
      <c r="Z1" s="26" t="s">
        <v>596</v>
      </c>
      <c r="AB1" s="12" t="s">
        <v>0</v>
      </c>
      <c r="AC1" s="36">
        <v>1</v>
      </c>
      <c r="AD1" s="36" t="e">
        <f t="shared" ref="AD1:BG1" si="0" xml:space="preserve">
IF(AC1="","",
IF(MONTH(DATE(BangLuong_Nam,BangLuong_Thang,
AC1+1)) = BangLuong_Thang,
AC1+1,
""))</f>
        <v>#NUM!</v>
      </c>
      <c r="AE1" s="36" t="e">
        <f t="shared" si="0"/>
        <v>#NUM!</v>
      </c>
      <c r="AF1" s="36" t="e">
        <f t="shared" si="0"/>
        <v>#NUM!</v>
      </c>
      <c r="AG1" s="36" t="e">
        <f t="shared" si="0"/>
        <v>#NUM!</v>
      </c>
      <c r="AH1" s="36" t="e">
        <f t="shared" si="0"/>
        <v>#NUM!</v>
      </c>
      <c r="AI1" s="36" t="e">
        <f t="shared" si="0"/>
        <v>#NUM!</v>
      </c>
      <c r="AJ1" s="36" t="e">
        <f t="shared" si="0"/>
        <v>#NUM!</v>
      </c>
      <c r="AK1" s="36" t="e">
        <f t="shared" si="0"/>
        <v>#NUM!</v>
      </c>
      <c r="AL1" s="36" t="e">
        <f t="shared" si="0"/>
        <v>#NUM!</v>
      </c>
      <c r="AM1" s="36" t="e">
        <f t="shared" si="0"/>
        <v>#NUM!</v>
      </c>
      <c r="AN1" s="36" t="e">
        <f t="shared" si="0"/>
        <v>#NUM!</v>
      </c>
      <c r="AO1" s="36" t="e">
        <f t="shared" si="0"/>
        <v>#NUM!</v>
      </c>
      <c r="AP1" s="36" t="e">
        <f t="shared" si="0"/>
        <v>#NUM!</v>
      </c>
      <c r="AQ1" s="36" t="e">
        <f t="shared" si="0"/>
        <v>#NUM!</v>
      </c>
      <c r="AR1" s="36" t="e">
        <f t="shared" si="0"/>
        <v>#NUM!</v>
      </c>
      <c r="AS1" s="36" t="e">
        <f t="shared" si="0"/>
        <v>#NUM!</v>
      </c>
      <c r="AT1" s="36" t="e">
        <f t="shared" si="0"/>
        <v>#NUM!</v>
      </c>
      <c r="AU1" s="36" t="e">
        <f t="shared" si="0"/>
        <v>#NUM!</v>
      </c>
      <c r="AV1" s="36" t="e">
        <f t="shared" si="0"/>
        <v>#NUM!</v>
      </c>
      <c r="AW1" s="36" t="e">
        <f t="shared" si="0"/>
        <v>#NUM!</v>
      </c>
      <c r="AX1" s="36" t="e">
        <f t="shared" si="0"/>
        <v>#NUM!</v>
      </c>
      <c r="AY1" s="36" t="e">
        <f t="shared" si="0"/>
        <v>#NUM!</v>
      </c>
      <c r="AZ1" s="36" t="e">
        <f t="shared" si="0"/>
        <v>#NUM!</v>
      </c>
      <c r="BA1" s="36" t="e">
        <f t="shared" si="0"/>
        <v>#NUM!</v>
      </c>
      <c r="BB1" s="36" t="e">
        <f t="shared" si="0"/>
        <v>#NUM!</v>
      </c>
      <c r="BC1" s="36" t="e">
        <f t="shared" si="0"/>
        <v>#NUM!</v>
      </c>
      <c r="BD1" s="36" t="e">
        <f t="shared" si="0"/>
        <v>#NUM!</v>
      </c>
      <c r="BE1" s="36" t="e">
        <f t="shared" si="0"/>
        <v>#NUM!</v>
      </c>
      <c r="BF1" s="36" t="e">
        <f t="shared" si="0"/>
        <v>#NUM!</v>
      </c>
      <c r="BG1" s="36" t="e">
        <f t="shared" si="0"/>
        <v>#NUM!</v>
      </c>
    </row>
    <row r="2" spans="2:66" ht="18" customHeight="1" x14ac:dyDescent="0.3">
      <c r="W2" s="8" t="s">
        <v>1</v>
      </c>
      <c r="X2" s="24"/>
      <c r="Y2" s="8" t="s">
        <v>2</v>
      </c>
      <c r="Z2" s="24"/>
      <c r="AB2" s="12" t="s">
        <v>597</v>
      </c>
      <c r="AC2" s="36" t="e">
        <f t="shared" ref="AC2:BG2" si="1" xml:space="preserve">
IF(AC1="","",
IF(WEEKDAY(DATE(BangLuong_Nam,BangLuong_Thang,AC1))=1,
"CN",WEEKDAY(DATE(BangLuong_Nam,BangLuong_Thang,AC1))))</f>
        <v>#NUM!</v>
      </c>
      <c r="AD2" s="36" t="e">
        <f t="shared" si="1"/>
        <v>#NUM!</v>
      </c>
      <c r="AE2" s="36" t="e">
        <f t="shared" si="1"/>
        <v>#NUM!</v>
      </c>
      <c r="AF2" s="36" t="e">
        <f t="shared" si="1"/>
        <v>#NUM!</v>
      </c>
      <c r="AG2" s="36" t="e">
        <f t="shared" si="1"/>
        <v>#NUM!</v>
      </c>
      <c r="AH2" s="36" t="e">
        <f t="shared" si="1"/>
        <v>#NUM!</v>
      </c>
      <c r="AI2" s="36" t="e">
        <f t="shared" si="1"/>
        <v>#NUM!</v>
      </c>
      <c r="AJ2" s="36" t="e">
        <f t="shared" si="1"/>
        <v>#NUM!</v>
      </c>
      <c r="AK2" s="36" t="e">
        <f t="shared" si="1"/>
        <v>#NUM!</v>
      </c>
      <c r="AL2" s="36" t="e">
        <f t="shared" si="1"/>
        <v>#NUM!</v>
      </c>
      <c r="AM2" s="36" t="e">
        <f t="shared" si="1"/>
        <v>#NUM!</v>
      </c>
      <c r="AN2" s="36" t="e">
        <f t="shared" si="1"/>
        <v>#NUM!</v>
      </c>
      <c r="AO2" s="36" t="e">
        <f t="shared" si="1"/>
        <v>#NUM!</v>
      </c>
      <c r="AP2" s="36" t="e">
        <f t="shared" si="1"/>
        <v>#NUM!</v>
      </c>
      <c r="AQ2" s="36" t="e">
        <f t="shared" si="1"/>
        <v>#NUM!</v>
      </c>
      <c r="AR2" s="36" t="e">
        <f t="shared" si="1"/>
        <v>#NUM!</v>
      </c>
      <c r="AS2" s="36" t="e">
        <f t="shared" si="1"/>
        <v>#NUM!</v>
      </c>
      <c r="AT2" s="36" t="e">
        <f t="shared" si="1"/>
        <v>#NUM!</v>
      </c>
      <c r="AU2" s="36" t="e">
        <f t="shared" si="1"/>
        <v>#NUM!</v>
      </c>
      <c r="AV2" s="36" t="e">
        <f t="shared" si="1"/>
        <v>#NUM!</v>
      </c>
      <c r="AW2" s="36" t="e">
        <f t="shared" si="1"/>
        <v>#NUM!</v>
      </c>
      <c r="AX2" s="36" t="e">
        <f t="shared" si="1"/>
        <v>#NUM!</v>
      </c>
      <c r="AY2" s="36" t="e">
        <f t="shared" si="1"/>
        <v>#NUM!</v>
      </c>
      <c r="AZ2" s="36" t="e">
        <f t="shared" si="1"/>
        <v>#NUM!</v>
      </c>
      <c r="BA2" s="36" t="e">
        <f t="shared" si="1"/>
        <v>#NUM!</v>
      </c>
      <c r="BB2" s="36" t="e">
        <f t="shared" si="1"/>
        <v>#NUM!</v>
      </c>
      <c r="BC2" s="36" t="e">
        <f t="shared" si="1"/>
        <v>#NUM!</v>
      </c>
      <c r="BD2" s="36" t="e">
        <f t="shared" si="1"/>
        <v>#NUM!</v>
      </c>
      <c r="BE2" s="36" t="e">
        <f t="shared" si="1"/>
        <v>#NUM!</v>
      </c>
      <c r="BF2" s="36" t="e">
        <f t="shared" si="1"/>
        <v>#NUM!</v>
      </c>
      <c r="BG2" s="36" t="e">
        <f t="shared" si="1"/>
        <v>#NUM!</v>
      </c>
    </row>
    <row r="3" spans="2:66" ht="18" customHeight="1" x14ac:dyDescent="0.3">
      <c r="O3" s="117"/>
      <c r="P3" s="391"/>
      <c r="Q3" s="391"/>
      <c r="R3" s="120">
        <f xml:space="preserve">
IF(ISBLANK(Q3),0,O3*(Q3-P3))</f>
        <v>0</v>
      </c>
      <c r="S3" s="120" cm="1">
        <f t="array" ref="S3">+
IF(P3=0,0,
IFERROR(
SUM(_xlfn._xlws.FILTER(Table_ChiPhiNV_ThueSuatTNCN[Thuế tối đa],
(Table_ChiPhiNV_ThueSuatTNCN[Thuế suất]&lt;O3)
)),0))</f>
        <v>0</v>
      </c>
      <c r="T3" s="232"/>
      <c r="W3" s="27" t="s">
        <v>598</v>
      </c>
      <c r="X3" s="419">
        <v>11000000</v>
      </c>
      <c r="Y3" s="8" t="s">
        <v>599</v>
      </c>
      <c r="Z3" s="217">
        <f>8*(COUNT(AC1:BG1) - COUNTA(AC3:BG3))</f>
        <v>8</v>
      </c>
      <c r="AB3" s="12" t="s">
        <v>600</v>
      </c>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row>
    <row r="4" spans="2:66" ht="18" customHeight="1" x14ac:dyDescent="0.3">
      <c r="B4" s="12" t="s">
        <v>595</v>
      </c>
      <c r="C4" s="12" t="s">
        <v>601</v>
      </c>
      <c r="E4" s="12" t="s">
        <v>21</v>
      </c>
      <c r="F4" s="12" t="s">
        <v>602</v>
      </c>
      <c r="G4" s="12" t="s">
        <v>603</v>
      </c>
      <c r="H4" s="12" t="s">
        <v>604</v>
      </c>
      <c r="J4" s="12" t="s">
        <v>0</v>
      </c>
      <c r="K4" s="12" t="s">
        <v>605</v>
      </c>
      <c r="L4" s="12" t="s">
        <v>606</v>
      </c>
      <c r="M4" s="12" t="s">
        <v>156</v>
      </c>
      <c r="O4" s="12" t="s">
        <v>607</v>
      </c>
      <c r="P4" s="12" t="s">
        <v>608</v>
      </c>
      <c r="Q4" s="12" t="s">
        <v>609</v>
      </c>
      <c r="R4" s="12" t="s">
        <v>610</v>
      </c>
      <c r="S4" s="12" t="s">
        <v>611</v>
      </c>
      <c r="T4" s="12" t="s">
        <v>280</v>
      </c>
      <c r="W4" s="27" t="s">
        <v>612</v>
      </c>
      <c r="X4" s="419">
        <v>4400000</v>
      </c>
      <c r="Y4" s="27" t="s">
        <v>613</v>
      </c>
      <c r="Z4" s="319">
        <v>2.0833333333333332E-2</v>
      </c>
      <c r="AB4" s="12" t="s">
        <v>614</v>
      </c>
      <c r="AC4" s="338">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v>
      </c>
      <c r="AD4" s="338" t="e">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#NUM!</v>
      </c>
      <c r="AE4" s="338" t="e">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#NUM!</v>
      </c>
      <c r="AF4" s="338" t="e">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#NUM!</v>
      </c>
      <c r="AG4" s="338" t="e">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#NUM!</v>
      </c>
      <c r="AH4" s="338" t="e">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#NUM!</v>
      </c>
      <c r="AI4" s="338" t="e">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#NUM!</v>
      </c>
      <c r="AJ4" s="338" t="e">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#NUM!</v>
      </c>
      <c r="AK4" s="338" t="e">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#NUM!</v>
      </c>
      <c r="AL4" s="338" t="e">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#NUM!</v>
      </c>
      <c r="AM4" s="338" t="e">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#NUM!</v>
      </c>
      <c r="AN4" s="338" t="e">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#NUM!</v>
      </c>
      <c r="AO4" s="338" t="e">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#NUM!</v>
      </c>
      <c r="AP4" s="338" t="e">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#NUM!</v>
      </c>
      <c r="AQ4" s="338" t="e">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#NUM!</v>
      </c>
      <c r="AR4" s="338" t="e">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#NUM!</v>
      </c>
      <c r="AS4" s="338" t="e">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#NUM!</v>
      </c>
      <c r="AT4" s="338" t="e">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#NUM!</v>
      </c>
      <c r="AU4" s="338" t="e">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#NUM!</v>
      </c>
      <c r="AV4" s="338" t="e">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#NUM!</v>
      </c>
      <c r="AW4" s="338" t="e">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#NUM!</v>
      </c>
      <c r="AX4" s="338" t="e">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#NUM!</v>
      </c>
      <c r="AY4" s="338" t="e">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#NUM!</v>
      </c>
      <c r="AZ4" s="338" t="e">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#NUM!</v>
      </c>
      <c r="BA4" s="338" t="e">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#NUM!</v>
      </c>
      <c r="BB4" s="338" t="e">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#NUM!</v>
      </c>
      <c r="BC4" s="338" t="e">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#NUM!</v>
      </c>
      <c r="BD4" s="338" t="e">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#NUM!</v>
      </c>
      <c r="BE4" s="338" t="e">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#NUM!</v>
      </c>
      <c r="BF4" s="338" t="e">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#NUM!</v>
      </c>
      <c r="BG4" s="338" t="e">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#NUM!</v>
      </c>
    </row>
    <row r="5" spans="2:66" ht="18" customHeight="1" x14ac:dyDescent="0.3">
      <c r="B5" s="12" t="s">
        <v>596</v>
      </c>
      <c r="C5" s="15">
        <v>4960000</v>
      </c>
      <c r="E5" s="12" t="s">
        <v>615</v>
      </c>
      <c r="F5" s="15">
        <f>F8*F9</f>
        <v>46800000</v>
      </c>
      <c r="G5" s="15">
        <f>G8*G9</f>
        <v>46800000</v>
      </c>
      <c r="H5" s="15">
        <f>H8*H9</f>
        <v>99200000</v>
      </c>
      <c r="J5" s="12" t="s">
        <v>616</v>
      </c>
      <c r="K5" s="317">
        <v>0</v>
      </c>
      <c r="L5" s="317">
        <v>0.25</v>
      </c>
      <c r="M5" s="31">
        <v>1.3</v>
      </c>
      <c r="O5" s="32">
        <v>0.05</v>
      </c>
      <c r="P5" s="417">
        <v>0</v>
      </c>
      <c r="Q5" s="417">
        <v>5000000</v>
      </c>
      <c r="R5" s="18">
        <f xml:space="preserve">
IF(ISBLANK(Table_ChiPhiNV_ThueSuatTNCN[[#This Row],[Thu nhập tối đa]]),"",
Table_ChiPhiNV_ThueSuatTNCN[[#This Row],[Thuế suất]]*(Table_ChiPhiNV_ThueSuatTNCN[[#This Row],[Thu nhập tối đa]]-Table_ChiPhiNV_ThueSuatTNCN[[#This Row],[Thu nhập tối thiểu]]))</f>
        <v>250000</v>
      </c>
      <c r="S5" s="18" cm="1">
        <f t="array" ref="S5">+
IF(Table_ChiPhiNV_ThueSuatTNCN[[#This Row],[Thu nhập tối thiểu]]=0,0,
IFERROR(
SUM(_xlfn._xlws.FILTER(Table_ChiPhiNV_ThueSuatTNCN[Thuế tối đa],
(Table_ChiPhiNV_ThueSuatTNCN[Thuế suất]&lt;Table_ChiPhiNV_ThueSuatTNCN[[#This Row],[Thuế suất]])
)),0))</f>
        <v>0</v>
      </c>
      <c r="W5" s="8" t="s">
        <v>617</v>
      </c>
      <c r="X5" s="34" t="e">
        <f>VLOOKUP(X1,Table_NhanVien[],COUNTA(Table_NhanVien[[#Headers],[Mã NV]:[Lương gross]]),0)</f>
        <v>#N/A</v>
      </c>
      <c r="Y5" s="8" t="s">
        <v>618</v>
      </c>
      <c r="Z5" s="34" t="e">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#N/A</v>
      </c>
      <c r="AB5" s="12" t="s">
        <v>619</v>
      </c>
      <c r="AC5" s="338">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v>
      </c>
      <c r="AD5" s="338" t="e">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#NUM!</v>
      </c>
      <c r="AE5" s="338" t="e">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#NUM!</v>
      </c>
      <c r="AF5" s="338" t="e">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#NUM!</v>
      </c>
      <c r="AG5" s="338" t="e">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#NUM!</v>
      </c>
      <c r="AH5" s="338" t="e">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#NUM!</v>
      </c>
      <c r="AI5" s="338" t="e">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#NUM!</v>
      </c>
      <c r="AJ5" s="338" t="e">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#NUM!</v>
      </c>
      <c r="AK5" s="338" t="e">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#NUM!</v>
      </c>
      <c r="AL5" s="338" t="e">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#NUM!</v>
      </c>
      <c r="AM5" s="338" t="e">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#NUM!</v>
      </c>
      <c r="AN5" s="338" t="e">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#NUM!</v>
      </c>
      <c r="AO5" s="338" t="e">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#NUM!</v>
      </c>
      <c r="AP5" s="338" t="e">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#NUM!</v>
      </c>
      <c r="AQ5" s="338" t="e">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#NUM!</v>
      </c>
      <c r="AR5" s="338" t="e">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#NUM!</v>
      </c>
      <c r="AS5" s="338" t="e">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#NUM!</v>
      </c>
      <c r="AT5" s="338" t="e">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#NUM!</v>
      </c>
      <c r="AU5" s="338" t="e">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#NUM!</v>
      </c>
      <c r="AV5" s="338" t="e">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#NUM!</v>
      </c>
      <c r="AW5" s="338" t="e">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#NUM!</v>
      </c>
      <c r="AX5" s="338" t="e">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#NUM!</v>
      </c>
      <c r="AY5" s="338" t="e">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#NUM!</v>
      </c>
      <c r="AZ5" s="338" t="e">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#NUM!</v>
      </c>
      <c r="BA5" s="338" t="e">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#NUM!</v>
      </c>
      <c r="BB5" s="338" t="e">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#NUM!</v>
      </c>
      <c r="BC5" s="338" t="e">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#NUM!</v>
      </c>
      <c r="BD5" s="338" t="e">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#NUM!</v>
      </c>
      <c r="BE5" s="338" t="e">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#NUM!</v>
      </c>
      <c r="BF5" s="338" t="e">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#NUM!</v>
      </c>
      <c r="BG5" s="338" t="e">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#NUM!</v>
      </c>
    </row>
    <row r="6" spans="2:66" ht="18" customHeight="1" x14ac:dyDescent="0.3">
      <c r="B6" s="12" t="s">
        <v>620</v>
      </c>
      <c r="C6" s="15">
        <v>4410000</v>
      </c>
      <c r="E6" s="12" t="s">
        <v>621</v>
      </c>
      <c r="F6" s="30">
        <v>0.17499999999999999</v>
      </c>
      <c r="G6" s="31">
        <v>0.03</v>
      </c>
      <c r="H6" s="31">
        <v>0.01</v>
      </c>
      <c r="J6" s="12" t="s">
        <v>616</v>
      </c>
      <c r="K6" s="317">
        <v>0.25</v>
      </c>
      <c r="L6" s="317">
        <v>0.91666666666666663</v>
      </c>
      <c r="M6" s="31">
        <v>1</v>
      </c>
      <c r="O6" s="32">
        <v>0.1</v>
      </c>
      <c r="P6" s="417">
        <v>5000000</v>
      </c>
      <c r="Q6" s="417">
        <v>10000000</v>
      </c>
      <c r="R6" s="18">
        <f xml:space="preserve">
IF(ISBLANK(Table_ChiPhiNV_ThueSuatTNCN[[#This Row],[Thu nhập tối đa]]),"",
Table_ChiPhiNV_ThueSuatTNCN[[#This Row],[Thuế suất]]*(Table_ChiPhiNV_ThueSuatTNCN[[#This Row],[Thu nhập tối đa]]-Table_ChiPhiNV_ThueSuatTNCN[[#This Row],[Thu nhập tối thiểu]]))</f>
        <v>500000</v>
      </c>
      <c r="S6" s="18" cm="1">
        <f t="array" ref="S6">+
IF(Table_ChiPhiNV_ThueSuatTNCN[[#This Row],[Thu nhập tối thiểu]]=0,0,
IFERROR(
SUM(_xlfn._xlws.FILTER(Table_ChiPhiNV_ThueSuatTNCN[Thuế tối đa],
(Table_ChiPhiNV_ThueSuatTNCN[Thuế suất]&lt;Table_ChiPhiNV_ThueSuatTNCN[[#This Row],[Thuế suất]])
)),0))</f>
        <v>250000</v>
      </c>
      <c r="W6" s="8" t="s">
        <v>887</v>
      </c>
      <c r="X6" s="35" t="e">
        <f>SUM(AC9:BG57)/2*((X5-Z5)/Z3)</f>
        <v>#N/A</v>
      </c>
      <c r="Y6" s="8" t="s">
        <v>622</v>
      </c>
      <c r="Z6" s="7" t="e">
        <f>VLOOKUP(X1,Table_NhanVien[],COUNTA(Table_NhanVien[[#Headers],[Mã NV]:[Người phụ thuộc]]),0)</f>
        <v>#N/A</v>
      </c>
      <c r="AB6" s="7" t="s">
        <v>623</v>
      </c>
    </row>
    <row r="7" spans="2:66" ht="18" customHeight="1" x14ac:dyDescent="0.3">
      <c r="B7" s="12" t="s">
        <v>624</v>
      </c>
      <c r="C7" s="15">
        <v>3860000</v>
      </c>
      <c r="E7" s="12" t="s">
        <v>625</v>
      </c>
      <c r="F7" s="30">
        <v>0.08</v>
      </c>
      <c r="G7" s="30">
        <v>1.4999999999999999E-2</v>
      </c>
      <c r="H7" s="31">
        <v>0.01</v>
      </c>
      <c r="J7" s="12" t="s">
        <v>616</v>
      </c>
      <c r="K7" s="317">
        <v>0.91666666666666663</v>
      </c>
      <c r="L7" s="317">
        <v>0.99998842592592596</v>
      </c>
      <c r="M7" s="31">
        <v>1.3</v>
      </c>
      <c r="O7" s="32">
        <v>0.15</v>
      </c>
      <c r="P7" s="417">
        <v>10000000</v>
      </c>
      <c r="Q7" s="417">
        <v>18000000</v>
      </c>
      <c r="R7" s="18">
        <f xml:space="preserve">
IF(ISBLANK(Table_ChiPhiNV_ThueSuatTNCN[[#This Row],[Thu nhập tối đa]]),"",
Table_ChiPhiNV_ThueSuatTNCN[[#This Row],[Thuế suất]]*(Table_ChiPhiNV_ThueSuatTNCN[[#This Row],[Thu nhập tối đa]]-Table_ChiPhiNV_ThueSuatTNCN[[#This Row],[Thu nhập tối thiểu]]))</f>
        <v>1200000</v>
      </c>
      <c r="S7" s="18" cm="1">
        <f t="array" ref="S7">+
IF(Table_ChiPhiNV_ThueSuatTNCN[[#This Row],[Thu nhập tối thiểu]]=0,0,
IFERROR(
SUM(_xlfn._xlws.FILTER(Table_ChiPhiNV_ThueSuatTNCN[Thuế tối đa],
(Table_ChiPhiNV_ThueSuatTNCN[Thuế suất]&lt;Table_ChiPhiNV_ThueSuatTNCN[[#This Row],[Thuế suất]])
)),0))</f>
        <v>750000</v>
      </c>
      <c r="V7" s="46">
        <v>1</v>
      </c>
      <c r="W7" s="8" t="s">
        <v>884</v>
      </c>
      <c r="X7" s="339" t="e">
        <f>(SUMIF(AC9:BG57, "&gt;1", AC9:BG57)-COUNTIF(AC9:BG57, "&gt;1"))/2*((X5-Z5)/Z3)</f>
        <v>#N/A</v>
      </c>
      <c r="Y7" s="7" t="s">
        <v>1231</v>
      </c>
      <c r="Z7" s="7">
        <f>COUNTIF(AC8:BG8,"Lương")</f>
        <v>0</v>
      </c>
      <c r="AA7" s="540" t="e" cm="1">
        <f t="array" ref="AA7">VLOOKUP($X$1,Table_NhanVien[],COUNTA(Table_NhanVien[[#Headers],[Mã NV]:[Nghỉ phép năm]]),0)
-IFERROR(
SUM(_xlfn._xlws.FILTER(Table_ChiPhiNV[Ngày nghỉ phép],
(Table_ChiPhiNV[Nhân viên] = $X$1)*
(Table_ChiPhiNV[Năm] = BangLuong_Nam) *
(Table_ChiPhiNV[Tháng] &lt; BangLuong_Thang)
)),0)
-Z7</f>
        <v>#N/A</v>
      </c>
      <c r="AB7" s="12" t="s">
        <v>626</v>
      </c>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I7" s="445"/>
      <c r="BJ7" s="446"/>
      <c r="BK7" s="447">
        <f ca="1">NOW()</f>
        <v>45852.554149421296</v>
      </c>
      <c r="BL7" s="449">
        <f ca="1">INT(BK7)</f>
        <v>45852</v>
      </c>
      <c r="BM7" s="450">
        <f ca="1">BK7-BL7</f>
        <v>0.55414942129573319</v>
      </c>
      <c r="BN7" s="448"/>
    </row>
    <row r="8" spans="2:66" ht="18" customHeight="1" x14ac:dyDescent="0.3">
      <c r="B8" s="12" t="s">
        <v>627</v>
      </c>
      <c r="C8" s="15">
        <v>3450000</v>
      </c>
      <c r="E8" s="12" t="s">
        <v>628</v>
      </c>
      <c r="F8" s="15">
        <v>2340000</v>
      </c>
      <c r="G8" s="15">
        <v>2340000</v>
      </c>
      <c r="H8" s="15">
        <f>VLOOKUP(Z1,Table_ChiPhiNV_LuongToiThieu[],2,0)</f>
        <v>4960000</v>
      </c>
      <c r="J8" s="12" t="s">
        <v>633</v>
      </c>
      <c r="K8" s="317">
        <v>0</v>
      </c>
      <c r="L8" s="317">
        <v>0.25</v>
      </c>
      <c r="M8" s="31">
        <v>2.7</v>
      </c>
      <c r="O8" s="32">
        <v>0.2</v>
      </c>
      <c r="P8" s="417">
        <v>18000000</v>
      </c>
      <c r="Q8" s="417">
        <v>32000000</v>
      </c>
      <c r="R8" s="18">
        <f xml:space="preserve">
IF(ISBLANK(Table_ChiPhiNV_ThueSuatTNCN[[#This Row],[Thu nhập tối đa]]),"",
Table_ChiPhiNV_ThueSuatTNCN[[#This Row],[Thuế suất]]*(Table_ChiPhiNV_ThueSuatTNCN[[#This Row],[Thu nhập tối đa]]-Table_ChiPhiNV_ThueSuatTNCN[[#This Row],[Thu nhập tối thiểu]]))</f>
        <v>2800000</v>
      </c>
      <c r="S8" s="18" cm="1">
        <f t="array" ref="S8">+
IF(Table_ChiPhiNV_ThueSuatTNCN[[#This Row],[Thu nhập tối thiểu]]=0,0,
IFERROR(
SUM(_xlfn._xlws.FILTER(Table_ChiPhiNV_ThueSuatTNCN[Thuế tối đa],
(Table_ChiPhiNV_ThueSuatTNCN[Thuế suất]&lt;Table_ChiPhiNV_ThueSuatTNCN[[#This Row],[Thuế suất]])
)),0))</f>
        <v>1950000</v>
      </c>
      <c r="V8" s="7" t="s">
        <v>629</v>
      </c>
      <c r="W8" s="7" t="s">
        <v>250</v>
      </c>
      <c r="X8" s="7" t="s">
        <v>251</v>
      </c>
      <c r="Y8" s="7" t="s">
        <v>630</v>
      </c>
      <c r="Z8" s="7" t="s">
        <v>631</v>
      </c>
      <c r="AA8" s="7" t="s">
        <v>873</v>
      </c>
      <c r="AB8" s="12" t="s">
        <v>1229</v>
      </c>
      <c r="BI8" s="7" t="s">
        <v>32</v>
      </c>
      <c r="BJ8" s="7" t="s">
        <v>875</v>
      </c>
      <c r="BK8" s="7" t="s">
        <v>1000</v>
      </c>
      <c r="BL8" s="7" t="s">
        <v>0</v>
      </c>
      <c r="BM8" s="7" t="s">
        <v>1001</v>
      </c>
      <c r="BN8" s="7" t="s">
        <v>873</v>
      </c>
    </row>
    <row r="9" spans="2:66" ht="18" customHeight="1" outlineLevel="1" x14ac:dyDescent="0.3">
      <c r="E9" s="12" t="s">
        <v>632</v>
      </c>
      <c r="F9" s="7">
        <v>20</v>
      </c>
      <c r="G9" s="7">
        <v>20</v>
      </c>
      <c r="H9" s="7">
        <v>20</v>
      </c>
      <c r="J9" s="12" t="s">
        <v>633</v>
      </c>
      <c r="K9" s="317">
        <v>0.25</v>
      </c>
      <c r="L9" s="317">
        <v>0.91666666666666663</v>
      </c>
      <c r="M9" s="31">
        <v>2</v>
      </c>
      <c r="O9" s="32">
        <v>0.25</v>
      </c>
      <c r="P9" s="417">
        <v>32000000</v>
      </c>
      <c r="Q9" s="417">
        <v>52000000</v>
      </c>
      <c r="R9" s="18">
        <f xml:space="preserve">
IF(ISBLANK(Table_ChiPhiNV_ThueSuatTNCN[[#This Row],[Thu nhập tối đa]]),"",
Table_ChiPhiNV_ThueSuatTNCN[[#This Row],[Thuế suất]]*(Table_ChiPhiNV_ThueSuatTNCN[[#This Row],[Thu nhập tối đa]]-Table_ChiPhiNV_ThueSuatTNCN[[#This Row],[Thu nhập tối thiểu]]))</f>
        <v>5000000</v>
      </c>
      <c r="S9" s="18" cm="1">
        <f t="array" ref="S9">+
IF(Table_ChiPhiNV_ThueSuatTNCN[[#This Row],[Thu nhập tối thiểu]]=0,0,
IFERROR(
SUM(_xlfn._xlws.FILTER(Table_ChiPhiNV_ThueSuatTNCN[Thuế tối đa],
(Table_ChiPhiNV_ThueSuatTNCN[Thuế suất]&lt;Table_ChiPhiNV_ThueSuatTNCN[[#This Row],[Thuế suất]])
)),0))</f>
        <v>4750000</v>
      </c>
      <c r="V9" s="12" t="s">
        <v>634</v>
      </c>
      <c r="W9" s="318">
        <v>0.33333333333333298</v>
      </c>
      <c r="X9" s="318">
        <v>0.70833333333333304</v>
      </c>
      <c r="Y9" s="318">
        <v>0.5</v>
      </c>
      <c r="Z9" s="318">
        <v>0.54166666666666696</v>
      </c>
      <c r="AB9" s="318">
        <v>0</v>
      </c>
      <c r="AC9" s="37"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37"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37"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37"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37"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37"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37"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37"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37"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37"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37"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37"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37"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37"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37"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37"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37"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37"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37"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37"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37"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37"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37"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37"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37"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37"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37"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37"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37"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37"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37"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K9" s="447"/>
      <c r="BL9" s="449">
        <f>INT(Table_ChiPhiNV_ChamCong[[#This Row],[Thời điểm]])</f>
        <v>0</v>
      </c>
      <c r="BM9" s="450">
        <f>Table_ChiPhiNV_ChamCong[[#This Row],[Thời điểm]]-Table_ChiPhiNV_ChamCong[[#This Row],[Ngày]]</f>
        <v>0</v>
      </c>
    </row>
    <row r="10" spans="2:66" ht="18" customHeight="1" outlineLevel="1" x14ac:dyDescent="0.3">
      <c r="J10" s="12" t="s">
        <v>633</v>
      </c>
      <c r="K10" s="317">
        <v>0.91666666666666663</v>
      </c>
      <c r="L10" s="317">
        <v>0.99998842592592596</v>
      </c>
      <c r="M10" s="31">
        <v>2.7</v>
      </c>
      <c r="O10" s="32">
        <v>0.3</v>
      </c>
      <c r="P10" s="417">
        <v>52000000</v>
      </c>
      <c r="Q10" s="417">
        <v>80000000</v>
      </c>
      <c r="R10" s="18">
        <f xml:space="preserve">
IF(ISBLANK(Table_ChiPhiNV_ThueSuatTNCN[[#This Row],[Thu nhập tối đa]]),"",
Table_ChiPhiNV_ThueSuatTNCN[[#This Row],[Thuế suất]]*(Table_ChiPhiNV_ThueSuatTNCN[[#This Row],[Thu nhập tối đa]]-Table_ChiPhiNV_ThueSuatTNCN[[#This Row],[Thu nhập tối thiểu]]))</f>
        <v>8400000</v>
      </c>
      <c r="S10" s="18" cm="1">
        <f t="array" ref="S10">+
IF(Table_ChiPhiNV_ThueSuatTNCN[[#This Row],[Thu nhập tối thiểu]]=0,0,
IFERROR(
SUM(_xlfn._xlws.FILTER(Table_ChiPhiNV_ThueSuatTNCN[Thuế tối đa],
(Table_ChiPhiNV_ThueSuatTNCN[Thuế suất]&lt;Table_ChiPhiNV_ThueSuatTNCN[[#This Row],[Thuế suất]])
)),0))</f>
        <v>9750000</v>
      </c>
      <c r="V10" s="12" t="s">
        <v>635</v>
      </c>
      <c r="W10" s="318">
        <v>0.66666666666666696</v>
      </c>
      <c r="X10" s="318">
        <v>4.1666666666666664E-2</v>
      </c>
      <c r="Y10" s="318">
        <v>0.83333333333333304</v>
      </c>
      <c r="Z10" s="318">
        <v>0.875</v>
      </c>
      <c r="AB10" s="318">
        <v>2.0833333333333332E-2</v>
      </c>
      <c r="AC10" s="37"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37"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37"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37"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37"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37"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37"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37"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37"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37"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37"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37"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37"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37"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37"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37"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37"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37"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37"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37"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37"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37"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37"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37"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37"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37"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37"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37"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37"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37"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37"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row>
    <row r="11" spans="2:66" ht="18" customHeight="1" outlineLevel="1" x14ac:dyDescent="0.3">
      <c r="J11" s="12" t="s">
        <v>637</v>
      </c>
      <c r="K11" s="317">
        <v>0</v>
      </c>
      <c r="L11" s="317">
        <v>0.25</v>
      </c>
      <c r="M11" s="31">
        <v>3.9</v>
      </c>
      <c r="O11" s="32">
        <v>0.35</v>
      </c>
      <c r="P11" s="417">
        <v>80000000</v>
      </c>
      <c r="Q11" s="417"/>
      <c r="R11" s="18" t="str">
        <f xml:space="preserve">
IF(ISBLANK(Table_ChiPhiNV_ThueSuatTNCN[[#This Row],[Thu nhập tối đa]]),"",
Table_ChiPhiNV_ThueSuatTNCN[[#This Row],[Thuế suất]]*(Table_ChiPhiNV_ThueSuatTNCN[[#This Row],[Thu nhập tối đa]]-Table_ChiPhiNV_ThueSuatTNCN[[#This Row],[Thu nhập tối thiểu]]))</f>
        <v/>
      </c>
      <c r="S11" s="18" cm="1">
        <f t="array" ref="S11">+
IF(Table_ChiPhiNV_ThueSuatTNCN[[#This Row],[Thu nhập tối thiểu]]=0,0,
IFERROR(
SUM(_xlfn._xlws.FILTER(Table_ChiPhiNV_ThueSuatTNCN[Thuế tối đa],
(Table_ChiPhiNV_ThueSuatTNCN[Thuế suất]&lt;Table_ChiPhiNV_ThueSuatTNCN[[#This Row],[Thuế suất]])
)),0))</f>
        <v>18150000</v>
      </c>
      <c r="V11" s="12" t="s">
        <v>636</v>
      </c>
      <c r="W11" s="318">
        <v>0</v>
      </c>
      <c r="X11" s="318">
        <v>0.375</v>
      </c>
      <c r="Y11" s="318">
        <v>0.16666666666666699</v>
      </c>
      <c r="Z11" s="318">
        <v>0.20833333333333301</v>
      </c>
      <c r="AB11" s="318">
        <v>4.1666666666666664E-2</v>
      </c>
      <c r="AC11" s="37"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37"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37"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37"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37"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37"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37"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37"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37"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37"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37"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37"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37"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37"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37"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37"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37"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37"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37"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37"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37"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37"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37"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37"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37"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37"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37"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37"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37"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37"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37"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row>
    <row r="12" spans="2:66" ht="18" customHeight="1" outlineLevel="1" x14ac:dyDescent="0.3">
      <c r="J12" s="12" t="s">
        <v>637</v>
      </c>
      <c r="K12" s="317">
        <v>0.25</v>
      </c>
      <c r="L12" s="317">
        <v>0.91666666666666663</v>
      </c>
      <c r="M12" s="31">
        <v>3</v>
      </c>
      <c r="AB12" s="318">
        <v>6.25E-2</v>
      </c>
      <c r="AC12" s="37"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37"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37"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37"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37"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37"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37"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37"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37"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37"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37"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37"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37"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37"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37"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37"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37"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37"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37"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37"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37"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37"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37"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37"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37"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37"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37"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37"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37"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37"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37"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row>
    <row r="13" spans="2:66" ht="18" customHeight="1" outlineLevel="1" x14ac:dyDescent="0.3">
      <c r="J13" s="12" t="s">
        <v>637</v>
      </c>
      <c r="K13" s="317">
        <v>0.91666666666666663</v>
      </c>
      <c r="L13" s="317">
        <v>0.99998842592592596</v>
      </c>
      <c r="M13" s="31">
        <v>3.9</v>
      </c>
      <c r="AB13" s="318">
        <v>8.3333333333333301E-2</v>
      </c>
      <c r="AC13" s="37"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37"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37"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37"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37"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37"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37"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37"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37"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37"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37"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37"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37"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37"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37"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37"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37"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37"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37"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37"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37"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37"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37"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37"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37"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37"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37"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37"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37"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37"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37"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66" ht="18" customHeight="1" outlineLevel="1" x14ac:dyDescent="0.3">
      <c r="AB14" s="318">
        <v>0.104166666666667</v>
      </c>
      <c r="AC14" s="37"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37"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37"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37"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37"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37"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37"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37"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37"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37"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37"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37"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37"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37"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37"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37"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37"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37"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37"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37"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37"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37"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37"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37"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37"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37"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37"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37"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37"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37"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37"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66" ht="18" customHeight="1" outlineLevel="1" x14ac:dyDescent="0.3">
      <c r="X15" s="211"/>
      <c r="AB15" s="318">
        <v>0.125</v>
      </c>
      <c r="AC15" s="37"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37"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37"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37"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37"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37"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37"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37"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37"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37"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37"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37"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37"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37"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37"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37"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37"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37"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37"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37"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37"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37"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37"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37"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37"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37"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37"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37"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37"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37"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37"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66" ht="18" customHeight="1" outlineLevel="1" x14ac:dyDescent="0.3">
      <c r="AB16" s="318">
        <v>0.14583333333333301</v>
      </c>
      <c r="AC16" s="37"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37"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37"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37"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37"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37"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37"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37"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37"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37"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37"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37"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37"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37"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37"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37"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37"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37"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37"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37"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37"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37"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37"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37"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37"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37"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37"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37"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37"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37"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37"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318">
        <v>0.16666666666666699</v>
      </c>
      <c r="AC17" s="37"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37"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37"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37"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37"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37"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37"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37"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37"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37"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37"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37"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37"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37"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37"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37"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37"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37"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37"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37"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37"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37"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37"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37"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37"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37"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37"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37"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37"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37"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37"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318">
        <v>0.1875</v>
      </c>
      <c r="AC18" s="37"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37"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37"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37"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37"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37"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37"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37"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37"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37"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37"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37"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37"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37"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37"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37"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37"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37"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37"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37"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37"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37"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37"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37"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37"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37"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37"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37"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37"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37"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37"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444"/>
      <c r="AB19" s="318">
        <v>0.20833333333333301</v>
      </c>
      <c r="AC19" s="37"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37"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37"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37"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37"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37"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37"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37"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37"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37"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37"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37"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37"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37"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37"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37"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37"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37"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37"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37"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37"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37"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37"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37"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37"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37"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37"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37"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37"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37"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37"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211"/>
      <c r="AB20" s="318">
        <v>0.22916666666666699</v>
      </c>
      <c r="AC20" s="37"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37"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37"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37"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37"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37"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37"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37"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37"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37"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37"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37"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37"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37"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37"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37"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37"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37"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37"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37"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37"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37"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37"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37"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37"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37"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37"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37"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37"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37"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37"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318">
        <v>0.25</v>
      </c>
      <c r="AC21" s="37"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37"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37"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37"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37"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37"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37"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37"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37"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37"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37"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37"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37"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37"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37"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37"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37"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37"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37"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37"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37"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37"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37"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37"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37"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37"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37"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37"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37"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37"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37"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12"/>
      <c r="K22" s="12"/>
      <c r="L22" s="12"/>
      <c r="M22" s="12"/>
      <c r="AB22" s="318">
        <v>0.27083333333333298</v>
      </c>
      <c r="AC22" s="37"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37"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37"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37"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37"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37"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37"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37"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37"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37"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37"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37"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37"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37"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37"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37"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37"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37"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37"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37"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37"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37"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37"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37"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37"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37"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37"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37"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37"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37"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37"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28"/>
      <c r="K23" s="28"/>
      <c r="L23" s="28"/>
      <c r="M23" s="28"/>
      <c r="AB23" s="318">
        <v>0.29166666666666702</v>
      </c>
      <c r="AC23" s="37"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37"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37"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37"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37"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37"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37"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37"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37"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37"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37"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37"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37"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37"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37"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37"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37"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37"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37"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37"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37"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37"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37"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37"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37"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37"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37"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37"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37"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37"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37"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28"/>
      <c r="K24" s="28"/>
      <c r="L24" s="28"/>
      <c r="M24" s="28"/>
      <c r="AB24" s="318">
        <v>0.3125</v>
      </c>
      <c r="AC24" s="37"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37"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37"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37"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37"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37"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37"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37"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37"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37"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37"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37"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37"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37"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37"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37"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37"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37"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37"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37"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37"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37"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37"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37"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37"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37"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37"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37"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37"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37"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37"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12"/>
      <c r="C25" s="12"/>
      <c r="D25" s="12"/>
      <c r="E25" s="12"/>
      <c r="F25" s="12"/>
      <c r="G25" s="12"/>
      <c r="H25" s="12"/>
      <c r="I25" s="12"/>
      <c r="J25" s="28"/>
      <c r="K25" s="28"/>
      <c r="L25" s="28"/>
      <c r="M25" s="28"/>
      <c r="N25" s="12"/>
      <c r="AB25" s="318">
        <v>0.33333333333333298</v>
      </c>
      <c r="AC25" s="37"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37"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37"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37"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37"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37"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37"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37"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37"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37"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37"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37"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37"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37"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37"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37"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37"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37"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37"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37"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37"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37"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37"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37"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37"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37"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37"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37"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37"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37"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37"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28"/>
      <c r="C26" s="28"/>
      <c r="D26" s="28"/>
      <c r="E26" s="28"/>
      <c r="F26" s="28"/>
      <c r="G26" s="28"/>
      <c r="H26" s="28"/>
      <c r="I26" s="28"/>
      <c r="J26" s="28"/>
      <c r="K26" s="28"/>
      <c r="L26" s="28"/>
      <c r="M26" s="28"/>
      <c r="N26" s="28"/>
      <c r="AB26" s="318">
        <v>0.35416666666666702</v>
      </c>
      <c r="AC26" s="37"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D26" s="37"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37"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37"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37"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H26" s="37"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37"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37"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37"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37"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37"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37"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37"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37"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37"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37"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37"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37"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37"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37"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37"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37"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37"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37"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37"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37"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37"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37"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37"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37"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37"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28"/>
      <c r="C27" s="28"/>
      <c r="D27" s="28"/>
      <c r="E27" s="28"/>
      <c r="F27" s="28"/>
      <c r="G27" s="28"/>
      <c r="H27" s="28"/>
      <c r="I27" s="28"/>
      <c r="J27" s="28"/>
      <c r="K27" s="28"/>
      <c r="L27" s="28"/>
      <c r="M27" s="28"/>
      <c r="N27" s="28"/>
      <c r="O27" s="28"/>
      <c r="P27" s="28"/>
      <c r="Q27" s="28"/>
      <c r="R27" s="28"/>
      <c r="S27" s="28"/>
      <c r="AB27" s="318">
        <v>0.375</v>
      </c>
      <c r="AC27" s="37"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D27" s="37"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E27" s="37"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37"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37"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H27" s="37"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37"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37"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37"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37"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37"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37"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37"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37"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37"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37"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37"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37"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37"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37"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37"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37"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37"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37"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37"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37"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37"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37"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37"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37"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37"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28"/>
      <c r="C28" s="28"/>
      <c r="D28" s="28"/>
      <c r="E28" s="28"/>
      <c r="F28" s="28"/>
      <c r="G28" s="28"/>
      <c r="H28" s="28"/>
      <c r="I28" s="28"/>
      <c r="J28" s="28"/>
      <c r="K28" s="28"/>
      <c r="L28" s="28"/>
      <c r="M28" s="28"/>
      <c r="N28" s="28"/>
      <c r="O28" s="28"/>
      <c r="P28" s="28"/>
      <c r="Q28" s="28"/>
      <c r="R28" s="28"/>
      <c r="S28" s="28"/>
      <c r="AB28" s="318">
        <v>0.39583333333333298</v>
      </c>
      <c r="AC28" s="37"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D28" s="37"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E28" s="37"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37"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37"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H28" s="37"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37"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37"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37"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37"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37"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37"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37"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37"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37"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37"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37"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37"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37"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37"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37"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37"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37"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37"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37"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37"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37"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37"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37"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37"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37"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28"/>
      <c r="C29" s="28"/>
      <c r="D29" s="28"/>
      <c r="E29" s="28"/>
      <c r="F29" s="28"/>
      <c r="G29" s="28"/>
      <c r="H29" s="28"/>
      <c r="I29" s="28"/>
      <c r="J29" s="28"/>
      <c r="K29" s="28"/>
      <c r="L29" s="28"/>
      <c r="M29" s="28"/>
      <c r="N29" s="28"/>
      <c r="O29" s="28"/>
      <c r="P29" s="28"/>
      <c r="Q29" s="28"/>
      <c r="R29" s="28"/>
      <c r="S29" s="28"/>
      <c r="AB29" s="318">
        <v>0.41666666666666702</v>
      </c>
      <c r="AC29" s="37"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D29" s="37"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E29" s="37"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37"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37"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H29" s="37"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37"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37"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37"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37"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37"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37"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37"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37"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37"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37"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37"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37"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37"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37"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37"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37"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37"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37"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37"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37"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37"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37"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37"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37"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37"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28"/>
      <c r="C30" s="28"/>
      <c r="D30" s="28"/>
      <c r="E30" s="28"/>
      <c r="F30" s="28"/>
      <c r="G30" s="28"/>
      <c r="H30" s="28"/>
      <c r="I30" s="28"/>
      <c r="J30" s="28"/>
      <c r="K30" s="28"/>
      <c r="L30" s="28"/>
      <c r="M30" s="28"/>
      <c r="N30" s="28"/>
      <c r="O30" s="28"/>
      <c r="P30" s="28"/>
      <c r="Q30" s="28"/>
      <c r="R30" s="28"/>
      <c r="S30" s="28"/>
      <c r="AB30" s="318">
        <v>0.4375</v>
      </c>
      <c r="AC30" s="37"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D30" s="37"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E30" s="37"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37"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37"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H30" s="37"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37"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37"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37"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37"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37"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37"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37"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37"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37"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37"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37"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37"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37"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37"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37"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37"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37"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37"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37"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37"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37"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37"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37"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37"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37"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28"/>
      <c r="C31" s="28"/>
      <c r="D31" s="28"/>
      <c r="E31" s="28"/>
      <c r="F31" s="28"/>
      <c r="G31" s="28"/>
      <c r="H31" s="28"/>
      <c r="I31" s="28"/>
      <c r="N31" s="28"/>
      <c r="O31" s="28"/>
      <c r="P31" s="28"/>
      <c r="Q31" s="28"/>
      <c r="R31" s="28"/>
      <c r="S31" s="28"/>
      <c r="AB31" s="318">
        <v>0.45833333333333298</v>
      </c>
      <c r="AC31" s="37"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D31" s="37"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E31" s="37"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37"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37"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H31" s="37"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37"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37"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37"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37"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37"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37"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37"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37"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37"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37"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37"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37"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37"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37"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37"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37"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37"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37"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37"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37"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37"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37"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37"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37"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37"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28"/>
      <c r="C32" s="28"/>
      <c r="D32" s="28"/>
      <c r="E32" s="28"/>
      <c r="F32" s="28"/>
      <c r="G32" s="28"/>
      <c r="H32" s="28"/>
      <c r="I32" s="28"/>
      <c r="N32" s="28"/>
      <c r="AB32" s="318">
        <v>0.47916666666666702</v>
      </c>
      <c r="AC32" s="37"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D32" s="37"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E32" s="37"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37"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37"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H32" s="37"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37"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37"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37"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37"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37"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37"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37"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37"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37"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37"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37"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37"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37"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37"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37"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37"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37"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37"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37"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37"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37"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37"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37"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37"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37"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28"/>
      <c r="C33" s="28"/>
      <c r="D33" s="28"/>
      <c r="E33" s="28"/>
      <c r="F33" s="28"/>
      <c r="G33" s="28"/>
      <c r="H33" s="28"/>
      <c r="I33" s="28"/>
      <c r="N33" s="28"/>
      <c r="AB33" s="318">
        <v>0.5</v>
      </c>
      <c r="AC33" s="37"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37"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37"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37"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37"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37"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37"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37"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37"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37"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37"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37"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37"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37"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37"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37"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37"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37"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37"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37"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37"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37"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37"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37"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37"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37"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37"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37"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37"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37"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37"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318">
        <v>0.52083333333333304</v>
      </c>
      <c r="AC34" s="37"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37"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37"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37"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37"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37"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37"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37"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37"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37"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37"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37"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37"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37"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37"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37"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37"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37"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37"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37"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37"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37"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37"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37"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37"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37"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37"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37"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37"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37"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37"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318">
        <v>0.54166666666666696</v>
      </c>
      <c r="AC35" s="37"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D35" s="37"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E35" s="37"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37"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37"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H35" s="37"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37"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37"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37"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37"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37"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37"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37"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37"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37"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37"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37"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37"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37"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37"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37"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37"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37"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37"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37"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37"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37"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37"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37"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37"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37"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318">
        <v>0.5625</v>
      </c>
      <c r="AC36" s="37"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D36" s="37"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E36" s="37"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37"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37"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H36" s="37"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37"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37"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37"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37"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37"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37"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37"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37"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37"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37"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37"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37"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37"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37"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37"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37"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37"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37"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37"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37"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37"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37"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37"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37"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37"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318">
        <v>0.58333333333333304</v>
      </c>
      <c r="AC37" s="37"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D37" s="37"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E37" s="37"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37"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37"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H37" s="37"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37"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37"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37"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37"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37"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37"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37"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37"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37"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37"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37"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37"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37"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37"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37"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37"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37"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37"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37"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37"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37"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37"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37"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37"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37"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318">
        <v>0.60416666666666696</v>
      </c>
      <c r="AC38" s="37"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D38" s="37"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E38" s="37"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37"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37"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H38" s="37"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37"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37"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37"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37"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37"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37"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37"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37"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37"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37"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37"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37"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37"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37"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37"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37"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37"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37"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37"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37"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37"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37"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37"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37"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37"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318">
        <v>0.625</v>
      </c>
      <c r="AC39" s="37"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D39" s="37"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E39" s="37"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37"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37"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H39" s="37"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37"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37"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37"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37"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37"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37"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37"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37"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37"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37"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37"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37"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37"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37"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37"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37"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37"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37"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37"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37"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37"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37"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37"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37"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37"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318">
        <v>0.64583333333333304</v>
      </c>
      <c r="AC40" s="37"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D40" s="37"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E40" s="37"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37"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37"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H40" s="37"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37"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37"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37"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37"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37"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37"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37"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37"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37"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37"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37"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37"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37"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37"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37"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37"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37"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37"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37"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37"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37"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37"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37"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37"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37"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318">
        <v>0.66666666666666696</v>
      </c>
      <c r="AC41" s="37"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D41" s="37"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E41" s="37"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37"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37"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H41" s="37"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37"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37"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37"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37"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37"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37"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37"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37"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37"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37"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37"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37"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37"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37"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37"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37"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37"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37"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37"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37"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37"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37"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37"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37"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37"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318">
        <v>0.6875</v>
      </c>
      <c r="AC42" s="37"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D42" s="37"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E42" s="37"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37"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37"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H42" s="37"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37"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37"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37"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37"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37"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37"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37"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37"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37"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37"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37"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37"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37"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37"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37"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37"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37"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37"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37"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37"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37"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37"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37"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37"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37"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318">
        <v>0.70833333333333304</v>
      </c>
      <c r="AC43" s="37"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37"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E43" s="37"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37"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37"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H43" s="37"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37"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37"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37"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37"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37"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37"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37"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37"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37"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37"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37"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37"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37"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37"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37"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37"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37"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37"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37"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37"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37"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37"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37"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37"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37"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318">
        <v>0.72916666666666696</v>
      </c>
      <c r="AC44" s="37"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37"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E44" s="37"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37"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37"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37"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37"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37"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37"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37"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37"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37"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37"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37"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37"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37"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37"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37"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37"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37"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37"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37"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37"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37"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37"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37"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37"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37"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37"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37"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37"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318">
        <v>0.75</v>
      </c>
      <c r="AC45" s="37"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37"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E45" s="37"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37"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37"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37"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37"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37"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37"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37"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37"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37"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37"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37"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37"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37"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37"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37"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37"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37"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37"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37"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37"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37"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37"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37"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37"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37"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37"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37"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37"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318">
        <v>0.77083333333333304</v>
      </c>
      <c r="AC46" s="37"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37"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E46" s="37"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37"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37"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37"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37"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37"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37"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37"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37"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37"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37"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37"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37"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37"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37"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37"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37"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37"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37"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37"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37"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37"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37"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37"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37"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37"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37"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37"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37"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318">
        <v>0.79166666666666696</v>
      </c>
      <c r="AC47" s="37"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37"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E47" s="37"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37"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37"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37"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37"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37"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37"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37"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37"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37"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37"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37"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37"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37"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37"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37"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37"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37"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37"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37"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37"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37"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37"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37"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37"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37"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37"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37"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37"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318">
        <v>0.8125</v>
      </c>
      <c r="AC48" s="37"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37"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E48" s="37"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37"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37"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37"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37"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37"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37"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37"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37"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37"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37"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37"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37"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37"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37"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37"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37"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37"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37"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37"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37"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37"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37"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37"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37"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37"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37"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37"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37"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7:59" ht="18" customHeight="1" outlineLevel="1" x14ac:dyDescent="0.3">
      <c r="AA49" s="12"/>
      <c r="AB49" s="318">
        <v>0.83333333333333304</v>
      </c>
      <c r="AC49" s="37"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37"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E49" s="37"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37"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37"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37"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37"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37"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37"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37"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37"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37"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37"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37"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37"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37"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37"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37"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37"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37"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37"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37"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37"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37"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37"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37"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37"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37"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37"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37"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37"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7:59" ht="18" customHeight="1" outlineLevel="1" x14ac:dyDescent="0.3">
      <c r="AA50" s="28"/>
      <c r="AB50" s="318">
        <v>0.85416666666666696</v>
      </c>
      <c r="AC50" s="37"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37"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E50" s="37"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37"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37"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37"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37"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37"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37"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37"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37"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37"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37"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37"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37"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37"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37"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37"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37"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37"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37"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37"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37"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37"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37"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37"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37"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37"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37"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37"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37"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7:59" ht="18" customHeight="1" outlineLevel="1" x14ac:dyDescent="0.3">
      <c r="AA51" s="28"/>
      <c r="AB51" s="318">
        <v>0.875</v>
      </c>
      <c r="AC51" s="37"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37"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E51" s="37"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37"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37"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37"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37"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37"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37"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37"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37"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37"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37"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37"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37"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37"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37"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37"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37"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37"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37"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37"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37"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37"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37"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37"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37"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37"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37"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37"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37"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7:59" ht="18" customHeight="1" outlineLevel="1" x14ac:dyDescent="0.3">
      <c r="AA52" s="28"/>
      <c r="AB52" s="318">
        <v>0.89583333333333304</v>
      </c>
      <c r="AC52" s="37"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37"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E52" s="37"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37"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37"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37"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37"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37"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37"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37"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37"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37"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37"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37"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37"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37"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37"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37"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37"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37"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37"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37"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37"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37"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37"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37"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37"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37"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37"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37"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37"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7:59" ht="18" customHeight="1" outlineLevel="1" x14ac:dyDescent="0.3">
      <c r="AA53" s="28"/>
      <c r="AB53" s="318">
        <v>0.91666666666666696</v>
      </c>
      <c r="AC53" s="37"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37"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E53" s="37"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37"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37"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37"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37"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37"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37"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37"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37"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37"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37"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37"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37"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37"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37"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37"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37"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37"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37"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37"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37"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37"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37"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37"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37"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37"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37"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37"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37"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7:59" ht="18" customHeight="1" outlineLevel="1" x14ac:dyDescent="0.3">
      <c r="AA54" s="28"/>
      <c r="AB54" s="318">
        <v>0.9375</v>
      </c>
      <c r="AC54" s="37"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37"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37"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37"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37"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37"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37"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37"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37"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37"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37"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37"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37"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37"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37"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37"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37"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37"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37"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37"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37"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37"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37"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37"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37"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37"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37"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37"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37"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37"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37"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7:59" ht="18" customHeight="1" outlineLevel="1" x14ac:dyDescent="0.3">
      <c r="AA55" s="28"/>
      <c r="AB55" s="318">
        <v>0.95833333333333304</v>
      </c>
      <c r="AC55" s="37"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37"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37"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37"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37"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37"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37"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37"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37"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37"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37"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37"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37"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37"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37"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37"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37"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37"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37"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37"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37"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37"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37"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37"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37"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37"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37"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37"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37"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37"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37"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7:59" ht="18" customHeight="1" outlineLevel="1" x14ac:dyDescent="0.3">
      <c r="AA56" s="28"/>
      <c r="AB56" s="318">
        <v>0.97916666666666696</v>
      </c>
      <c r="AC56" s="37"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37"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37"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37"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37"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37"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37"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37"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37"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37"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37"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37"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37"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37"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37"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37"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37"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37"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37"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37"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37"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37"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37"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37"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37"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37"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37"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37"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37"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37"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37"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7:59" ht="18" customHeight="1" outlineLevel="1" x14ac:dyDescent="0.3">
      <c r="AA57" s="28"/>
      <c r="AB57" s="318">
        <v>0.99930555555555556</v>
      </c>
      <c r="AC57" s="37"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37"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37"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37"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37"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37"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37"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37"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37"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37"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37"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37"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37"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37"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37"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37"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37"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37"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37"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37"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37"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37"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37"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37"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37"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37"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37"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37"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37"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37"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37"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IyMH9h2ywPXguTQbIqRJaqtvFxxVmNw/zmV8nWv7KgzppLzxoyyuPbYmOCFsf80obqkxMEzUSKVl7ykMULkoDg==" saltValue="fJDk7wETDpbQNwTIgD7Y+A==" spinCount="100000" sheet="1" scenarios="1" formatCells="0" formatColumns="0" formatRows="0" insertColumns="0" insertRows="0" deleteColumns="0" deleteRows="0" sort="0" autoFilter="0" pivotTables="0"/>
  <protectedRanges>
    <protectedRange sqref="Y1:Z1 B4:C8 E4:H9" name="Range1_1"/>
    <protectedRange sqref="W1" name="Range1_2_1_1_1"/>
    <protectedRange sqref="W2 Y2:Y3 W5:W7 Y5:Y6" name="Range1_3"/>
  </protectedRanges>
  <phoneticPr fontId="14" type="noConversion"/>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 xr:uid="{F35C762C-56A3-43C0-BE48-3877FA70D110}">
      <formula1>"Vào, Ra"</formula1>
    </dataValidation>
    <dataValidation type="list" allowBlank="1" showInputMessage="1" sqref="BJ9" xr:uid="{6918494C-25E3-4C6B-BB86-9A762C192BC7}">
      <formula1>MaNhanVien</formula1>
    </dataValidation>
    <dataValidation type="list" allowBlank="1" showInputMessage="1" showErrorMessage="1" sqref="AC8:BG8" xr:uid="{D080E225-23E1-420E-9EE0-4F50925BF6D6}">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7" r:id="rId3" name="Button 7">
              <controlPr defaultSize="0" print="0" autoFill="0" autoPict="0" macro="[0]!AddRow">
                <anchor moveWithCells="1">
                  <from>
                    <xdr:col>14</xdr:col>
                    <xdr:colOff>114300</xdr:colOff>
                    <xdr:row>0</xdr:row>
                    <xdr:rowOff>57150</xdr:rowOff>
                  </from>
                  <to>
                    <xdr:col>14</xdr:col>
                    <xdr:colOff>114300</xdr:colOff>
                    <xdr:row>0</xdr:row>
                    <xdr:rowOff>104775</xdr:rowOff>
                  </to>
                </anchor>
              </controlPr>
            </control>
          </mc:Choice>
        </mc:AlternateContent>
        <mc:AlternateContent xmlns:mc="http://schemas.openxmlformats.org/markup-compatibility/2006">
          <mc:Choice Requires="x14">
            <control shapeId="61448" r:id="rId4" name="Button 8">
              <controlPr defaultSize="0" print="0" autoFill="0" autoPict="0" macro="[0]!DeleteRow">
                <anchor moveWithCells="1">
                  <from>
                    <xdr:col>14</xdr:col>
                    <xdr:colOff>114300</xdr:colOff>
                    <xdr:row>1</xdr:row>
                    <xdr:rowOff>38100</xdr:rowOff>
                  </from>
                  <to>
                    <xdr:col>14</xdr:col>
                    <xdr:colOff>114300</xdr:colOff>
                    <xdr:row>1</xdr:row>
                    <xdr:rowOff>85725</xdr:rowOff>
                  </to>
                </anchor>
              </controlPr>
            </control>
          </mc:Choice>
        </mc:AlternateContent>
        <mc:AlternateContent xmlns:mc="http://schemas.openxmlformats.org/markup-compatibility/2006">
          <mc:Choice Requires="x14">
            <control shapeId="61449" r:id="rId5" name="Button 9">
              <controlPr defaultSize="0" print="0" autoFill="0" autoPict="0" macro="[0]!AddRow">
                <anchor moveWithCells="1">
                  <from>
                    <xdr:col>9</xdr:col>
                    <xdr:colOff>200025</xdr:colOff>
                    <xdr:row>0</xdr:row>
                    <xdr:rowOff>57150</xdr:rowOff>
                  </from>
                  <to>
                    <xdr:col>9</xdr:col>
                    <xdr:colOff>200025</xdr:colOff>
                    <xdr:row>0</xdr:row>
                    <xdr:rowOff>104775</xdr:rowOff>
                  </to>
                </anchor>
              </controlPr>
            </control>
          </mc:Choice>
        </mc:AlternateContent>
        <mc:AlternateContent xmlns:mc="http://schemas.openxmlformats.org/markup-compatibility/2006">
          <mc:Choice Requires="x14">
            <control shapeId="61450" r:id="rId6" name="Button 10">
              <controlPr defaultSize="0" print="0" autoFill="0" autoPict="0" macro="[0]!DeleteRow">
                <anchor moveWithCells="1">
                  <from>
                    <xdr:col>9</xdr:col>
                    <xdr:colOff>200025</xdr:colOff>
                    <xdr:row>1</xdr:row>
                    <xdr:rowOff>38100</xdr:rowOff>
                  </from>
                  <to>
                    <xdr:col>9</xdr:col>
                    <xdr:colOff>200025</xdr:colOff>
                    <xdr:row>1</xdr:row>
                    <xdr:rowOff>85725</xdr:rowOff>
                  </to>
                </anchor>
              </controlPr>
            </control>
          </mc:Choice>
        </mc:AlternateContent>
        <mc:AlternateContent xmlns:mc="http://schemas.openxmlformats.org/markup-compatibility/2006">
          <mc:Choice Requires="x14">
            <control shapeId="61451" r:id="rId7" name="Button 11">
              <controlPr defaultSize="0" print="0" autoFill="0" autoPict="0" macro="[0]!AddRow">
                <anchor moveWithCells="1">
                  <from>
                    <xdr:col>1</xdr:col>
                    <xdr:colOff>85725</xdr:colOff>
                    <xdr:row>0</xdr:row>
                    <xdr:rowOff>57150</xdr:rowOff>
                  </from>
                  <to>
                    <xdr:col>1</xdr:col>
                    <xdr:colOff>85725</xdr:colOff>
                    <xdr:row>0</xdr:row>
                    <xdr:rowOff>104775</xdr:rowOff>
                  </to>
                </anchor>
              </controlPr>
            </control>
          </mc:Choice>
        </mc:AlternateContent>
        <mc:AlternateContent xmlns:mc="http://schemas.openxmlformats.org/markup-compatibility/2006">
          <mc:Choice Requires="x14">
            <control shapeId="61452" r:id="rId8" name="Button 12">
              <controlPr defaultSize="0" print="0" autoFill="0" autoPict="0" macro="[0]!DeleteRow">
                <anchor moveWithCells="1">
                  <from>
                    <xdr:col>1</xdr:col>
                    <xdr:colOff>85725</xdr:colOff>
                    <xdr:row>1</xdr:row>
                    <xdr:rowOff>38100</xdr:rowOff>
                  </from>
                  <to>
                    <xdr:col>1</xdr:col>
                    <xdr:colOff>85725</xdr:colOff>
                    <xdr:row>1</xdr:row>
                    <xdr:rowOff>85725</xdr:rowOff>
                  </to>
                </anchor>
              </controlPr>
            </control>
          </mc:Choice>
        </mc:AlternateContent>
        <mc:AlternateContent xmlns:mc="http://schemas.openxmlformats.org/markup-compatibility/2006">
          <mc:Choice Requires="x14">
            <control shapeId="61458" r:id="rId9"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10"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11"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12"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13"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14"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15"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6"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7"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8"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9"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20" name="Button 30">
              <controlPr defaultSize="0" print="0" autoFill="0" autoPict="0" macro="[0]!CopyToTable">
                <anchor moveWithCells="1">
                  <from>
                    <xdr:col>65</xdr:col>
                    <xdr:colOff>152400</xdr:colOff>
                    <xdr:row>5</xdr:row>
                    <xdr:rowOff>171450</xdr:rowOff>
                  </from>
                  <to>
                    <xdr:col>66</xdr:col>
                    <xdr:colOff>9525</xdr:colOff>
                    <xdr:row>6</xdr:row>
                    <xdr:rowOff>200025</xdr:rowOff>
                  </to>
                </anchor>
              </controlPr>
            </control>
          </mc:Choice>
        </mc:AlternateContent>
        <mc:AlternateContent xmlns:mc="http://schemas.openxmlformats.org/markup-compatibility/2006">
          <mc:Choice Requires="x14">
            <control shapeId="61471" r:id="rId21"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22"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6">
    <tablePart r:id="rId23"/>
    <tablePart r:id="rId24"/>
    <tablePart r:id="rId25"/>
    <tablePart r:id="rId26"/>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1" id="{D08A8122-9308-461B-8B92-023A76ABDA2A}">
            <xm:f>Security!$A$1="NO VBA"</xm:f>
            <x14:dxf>
              <font>
                <color theme="0"/>
              </font>
              <border>
                <vertical/>
                <horizontal/>
              </border>
            </x14:dxf>
          </x14:cfRule>
          <xm:sqref>AA7:XFD7 A7:X7 A9:XFD1048576 A8:AA8 AD8:XFD8 A1:XFD6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outlinePr summaryBelow="0" summaryRight="0"/>
  </sheetPr>
  <dimension ref="B3:AE5"/>
  <sheetViews>
    <sheetView showGridLines="0" topLeftCell="H1" workbookViewId="0">
      <selection activeCell="J10" sqref="J10"/>
    </sheetView>
  </sheetViews>
  <sheetFormatPr defaultRowHeight="18" customHeight="1" outlineLevelCol="1" x14ac:dyDescent="0.3"/>
  <cols>
    <col min="1" max="1" width="7.125" style="7" customWidth="1"/>
    <col min="2" max="2" width="19.375" style="7" customWidth="1"/>
    <col min="3" max="3" width="9.75" style="7" customWidth="1"/>
    <col min="4" max="4" width="12" style="7" customWidth="1"/>
    <col min="5" max="5" width="13.375" style="7" customWidth="1"/>
    <col min="6" max="6" width="13" style="7" customWidth="1"/>
    <col min="7" max="7" width="6.75" style="7" customWidth="1"/>
    <col min="8" max="8" width="1.625" style="7" customWidth="1"/>
    <col min="9" max="9" width="5.375" style="7" bestFit="1" customWidth="1"/>
    <col min="10" max="10" width="6" style="44" bestFit="1" customWidth="1"/>
    <col min="11" max="11" width="7.125" style="44" bestFit="1" customWidth="1"/>
    <col min="12" max="12" width="9.875" style="44" bestFit="1" customWidth="1"/>
    <col min="13" max="13" width="8.875" style="7" customWidth="1"/>
    <col min="14" max="14" width="12.75" style="7" bestFit="1" customWidth="1"/>
    <col min="15" max="15" width="15.5" style="7" customWidth="1" outlineLevel="1"/>
    <col min="16" max="16" width="9" style="7" customWidth="1" outlineLevel="1"/>
    <col min="17" max="17" width="16.125" style="7" customWidth="1" outlineLevel="1"/>
    <col min="18" max="18" width="6.75" style="7" customWidth="1"/>
    <col min="19" max="31" width="9" style="38"/>
    <col min="32" max="16384" width="9" style="7"/>
  </cols>
  <sheetData>
    <row r="3" spans="2:18" ht="18" customHeight="1" x14ac:dyDescent="0.3">
      <c r="I3" s="168">
        <f>IFERROR(
IF(ISBLANK(K3),
DATE(J3,12,1),
DATE(J3,K3,1)),0)</f>
        <v>336</v>
      </c>
      <c r="J3" s="230"/>
      <c r="K3" s="230"/>
      <c r="L3" s="230"/>
      <c r="M3" s="230"/>
      <c r="N3" s="404"/>
      <c r="O3" s="48" cm="1">
        <f t="array" ref="O3">IF(ISBLANK(K3),
IF(ISBLANK(L3),
IFERROR(
SUM(_xlfn._xlws.FILTER(Table_DonBan[Doanh thu ròng],
(Table_DonBan[Kênh] = M3)*
(Table_DonBan[Ngày lập] &gt;= DATE(J3,1,1))*
(Table_DonBan[Ngày lập] &lt; DATE(J3+1,1,1))
)),0),
IFERROR(
SUM(_xlfn._xlws.FILTER(Table_DonBan[Doanh thu ròng],
(Table_DonBan[Mã NV] = L3)*
(Table_DonBan[Ngày lập] &gt;= DATE(J3,1,1))*
(Table_DonBan[Ngày lập] &lt; DATE(J3+1,1,1))
)),0)),
IF(ISBLANK(L3),
IFERROR(
SUM(_xlfn._xlws.FILTER(Table_DonBan[Doanh thu ròng],
(Table_DonBan[Kênh] = M3)*
(Table_DonBan[Ngày lập] &gt;=I3)*
(Table_DonBan[Ngày lập] &lt;DATE(J3,K3+1,1))
)),0),
+IFERROR(
SUM(_xlfn._xlws.FILTER(Table_DonBan[Doanh thu ròng],
(Table_DonBan[Mã NV] = L3)*
(Table_DonBan[Ngày lập] &gt;=I3)*
(Table_DonBan[Ngày lập] &lt;DATE(J3,K3+1,1))
)),0)))</f>
        <v>0</v>
      </c>
      <c r="P3" s="64">
        <f>IFERROR(O3/N3,0)</f>
        <v>0</v>
      </c>
      <c r="Q3" s="48" cm="1">
        <f t="array" ref="Q3" xml:space="preserve">
IF(ISBLANK(K3),
IF(ISBLANK(L3),
IFERROR(
SUM(_xlfn._xlws.FILTER(Table_KPI_ChinhSach[Mức thưởng],
(Table_KPI_ChinhSach[Đối tượng áp dụng] = "Kênh")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"Năm") *
(ISBLANK(Table_KPI_ChinhSach[Tỷ lệ KPI max])) *
(Table_KPI_ChinhSach[Tỷ lệ KPI min] &lt;=P3)
)),0),
IFERROR(
SUM(_xlfn._xlws.FILTER(Table_KPI_ChinhSach[Mức thưởng],
(Table_KPI_ChinhSach[Đối tượng áp dụng] = "Nhân viên")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"Năm") *
(ISBLANK(Table_KPI_ChinhSach[Tỷ lệ KPI max])) *
(Table_KPI_ChinhSach[Tỷ lệ KPI min] &lt;=P3)
)),0)),
IF(ISBLANK(L3),
IFERROR(
SUM(_xlfn._xlws.FILTER(Table_KPI_ChinhSach[Mức thưởng],
(Table_KPI_ChinhSach[Đối tượng áp dụng] = "Kênh")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"Tháng") *
(ISBLANK(Table_KPI_ChinhSach[Tỷ lệ KPI max])) *
(Table_KPI_ChinhSach[Tỷ lệ KPI min] &lt;=P3)
)),0),
IFERROR(
SUM(_xlfn._xlws.FILTER(Table_KPI_ChinhSach[Mức thưởng],
(Table_KPI_ChinhSach[Đối tượng áp dụng] = "Nhân viên")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"Tháng") *
(ISBLANK(Table_KPI_ChinhSach[Tỷ lệ KPI max])) *
(Table_KPI_ChinhSach[Tỷ lệ KPI min] &lt;=P3)
)),0)))</f>
        <v>0</v>
      </c>
      <c r="R3" s="232"/>
    </row>
    <row r="4" spans="2:18" ht="18" customHeight="1" x14ac:dyDescent="0.3">
      <c r="B4" s="7" t="s">
        <v>526</v>
      </c>
      <c r="C4" s="7" t="s">
        <v>527</v>
      </c>
      <c r="D4" s="7" t="s">
        <v>528</v>
      </c>
      <c r="E4" s="7" t="s">
        <v>529</v>
      </c>
      <c r="F4" s="7" t="s">
        <v>530</v>
      </c>
      <c r="G4" s="7" t="s">
        <v>873</v>
      </c>
      <c r="I4" s="7" t="s">
        <v>3</v>
      </c>
      <c r="J4" s="7" t="s">
        <v>2</v>
      </c>
      <c r="K4" s="7" t="s">
        <v>1</v>
      </c>
      <c r="L4" s="7" t="s">
        <v>37</v>
      </c>
      <c r="M4" s="7" t="s">
        <v>38</v>
      </c>
      <c r="N4" s="7" t="s">
        <v>531</v>
      </c>
      <c r="O4" s="7" t="s">
        <v>532</v>
      </c>
      <c r="P4" s="7" t="s">
        <v>215</v>
      </c>
      <c r="Q4" s="7" t="s">
        <v>142</v>
      </c>
      <c r="R4" s="7" t="s">
        <v>873</v>
      </c>
    </row>
    <row r="5" spans="2:18" ht="18" customHeight="1" x14ac:dyDescent="0.3">
      <c r="D5" s="45"/>
      <c r="E5" s="45"/>
      <c r="F5" s="15"/>
      <c r="G5" s="212"/>
      <c r="I5" s="70">
        <f>IFERROR(
IF(ISBLANK(Table_KPI[[#This Row],[Tháng]]),
DATE(Table_KPI[[#This Row],[Năm]],12,1),
DATE(Table_KPI[[#This Row],[Năm]],Table_KPI[[#This Row],[Tháng]],1)),0)</f>
        <v>336</v>
      </c>
      <c r="J5" s="7"/>
      <c r="K5" s="7"/>
      <c r="L5" s="7"/>
      <c r="N5" s="15"/>
      <c r="O5" s="48" cm="1">
        <f t="array" ref="O5">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f>
        <v>0</v>
      </c>
      <c r="P5" s="71">
        <f>IFERROR(Table_KPI[[#This Row],[Doanh thu thực tế]]/Table_KPI[[#This Row],[Doanh thu KPI]],0)</f>
        <v>0</v>
      </c>
      <c r="Q5" s="18" cm="1">
        <f t="array" ref="Q5"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row>
  </sheetData>
  <sheetProtection algorithmName="SHA-512" hashValue="e30vZN5TRW8wupe9iC8jolKRlVDs3I5+DaP/Zc6MrHN9Y7sQLI5G7m1X1VO+LMwUyS8FZ4ZtSoFUFTenjLC5dA==" saltValue="joq6NTMVZXJZiNqf6I0FnA==" spinCount="100000" sheet="1" scenarios="1" formatCells="0" formatColumns="0" formatRows="0" insertColumns="0" insertRows="0" deleteColumns="0" deleteRows="0" sort="0" autoFilter="0" pivotTables="0"/>
  <dataValidations count="6">
    <dataValidation type="list" allowBlank="1" showInputMessage="1" showErrorMessage="1" sqref="L3" xr:uid="{652DFCE0-4703-4A9A-B57E-F4B93692BD89}">
      <formula1>MaNhanVien</formula1>
    </dataValidation>
    <dataValidation type="list" allowBlank="1" showInputMessage="1" showErrorMessage="1" sqref="M3" xr:uid="{F4B60B26-1BC8-4EF0-8928-75C6BD0D24C9}">
      <formula1>MaKenh</formula1>
    </dataValidation>
    <dataValidation type="list" allowBlank="1" showInputMessage="1" showErrorMessage="1" sqref="B5" xr:uid="{4D04BFE7-F3F0-4095-9676-5B726BC4340B}">
      <formula1>"Nhân viên, Kênh"</formula1>
    </dataValidation>
    <dataValidation type="list" allowBlank="1" showInputMessage="1" showErrorMessage="1" sqref="C5" xr:uid="{A1008991-E4FC-444B-8201-AB4163CDA35B}">
      <formula1>"Tháng, Năm"</formula1>
    </dataValidation>
    <dataValidation type="list" allowBlank="1" showInputMessage="1" sqref="L5" xr:uid="{8F9FB10F-018A-41B1-A639-1F4A98D9200E}">
      <formula1>MaNhanVien</formula1>
    </dataValidation>
    <dataValidation type="list" allowBlank="1" showInputMessage="1" sqref="M5" xr:uid="{0F846C6F-7860-4869-AD3D-600B71741FEC}">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7" r:id="rId3" name="Button 3">
              <controlPr defaultSize="0" print="0" autoFill="0" autoPict="0" macro="[0]!AddColumn">
                <anchor moveWithCells="1">
                  <from>
                    <xdr:col>4</xdr:col>
                    <xdr:colOff>762000</xdr:colOff>
                    <xdr:row>1</xdr:row>
                    <xdr:rowOff>161925</xdr:rowOff>
                  </from>
                  <to>
                    <xdr:col>5</xdr:col>
                    <xdr:colOff>219075</xdr:colOff>
                    <xdr:row>2</xdr:row>
                    <xdr:rowOff>171450</xdr:rowOff>
                  </to>
                </anchor>
              </controlPr>
            </control>
          </mc:Choice>
        </mc:AlternateContent>
        <mc:AlternateContent xmlns:mc="http://schemas.openxmlformats.org/markup-compatibility/2006">
          <mc:Choice Requires="x14">
            <control shapeId="62468" r:id="rId4" name="Button 4">
              <controlPr defaultSize="0" print="0" autoFill="0" autoPict="0" macro="[0]!DeleteColumn">
                <anchor moveWithCells="1">
                  <from>
                    <xdr:col>5</xdr:col>
                    <xdr:colOff>342900</xdr:colOff>
                    <xdr:row>1</xdr:row>
                    <xdr:rowOff>161925</xdr:rowOff>
                  </from>
                  <to>
                    <xdr:col>5</xdr:col>
                    <xdr:colOff>847725</xdr:colOff>
                    <xdr:row>2</xdr:row>
                    <xdr:rowOff>171450</xdr:rowOff>
                  </to>
                </anchor>
              </controlPr>
            </control>
          </mc:Choice>
        </mc:AlternateContent>
        <mc:AlternateContent xmlns:mc="http://schemas.openxmlformats.org/markup-compatibility/2006">
          <mc:Choice Requires="x14">
            <control shapeId="62471" r:id="rId5" name="Button 7">
              <controlPr defaultSize="0" print="0" autoFill="0" autoPict="0" macro="[0]!AddColumn">
                <anchor moveWithCells="1">
                  <from>
                    <xdr:col>15</xdr:col>
                    <xdr:colOff>485775</xdr:colOff>
                    <xdr:row>0</xdr:row>
                    <xdr:rowOff>123825</xdr:rowOff>
                  </from>
                  <to>
                    <xdr:col>16</xdr:col>
                    <xdr:colOff>314325</xdr:colOff>
                    <xdr:row>1</xdr:row>
                    <xdr:rowOff>152400</xdr:rowOff>
                  </to>
                </anchor>
              </controlPr>
            </control>
          </mc:Choice>
        </mc:AlternateContent>
        <mc:AlternateContent xmlns:mc="http://schemas.openxmlformats.org/markup-compatibility/2006">
          <mc:Choice Requires="x14">
            <control shapeId="62472" r:id="rId6" name="Button 8">
              <controlPr defaultSize="0" print="0" autoFill="0" autoPict="0" macro="[0]!DeleteColumn">
                <anchor moveWithCells="1">
                  <from>
                    <xdr:col>16</xdr:col>
                    <xdr:colOff>447675</xdr:colOff>
                    <xdr:row>0</xdr:row>
                    <xdr:rowOff>123825</xdr:rowOff>
                  </from>
                  <to>
                    <xdr:col>16</xdr:col>
                    <xdr:colOff>990600</xdr:colOff>
                    <xdr:row>1</xdr:row>
                    <xdr:rowOff>152400</xdr:rowOff>
                  </to>
                </anchor>
              </controlPr>
            </control>
          </mc:Choice>
        </mc:AlternateContent>
        <mc:AlternateContent xmlns:mc="http://schemas.openxmlformats.org/markup-compatibility/2006">
          <mc:Choice Requires="x14">
            <control shapeId="62473" r:id="rId7" name="Button 9">
              <controlPr defaultSize="0" print="0" autoFill="0" autoPict="0" macro="[0]!CopyToTable">
                <anchor moveWithCells="1">
                  <from>
                    <xdr:col>17</xdr:col>
                    <xdr:colOff>57150</xdr:colOff>
                    <xdr:row>1</xdr:row>
                    <xdr:rowOff>190500</xdr:rowOff>
                  </from>
                  <to>
                    <xdr:col>18</xdr:col>
                    <xdr:colOff>85725</xdr:colOff>
                    <xdr:row>2</xdr:row>
                    <xdr:rowOff>219075</xdr:rowOff>
                  </to>
                </anchor>
              </controlPr>
            </control>
          </mc:Choice>
        </mc:AlternateContent>
        <mc:AlternateContent xmlns:mc="http://schemas.openxmlformats.org/markup-compatibility/2006">
          <mc:Choice Requires="x14">
            <control shapeId="62476" r:id="rId8" name="Option Button 12">
              <controlPr defaultSize="0" autoFill="0" autoLine="0" autoPict="0" macro="[0]!DoiDonViHienThi">
                <anchor moveWithCells="1">
                  <from>
                    <xdr:col>2</xdr:col>
                    <xdr:colOff>400050</xdr:colOff>
                    <xdr:row>0</xdr:row>
                    <xdr:rowOff>152400</xdr:rowOff>
                  </from>
                  <to>
                    <xdr:col>3</xdr:col>
                    <xdr:colOff>247650</xdr:colOff>
                    <xdr:row>1</xdr:row>
                    <xdr:rowOff>200025</xdr:rowOff>
                  </to>
                </anchor>
              </controlPr>
            </control>
          </mc:Choice>
        </mc:AlternateContent>
        <mc:AlternateContent xmlns:mc="http://schemas.openxmlformats.org/markup-compatibility/2006">
          <mc:Choice Requires="x14">
            <control shapeId="62477" r:id="rId9" name="Option Button 13">
              <controlPr defaultSize="0" autoFill="0" autoLine="0" autoPict="0" macro="[0]!DoiDonViHienThi">
                <anchor moveWithCells="1">
                  <from>
                    <xdr:col>3</xdr:col>
                    <xdr:colOff>123825</xdr:colOff>
                    <xdr:row>0</xdr:row>
                    <xdr:rowOff>152400</xdr:rowOff>
                  </from>
                  <to>
                    <xdr:col>3</xdr:col>
                    <xdr:colOff>714375</xdr:colOff>
                    <xdr:row>1</xdr:row>
                    <xdr:rowOff>200025</xdr:rowOff>
                  </to>
                </anchor>
              </controlPr>
            </control>
          </mc:Choice>
        </mc:AlternateContent>
        <mc:AlternateContent xmlns:mc="http://schemas.openxmlformats.org/markup-compatibility/2006">
          <mc:Choice Requires="x14">
            <control shapeId="62478" r:id="rId10" name="Option Button 14">
              <controlPr defaultSize="0" autoFill="0" autoLine="0" autoPict="0" macro="[0]!DoiDonViHienThi">
                <anchor moveWithCells="1">
                  <from>
                    <xdr:col>3</xdr:col>
                    <xdr:colOff>590550</xdr:colOff>
                    <xdr:row>0</xdr:row>
                    <xdr:rowOff>152400</xdr:rowOff>
                  </from>
                  <to>
                    <xdr:col>4</xdr:col>
                    <xdr:colOff>266700</xdr:colOff>
                    <xdr:row>1</xdr:row>
                    <xdr:rowOff>200025</xdr:rowOff>
                  </to>
                </anchor>
              </controlPr>
            </control>
          </mc:Choice>
        </mc:AlternateContent>
        <mc:AlternateContent xmlns:mc="http://schemas.openxmlformats.org/markup-compatibility/2006">
          <mc:Choice Requires="x14">
            <control shapeId="62479" r:id="rId11" name="Option Button 15">
              <controlPr defaultSize="0" autoFill="0" autoLine="0" autoPict="0" macro="[0]!DoiDonViHienThi">
                <anchor moveWithCells="1">
                  <from>
                    <xdr:col>4</xdr:col>
                    <xdr:colOff>152400</xdr:colOff>
                    <xdr:row>0</xdr:row>
                    <xdr:rowOff>152400</xdr:rowOff>
                  </from>
                  <to>
                    <xdr:col>4</xdr:col>
                    <xdr:colOff>504825</xdr:colOff>
                    <xdr:row>1</xdr:row>
                    <xdr:rowOff>200025</xdr:rowOff>
                  </to>
                </anchor>
              </controlPr>
            </control>
          </mc:Choice>
        </mc:AlternateContent>
        <mc:AlternateContent xmlns:mc="http://schemas.openxmlformats.org/markup-compatibility/2006">
          <mc:Choice Requires="x14">
            <control shapeId="62480" r:id="rId12" name="Group Box 16">
              <controlPr defaultSize="0" autoFill="0" autoPict="0">
                <anchor moveWithCells="1">
                  <from>
                    <xdr:col>2</xdr:col>
                    <xdr:colOff>285750</xdr:colOff>
                    <xdr:row>0</xdr:row>
                    <xdr:rowOff>104775</xdr:rowOff>
                  </from>
                  <to>
                    <xdr:col>4</xdr:col>
                    <xdr:colOff>619125</xdr:colOff>
                    <xdr:row>2</xdr:row>
                    <xdr:rowOff>9525</xdr:rowOff>
                  </to>
                </anchor>
              </controlPr>
            </control>
          </mc:Choice>
        </mc:AlternateContent>
        <mc:AlternateContent xmlns:mc="http://schemas.openxmlformats.org/markup-compatibility/2006">
          <mc:Choice Requires="x14">
            <control shapeId="62481" r:id="rId13" name="Group Box 17">
              <controlPr defaultSize="0" autoFill="0" autoPict="0">
                <anchor moveWithCells="1">
                  <from>
                    <xdr:col>1</xdr:col>
                    <xdr:colOff>57150</xdr:colOff>
                    <xdr:row>0</xdr:row>
                    <xdr:rowOff>104775</xdr:rowOff>
                  </from>
                  <to>
                    <xdr:col>2</xdr:col>
                    <xdr:colOff>238125</xdr:colOff>
                    <xdr:row>2</xdr:row>
                    <xdr:rowOff>9525</xdr:rowOff>
                  </to>
                </anchor>
              </controlPr>
            </control>
          </mc:Choice>
        </mc:AlternateContent>
        <mc:AlternateContent xmlns:mc="http://schemas.openxmlformats.org/markup-compatibility/2006">
          <mc:Choice Requires="x14">
            <control shapeId="62482" r:id="rId14" name="Button 18">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62483" r:id="rId15" name="Button 19">
              <controlPr defaultSize="0" autoFill="0" autoPict="0" macro="[0]!NhanTrieu">
                <anchor moveWithCells="1">
                  <from>
                    <xdr:col>1</xdr:col>
                    <xdr:colOff>657225</xdr:colOff>
                    <xdr:row>0</xdr:row>
                    <xdr:rowOff>200025</xdr:rowOff>
                  </from>
                  <to>
                    <xdr:col>1</xdr:col>
                    <xdr:colOff>1123950</xdr:colOff>
                    <xdr:row>1</xdr:row>
                    <xdr:rowOff>142875</xdr:rowOff>
                  </to>
                </anchor>
              </controlPr>
            </control>
          </mc:Choice>
        </mc:AlternateContent>
        <mc:AlternateContent xmlns:mc="http://schemas.openxmlformats.org/markup-compatibility/2006">
          <mc:Choice Requires="x14">
            <control shapeId="62484" r:id="rId16" name="Button 20">
              <controlPr defaultSize="0" autoFill="0" autoPict="0" macro="[0]!NhanTy">
                <anchor moveWithCells="1">
                  <from>
                    <xdr:col>1</xdr:col>
                    <xdr:colOff>1171575</xdr:colOff>
                    <xdr:row>0</xdr:row>
                    <xdr:rowOff>200025</xdr:rowOff>
                  </from>
                  <to>
                    <xdr:col>2</xdr:col>
                    <xdr:colOff>161925</xdr:colOff>
                    <xdr:row>1</xdr:row>
                    <xdr:rowOff>142875</xdr:rowOff>
                  </to>
                </anchor>
              </controlPr>
            </control>
          </mc:Choice>
        </mc:AlternateContent>
        <mc:AlternateContent xmlns:mc="http://schemas.openxmlformats.org/markup-compatibility/2006">
          <mc:Choice Requires="x14">
            <control shapeId="62487" r:id="rId17" name="Button 23">
              <controlPr defaultSize="0" print="0" autoFill="0" autoPict="0" macro="[0]!AddRow">
                <anchor moveWithCells="1">
                  <from>
                    <xdr:col>4</xdr:col>
                    <xdr:colOff>762000</xdr:colOff>
                    <xdr:row>0</xdr:row>
                    <xdr:rowOff>76200</xdr:rowOff>
                  </from>
                  <to>
                    <xdr:col>5</xdr:col>
                    <xdr:colOff>219075</xdr:colOff>
                    <xdr:row>1</xdr:row>
                    <xdr:rowOff>104775</xdr:rowOff>
                  </to>
                </anchor>
              </controlPr>
            </control>
          </mc:Choice>
        </mc:AlternateContent>
        <mc:AlternateContent xmlns:mc="http://schemas.openxmlformats.org/markup-compatibility/2006">
          <mc:Choice Requires="x14">
            <control shapeId="62488" r:id="rId18" name="Button 24">
              <controlPr defaultSize="0" print="0" autoFill="0" autoPict="0" macro="[0]!DeleteRow">
                <anchor moveWithCells="1">
                  <from>
                    <xdr:col>5</xdr:col>
                    <xdr:colOff>371475</xdr:colOff>
                    <xdr:row>0</xdr:row>
                    <xdr:rowOff>76200</xdr:rowOff>
                  </from>
                  <to>
                    <xdr:col>5</xdr:col>
                    <xdr:colOff>847725</xdr:colOff>
                    <xdr:row>1</xdr:row>
                    <xdr:rowOff>104775</xdr:rowOff>
                  </to>
                </anchor>
              </controlPr>
            </control>
          </mc:Choice>
        </mc:AlternateContent>
        <mc:AlternateContent xmlns:mc="http://schemas.openxmlformats.org/markup-compatibility/2006">
          <mc:Choice Requires="x14">
            <control shapeId="62489" r:id="rId19" name="Button 25">
              <controlPr defaultSize="0" print="0" autoFill="0" autoPict="0" macro="[0]!AddRow">
                <anchor moveWithCells="1">
                  <from>
                    <xdr:col>8</xdr:col>
                    <xdr:colOff>28575</xdr:colOff>
                    <xdr:row>0</xdr:row>
                    <xdr:rowOff>133350</xdr:rowOff>
                  </from>
                  <to>
                    <xdr:col>9</xdr:col>
                    <xdr:colOff>95250</xdr:colOff>
                    <xdr:row>1</xdr:row>
                    <xdr:rowOff>161925</xdr:rowOff>
                  </to>
                </anchor>
              </controlPr>
            </control>
          </mc:Choice>
        </mc:AlternateContent>
        <mc:AlternateContent xmlns:mc="http://schemas.openxmlformats.org/markup-compatibility/2006">
          <mc:Choice Requires="x14">
            <control shapeId="62490" r:id="rId20" name="Button 26">
              <controlPr defaultSize="0" print="0" autoFill="0" autoPict="0" macro="[0]!DeleteRow">
                <anchor moveWithCells="1">
                  <from>
                    <xdr:col>9</xdr:col>
                    <xdr:colOff>247650</xdr:colOff>
                    <xdr:row>0</xdr:row>
                    <xdr:rowOff>133350</xdr:rowOff>
                  </from>
                  <to>
                    <xdr:col>10</xdr:col>
                    <xdr:colOff>266700</xdr:colOff>
                    <xdr:row>1</xdr:row>
                    <xdr:rowOff>161925</xdr:rowOff>
                  </to>
                </anchor>
              </controlPr>
            </control>
          </mc:Choice>
        </mc:AlternateContent>
      </controls>
    </mc:Choice>
  </mc:AlternateContent>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1" id="{5ED6262E-14E1-4DAD-8647-08F91A2BE1EB}">
            <xm:f>Security!$A$1="NO VBA"</xm:f>
            <x14:dxf>
              <font>
                <color theme="0"/>
              </font>
              <border>
                <vertical/>
                <horizontal/>
              </border>
            </x14:dxf>
          </x14:cfRule>
          <xm:sqref>A1:XFD5 B16:C16 E16:G16 A6:A1048576 B17:G1048576 B6:G15 H6:XFD1048576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9453-4623-4734-9036-37A2DD3EB7BB}">
  <sheetPr codeName="Sheet19">
    <tabColor theme="9"/>
  </sheetPr>
  <dimension ref="B1:Q57"/>
  <sheetViews>
    <sheetView showGridLines="0" workbookViewId="0">
      <selection activeCell="T13" sqref="T13"/>
    </sheetView>
  </sheetViews>
  <sheetFormatPr defaultRowHeight="18" customHeight="1" outlineLevelCol="1" x14ac:dyDescent="0.3"/>
  <cols>
    <col min="1" max="1" width="1.25" style="7" customWidth="1"/>
    <col min="2" max="2" width="13" style="7" hidden="1" customWidth="1" outlineLevel="1"/>
    <col min="3" max="3" width="18.25" style="7" hidden="1" customWidth="1" outlineLevel="1"/>
    <col min="4" max="4" width="19.125" style="7" hidden="1" customWidth="1" outlineLevel="1"/>
    <col min="5" max="5" width="17.75" style="7" hidden="1" customWidth="1" outlineLevel="1"/>
    <col min="6" max="6" width="13" style="7" hidden="1" customWidth="1" outlineLevel="1"/>
    <col min="7" max="7" width="1.25" style="7" customWidth="1" collapsed="1"/>
    <col min="8" max="8" width="7.375" style="7" customWidth="1"/>
    <col min="9" max="9" width="5.875" style="7" bestFit="1" customWidth="1"/>
    <col min="10" max="10" width="6" style="7" bestFit="1" customWidth="1"/>
    <col min="11" max="11" width="7.125" style="7" bestFit="1" customWidth="1"/>
    <col min="12" max="15" width="15.375" style="7" customWidth="1" outlineLevel="1"/>
    <col min="16" max="16" width="13.75" style="7" customWidth="1" outlineLevel="1"/>
    <col min="17" max="17" width="6.75" style="7" bestFit="1" customWidth="1"/>
    <col min="18" max="16384" width="9" style="7"/>
  </cols>
  <sheetData>
    <row r="1" ht="23.25" customHeight="1" x14ac:dyDescent="0.3"/>
    <row r="20" spans="2:17" ht="16.5" x14ac:dyDescent="0.3">
      <c r="B20" s="97" t="s">
        <v>23</v>
      </c>
      <c r="C20" t="s">
        <v>1147</v>
      </c>
      <c r="D20" t="s">
        <v>1146</v>
      </c>
      <c r="E20" t="s">
        <v>1148</v>
      </c>
      <c r="F20" t="s">
        <v>69</v>
      </c>
      <c r="I20" s="7" t="s">
        <v>3</v>
      </c>
      <c r="J20" s="7" t="s">
        <v>2</v>
      </c>
      <c r="K20" s="7" t="s">
        <v>1</v>
      </c>
      <c r="L20" s="7" t="s">
        <v>150</v>
      </c>
      <c r="M20" s="7" t="s">
        <v>924</v>
      </c>
      <c r="N20" s="7" t="s">
        <v>925</v>
      </c>
      <c r="O20" s="7" t="s">
        <v>926</v>
      </c>
      <c r="P20" s="7" t="s">
        <v>653</v>
      </c>
      <c r="Q20" s="7" t="s">
        <v>873</v>
      </c>
    </row>
    <row r="21" spans="2:17" ht="16.5" x14ac:dyDescent="0.3">
      <c r="B21" s="98" t="s">
        <v>1140</v>
      </c>
      <c r="C21" s="515">
        <v>152500000</v>
      </c>
      <c r="D21" s="515">
        <v>25416666.666666664</v>
      </c>
      <c r="E21" s="515">
        <v>0</v>
      </c>
      <c r="F21" s="515">
        <v>177916666.66666663</v>
      </c>
      <c r="I21" s="33">
        <f>IFERROR(
IF(ISBLANK(Table_TSCD_KhauHao[[#This Row],[Tháng]]),
DATE(Table_TSCD_KhauHao[[#This Row],[Năm]],12,1),
DATE(Table_TSCD_KhauHao[[#This Row],[Năm]],Table_TSCD_KhauHao[[#This Row],[Tháng]],1)),0)</f>
        <v>45992</v>
      </c>
      <c r="J21" s="240">
        <v>2025</v>
      </c>
      <c r="K21" s="240">
        <v>12</v>
      </c>
      <c r="L21" s="244">
        <f>+Table_TSCD_KhauHao[[#This Row],[Khấu hao sản xuất]]+Table_TSCD_KhauHao[[#This Row],[Khấu hao bán hàng]]+Table_TSCD_KhauHao[[#This Row],[Khấu hao quản lý]]</f>
        <v>51111111.111111104</v>
      </c>
      <c r="M2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1" s="244">
        <f t="shared" ref="P21:P53" si="0">L21</f>
        <v>51111111.111111104</v>
      </c>
      <c r="Q21" s="240"/>
    </row>
    <row r="22" spans="2:17" ht="16.5" x14ac:dyDescent="0.3">
      <c r="B22" s="503" t="s">
        <v>1107</v>
      </c>
      <c r="C22" s="515">
        <v>10000000</v>
      </c>
      <c r="D22" s="515">
        <v>0</v>
      </c>
      <c r="E22" s="515">
        <v>0</v>
      </c>
      <c r="F22" s="515">
        <v>10000000</v>
      </c>
      <c r="I22" s="33">
        <f>IFERROR(
IF(ISBLANK(Table_TSCD_KhauHao[[#This Row],[Tháng]]),
DATE(Table_TSCD_KhauHao[[#This Row],[Năm]],12,1),
DATE(Table_TSCD_KhauHao[[#This Row],[Năm]],Table_TSCD_KhauHao[[#This Row],[Tháng]],1)),0)</f>
        <v>45962</v>
      </c>
      <c r="J22" s="240">
        <v>2025</v>
      </c>
      <c r="K22" s="240">
        <v>11</v>
      </c>
      <c r="L22" s="244">
        <f>+Table_TSCD_KhauHao[[#This Row],[Khấu hao sản xuất]]+Table_TSCD_KhauHao[[#This Row],[Khấu hao bán hàng]]+Table_TSCD_KhauHao[[#This Row],[Khấu hao quản lý]]</f>
        <v>51111111.111111104</v>
      </c>
      <c r="M2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2" s="244">
        <f t="shared" si="0"/>
        <v>51111111.111111104</v>
      </c>
      <c r="Q22" s="240"/>
    </row>
    <row r="23" spans="2:17" ht="16.5" x14ac:dyDescent="0.3">
      <c r="B23" s="503" t="s">
        <v>1108</v>
      </c>
      <c r="C23" s="515">
        <v>10000000</v>
      </c>
      <c r="D23" s="515">
        <v>0</v>
      </c>
      <c r="E23" s="515">
        <v>0</v>
      </c>
      <c r="F23" s="515">
        <v>10000000</v>
      </c>
      <c r="I23" s="33">
        <f>IFERROR(
IF(ISBLANK(Table_TSCD_KhauHao[[#This Row],[Tháng]]),
DATE(Table_TSCD_KhauHao[[#This Row],[Năm]],12,1),
DATE(Table_TSCD_KhauHao[[#This Row],[Năm]],Table_TSCD_KhauHao[[#This Row],[Tháng]],1)),0)</f>
        <v>45931</v>
      </c>
      <c r="J23" s="240">
        <v>2025</v>
      </c>
      <c r="K23" s="240">
        <v>10</v>
      </c>
      <c r="L23" s="244">
        <f>+Table_TSCD_KhauHao[[#This Row],[Khấu hao sản xuất]]+Table_TSCD_KhauHao[[#This Row],[Khấu hao bán hàng]]+Table_TSCD_KhauHao[[#This Row],[Khấu hao quản lý]]</f>
        <v>51111111.111111104</v>
      </c>
      <c r="M2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3" s="244">
        <f t="shared" si="0"/>
        <v>51111111.111111104</v>
      </c>
      <c r="Q23" s="240"/>
    </row>
    <row r="24" spans="2:17" ht="16.5" x14ac:dyDescent="0.3">
      <c r="B24" s="503" t="s">
        <v>1109</v>
      </c>
      <c r="C24" s="515">
        <v>10000000</v>
      </c>
      <c r="D24" s="515">
        <v>0</v>
      </c>
      <c r="E24" s="515">
        <v>0</v>
      </c>
      <c r="F24" s="515">
        <v>10000000</v>
      </c>
      <c r="I24" s="33">
        <f>IFERROR(
IF(ISBLANK(Table_TSCD_KhauHao[[#This Row],[Tháng]]),
DATE(Table_TSCD_KhauHao[[#This Row],[Năm]],12,1),
DATE(Table_TSCD_KhauHao[[#This Row],[Năm]],Table_TSCD_KhauHao[[#This Row],[Tháng]],1)),0)</f>
        <v>45901</v>
      </c>
      <c r="J24" s="240">
        <v>2025</v>
      </c>
      <c r="K24" s="240">
        <v>9</v>
      </c>
      <c r="L24" s="244">
        <f>+Table_TSCD_KhauHao[[#This Row],[Khấu hao sản xuất]]+Table_TSCD_KhauHao[[#This Row],[Khấu hao bán hàng]]+Table_TSCD_KhauHao[[#This Row],[Khấu hao quản lý]]</f>
        <v>51111111.111111104</v>
      </c>
      <c r="M24"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4"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4"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4" s="244">
        <f t="shared" si="0"/>
        <v>51111111.111111104</v>
      </c>
      <c r="Q24" s="240"/>
    </row>
    <row r="25" spans="2:17" ht="16.5" x14ac:dyDescent="0.3">
      <c r="B25" s="503" t="s">
        <v>1110</v>
      </c>
      <c r="C25" s="515">
        <v>10000000</v>
      </c>
      <c r="D25" s="515">
        <v>0</v>
      </c>
      <c r="E25" s="515">
        <v>0</v>
      </c>
      <c r="F25" s="515">
        <v>10000000</v>
      </c>
      <c r="I25" s="33">
        <f>IFERROR(
IF(ISBLANK(Table_TSCD_KhauHao[[#This Row],[Tháng]]),
DATE(Table_TSCD_KhauHao[[#This Row],[Năm]],12,1),
DATE(Table_TSCD_KhauHao[[#This Row],[Năm]],Table_TSCD_KhauHao[[#This Row],[Tháng]],1)),0)</f>
        <v>45870</v>
      </c>
      <c r="J25" s="240">
        <v>2025</v>
      </c>
      <c r="K25" s="240">
        <v>8</v>
      </c>
      <c r="L25" s="244">
        <f>+Table_TSCD_KhauHao[[#This Row],[Khấu hao sản xuất]]+Table_TSCD_KhauHao[[#This Row],[Khấu hao bán hàng]]+Table_TSCD_KhauHao[[#This Row],[Khấu hao quản lý]]</f>
        <v>51111111.111111104</v>
      </c>
      <c r="M25"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5"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5"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5" s="244">
        <f t="shared" si="0"/>
        <v>51111111.111111104</v>
      </c>
      <c r="Q25" s="240"/>
    </row>
    <row r="26" spans="2:17" ht="16.5" x14ac:dyDescent="0.3">
      <c r="B26" s="503" t="s">
        <v>1111</v>
      </c>
      <c r="C26" s="515">
        <v>10000000</v>
      </c>
      <c r="D26" s="515">
        <v>0</v>
      </c>
      <c r="E26" s="515">
        <v>0</v>
      </c>
      <c r="F26" s="515">
        <v>10000000</v>
      </c>
      <c r="I26" s="33">
        <f>IFERROR(
IF(ISBLANK(Table_TSCD_KhauHao[[#This Row],[Tháng]]),
DATE(Table_TSCD_KhauHao[[#This Row],[Năm]],12,1),
DATE(Table_TSCD_KhauHao[[#This Row],[Năm]],Table_TSCD_KhauHao[[#This Row],[Tháng]],1)),0)</f>
        <v>45839</v>
      </c>
      <c r="J26" s="240">
        <v>2025</v>
      </c>
      <c r="K26" s="240">
        <v>7</v>
      </c>
      <c r="L26" s="244">
        <f>+Table_TSCD_KhauHao[[#This Row],[Khấu hao sản xuất]]+Table_TSCD_KhauHao[[#This Row],[Khấu hao bán hàng]]+Table_TSCD_KhauHao[[#This Row],[Khấu hao quản lý]]</f>
        <v>51111111.111111104</v>
      </c>
      <c r="M26"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6"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6"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6" s="244">
        <f t="shared" si="0"/>
        <v>51111111.111111104</v>
      </c>
      <c r="Q26" s="240"/>
    </row>
    <row r="27" spans="2:17" ht="16.5" x14ac:dyDescent="0.3">
      <c r="B27" s="503" t="s">
        <v>1112</v>
      </c>
      <c r="C27" s="515">
        <v>10000000</v>
      </c>
      <c r="D27" s="515">
        <v>0</v>
      </c>
      <c r="E27" s="515">
        <v>0</v>
      </c>
      <c r="F27" s="515">
        <v>10000000</v>
      </c>
      <c r="I27" s="33">
        <f>IFERROR(
IF(ISBLANK(Table_TSCD_KhauHao[[#This Row],[Tháng]]),
DATE(Table_TSCD_KhauHao[[#This Row],[Năm]],12,1),
DATE(Table_TSCD_KhauHao[[#This Row],[Năm]],Table_TSCD_KhauHao[[#This Row],[Tháng]],1)),0)</f>
        <v>45809</v>
      </c>
      <c r="J27" s="240">
        <v>2025</v>
      </c>
      <c r="K27" s="240">
        <v>6</v>
      </c>
      <c r="L27" s="244">
        <f>+Table_TSCD_KhauHao[[#This Row],[Khấu hao sản xuất]]+Table_TSCD_KhauHao[[#This Row],[Khấu hao bán hàng]]+Table_TSCD_KhauHao[[#This Row],[Khấu hao quản lý]]</f>
        <v>51111111.111111104</v>
      </c>
      <c r="M27"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7"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7"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7" s="244">
        <f t="shared" si="0"/>
        <v>51111111.111111104</v>
      </c>
      <c r="Q27" s="240"/>
    </row>
    <row r="28" spans="2:17" ht="16.5" x14ac:dyDescent="0.3">
      <c r="B28" s="503" t="s">
        <v>1113</v>
      </c>
      <c r="C28" s="515">
        <v>30833333.333333332</v>
      </c>
      <c r="D28" s="515">
        <v>2916666.6666666665</v>
      </c>
      <c r="E28" s="515">
        <v>0</v>
      </c>
      <c r="F28" s="515">
        <v>33750000</v>
      </c>
      <c r="I28" s="33">
        <f>IFERROR(
IF(ISBLANK(Table_TSCD_KhauHao[[#This Row],[Tháng]]),
DATE(Table_TSCD_KhauHao[[#This Row],[Năm]],12,1),
DATE(Table_TSCD_KhauHao[[#This Row],[Năm]],Table_TSCD_KhauHao[[#This Row],[Tháng]],1)),0)</f>
        <v>45778</v>
      </c>
      <c r="J28" s="240">
        <v>2025</v>
      </c>
      <c r="K28" s="240">
        <v>5</v>
      </c>
      <c r="L28" s="244">
        <f>+Table_TSCD_KhauHao[[#This Row],[Khấu hao sản xuất]]+Table_TSCD_KhauHao[[#This Row],[Khấu hao bán hàng]]+Table_TSCD_KhauHao[[#This Row],[Khấu hao quản lý]]</f>
        <v>51111111.111111104</v>
      </c>
      <c r="M28"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8"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8"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8" s="244">
        <f t="shared" si="0"/>
        <v>51111111.111111104</v>
      </c>
      <c r="Q28" s="240"/>
    </row>
    <row r="29" spans="2:17" ht="16.5" x14ac:dyDescent="0.3">
      <c r="B29" s="503" t="s">
        <v>1142</v>
      </c>
      <c r="C29" s="515">
        <v>30833333.333333332</v>
      </c>
      <c r="D29" s="515">
        <v>11250000</v>
      </c>
      <c r="E29" s="515">
        <v>0</v>
      </c>
      <c r="F29" s="515">
        <v>42083333.333333328</v>
      </c>
      <c r="I29" s="33">
        <f>IFERROR(
IF(ISBLANK(Table_TSCD_KhauHao[[#This Row],[Tháng]]),
DATE(Table_TSCD_KhauHao[[#This Row],[Năm]],12,1),
DATE(Table_TSCD_KhauHao[[#This Row],[Năm]],Table_TSCD_KhauHao[[#This Row],[Tháng]],1)),0)</f>
        <v>45748</v>
      </c>
      <c r="J29" s="240">
        <v>2025</v>
      </c>
      <c r="K29" s="240">
        <v>4</v>
      </c>
      <c r="L29" s="244">
        <f>+Table_TSCD_KhauHao[[#This Row],[Khấu hao sản xuất]]+Table_TSCD_KhauHao[[#This Row],[Khấu hao bán hàng]]+Table_TSCD_KhauHao[[#This Row],[Khấu hao quản lý]]</f>
        <v>51111111.111111104</v>
      </c>
      <c r="M29"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9"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9"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9" s="244">
        <f t="shared" si="0"/>
        <v>51111111.111111104</v>
      </c>
      <c r="Q29" s="240"/>
    </row>
    <row r="30" spans="2:17" ht="16.5" x14ac:dyDescent="0.3">
      <c r="B30" s="503" t="s">
        <v>1143</v>
      </c>
      <c r="C30" s="515">
        <v>30833333.333333332</v>
      </c>
      <c r="D30" s="515">
        <v>11250000</v>
      </c>
      <c r="E30" s="515">
        <v>0</v>
      </c>
      <c r="F30" s="515">
        <v>42083333.333333328</v>
      </c>
      <c r="I30" s="33">
        <f>IFERROR(
IF(ISBLANK(Table_TSCD_KhauHao[[#This Row],[Tháng]]),
DATE(Table_TSCD_KhauHao[[#This Row],[Năm]],12,1),
DATE(Table_TSCD_KhauHao[[#This Row],[Năm]],Table_TSCD_KhauHao[[#This Row],[Tháng]],1)),0)</f>
        <v>45717</v>
      </c>
      <c r="J30" s="240">
        <v>2025</v>
      </c>
      <c r="K30" s="240">
        <v>3</v>
      </c>
      <c r="L30" s="244">
        <f>+Table_TSCD_KhauHao[[#This Row],[Khấu hao sản xuất]]+Table_TSCD_KhauHao[[#This Row],[Khấu hao bán hàng]]+Table_TSCD_KhauHao[[#This Row],[Khấu hao quản lý]]</f>
        <v>51111111.111111104</v>
      </c>
      <c r="M30"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0"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0"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0" s="244">
        <f t="shared" si="0"/>
        <v>51111111.111111104</v>
      </c>
      <c r="Q30" s="240"/>
    </row>
    <row r="31" spans="2:17" ht="16.5" x14ac:dyDescent="0.3">
      <c r="B31" s="98" t="s">
        <v>1141</v>
      </c>
      <c r="C31" s="515">
        <v>369999999.99999994</v>
      </c>
      <c r="D31" s="515">
        <v>135000000</v>
      </c>
      <c r="E31" s="515">
        <v>73611111.111111104</v>
      </c>
      <c r="F31" s="515">
        <v>578611111.11111104</v>
      </c>
      <c r="I31" s="33">
        <f>IFERROR(
IF(ISBLANK(Table_TSCD_KhauHao[[#This Row],[Tháng]]),
DATE(Table_TSCD_KhauHao[[#This Row],[Năm]],12,1),
DATE(Table_TSCD_KhauHao[[#This Row],[Năm]],Table_TSCD_KhauHao[[#This Row],[Tháng]],1)),0)</f>
        <v>45689</v>
      </c>
      <c r="J31" s="240">
        <v>2025</v>
      </c>
      <c r="K31" s="240">
        <v>2</v>
      </c>
      <c r="L31" s="244">
        <f>+Table_TSCD_KhauHao[[#This Row],[Khấu hao sản xuất]]+Table_TSCD_KhauHao[[#This Row],[Khấu hao bán hàng]]+Table_TSCD_KhauHao[[#This Row],[Khấu hao quản lý]]</f>
        <v>51111111.111111104</v>
      </c>
      <c r="M3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1" s="244">
        <f t="shared" si="0"/>
        <v>51111111.111111104</v>
      </c>
      <c r="Q31" s="240"/>
    </row>
    <row r="32" spans="2:17" ht="16.5" x14ac:dyDescent="0.3">
      <c r="B32" s="503" t="s">
        <v>1144</v>
      </c>
      <c r="C32" s="515">
        <v>30833333.333333332</v>
      </c>
      <c r="D32" s="515">
        <v>11250000</v>
      </c>
      <c r="E32" s="515">
        <v>0</v>
      </c>
      <c r="F32" s="515">
        <v>42083333.333333328</v>
      </c>
      <c r="I32" s="33">
        <f>IFERROR(
IF(ISBLANK(Table_TSCD_KhauHao[[#This Row],[Tháng]]),
DATE(Table_TSCD_KhauHao[[#This Row],[Năm]],12,1),
DATE(Table_TSCD_KhauHao[[#This Row],[Năm]],Table_TSCD_KhauHao[[#This Row],[Tháng]],1)),0)</f>
        <v>45658</v>
      </c>
      <c r="J32" s="240">
        <v>2025</v>
      </c>
      <c r="K32" s="240">
        <v>1</v>
      </c>
      <c r="L32" s="244">
        <f>+Table_TSCD_KhauHao[[#This Row],[Khấu hao sản xuất]]+Table_TSCD_KhauHao[[#This Row],[Khấu hao bán hàng]]+Table_TSCD_KhauHao[[#This Row],[Khấu hao quản lý]]</f>
        <v>51111111.111111104</v>
      </c>
      <c r="M3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2" s="244">
        <f t="shared" si="0"/>
        <v>51111111.111111104</v>
      </c>
      <c r="Q32" s="240"/>
    </row>
    <row r="33" spans="2:17" ht="16.5" x14ac:dyDescent="0.3">
      <c r="B33" s="503" t="s">
        <v>1106</v>
      </c>
      <c r="C33" s="515">
        <v>30833333.333333332</v>
      </c>
      <c r="D33" s="515">
        <v>11250000</v>
      </c>
      <c r="E33" s="515">
        <v>0</v>
      </c>
      <c r="F33" s="515">
        <v>42083333.333333328</v>
      </c>
      <c r="I33" s="33">
        <f>IFERROR(
IF(ISBLANK(Table_TSCD_KhauHao[[#This Row],[Tháng]]),
DATE(Table_TSCD_KhauHao[[#This Row],[Năm]],12,1),
DATE(Table_TSCD_KhauHao[[#This Row],[Năm]],Table_TSCD_KhauHao[[#This Row],[Tháng]],1)),0)</f>
        <v>45627</v>
      </c>
      <c r="J33" s="240">
        <v>2024</v>
      </c>
      <c r="K33" s="240">
        <v>12</v>
      </c>
      <c r="L33" s="244">
        <f>+Table_TSCD_KhauHao[[#This Row],[Khấu hao sản xuất]]+Table_TSCD_KhauHao[[#This Row],[Khấu hao bán hàng]]+Table_TSCD_KhauHao[[#This Row],[Khấu hao quản lý]]</f>
        <v>51111111.111111104</v>
      </c>
      <c r="M3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3" s="244">
        <f t="shared" si="0"/>
        <v>51111111.111111104</v>
      </c>
      <c r="Q33" s="240"/>
    </row>
    <row r="34" spans="2:17" ht="16.5" x14ac:dyDescent="0.3">
      <c r="B34" s="503" t="s">
        <v>1145</v>
      </c>
      <c r="C34" s="515">
        <v>30833333.333333332</v>
      </c>
      <c r="D34" s="515">
        <v>11250000</v>
      </c>
      <c r="E34" s="515">
        <v>694444.4444444445</v>
      </c>
      <c r="F34" s="515">
        <v>42777777.777777776</v>
      </c>
      <c r="I34" s="33">
        <f>IFERROR(
IF(ISBLANK(Table_TSCD_KhauHao[[#This Row],[Tháng]]),
DATE(Table_TSCD_KhauHao[[#This Row],[Năm]],12,1),
DATE(Table_TSCD_KhauHao[[#This Row],[Năm]],Table_TSCD_KhauHao[[#This Row],[Tháng]],1)),0)</f>
        <v>45597</v>
      </c>
      <c r="J34" s="240">
        <v>2024</v>
      </c>
      <c r="K34" s="240">
        <v>11</v>
      </c>
      <c r="L34" s="244">
        <f>+Table_TSCD_KhauHao[[#This Row],[Khấu hao sản xuất]]+Table_TSCD_KhauHao[[#This Row],[Khấu hao bán hàng]]+Table_TSCD_KhauHao[[#This Row],[Khấu hao quản lý]]</f>
        <v>51111111.111111104</v>
      </c>
      <c r="M34"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4"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4"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4" s="244">
        <f t="shared" si="0"/>
        <v>51111111.111111104</v>
      </c>
      <c r="Q34" s="240"/>
    </row>
    <row r="35" spans="2:17" ht="16.5" x14ac:dyDescent="0.3">
      <c r="B35" s="503" t="s">
        <v>1107</v>
      </c>
      <c r="C35" s="515">
        <v>30833333.333333332</v>
      </c>
      <c r="D35" s="515">
        <v>11250000</v>
      </c>
      <c r="E35" s="515">
        <v>694444.4444444445</v>
      </c>
      <c r="F35" s="515">
        <v>42777777.777777776</v>
      </c>
      <c r="I35" s="33">
        <f>IFERROR(
IF(ISBLANK(Table_TSCD_KhauHao[[#This Row],[Tháng]]),
DATE(Table_TSCD_KhauHao[[#This Row],[Năm]],12,1),
DATE(Table_TSCD_KhauHao[[#This Row],[Năm]],Table_TSCD_KhauHao[[#This Row],[Tháng]],1)),0)</f>
        <v>45566</v>
      </c>
      <c r="J35" s="240">
        <v>2024</v>
      </c>
      <c r="K35" s="240">
        <v>10</v>
      </c>
      <c r="L35" s="244">
        <f>+Table_TSCD_KhauHao[[#This Row],[Khấu hao sản xuất]]+Table_TSCD_KhauHao[[#This Row],[Khấu hao bán hàng]]+Table_TSCD_KhauHao[[#This Row],[Khấu hao quản lý]]</f>
        <v>51111111.111111104</v>
      </c>
      <c r="M35"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5"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5"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5" s="244">
        <f t="shared" si="0"/>
        <v>51111111.111111104</v>
      </c>
      <c r="Q35" s="240"/>
    </row>
    <row r="36" spans="2:17" ht="16.5" x14ac:dyDescent="0.3">
      <c r="B36" s="503" t="s">
        <v>1108</v>
      </c>
      <c r="C36" s="515">
        <v>30833333.333333332</v>
      </c>
      <c r="D36" s="515">
        <v>11250000</v>
      </c>
      <c r="E36" s="515">
        <v>9027777.777777778</v>
      </c>
      <c r="F36" s="515">
        <v>51111111.111111104</v>
      </c>
      <c r="I36" s="33">
        <f>IFERROR(
IF(ISBLANK(Table_TSCD_KhauHao[[#This Row],[Tháng]]),
DATE(Table_TSCD_KhauHao[[#This Row],[Năm]],12,1),
DATE(Table_TSCD_KhauHao[[#This Row],[Năm]],Table_TSCD_KhauHao[[#This Row],[Tháng]],1)),0)</f>
        <v>45536</v>
      </c>
      <c r="J36" s="240">
        <v>2024</v>
      </c>
      <c r="K36" s="240">
        <v>9</v>
      </c>
      <c r="L36" s="244">
        <f>+Table_TSCD_KhauHao[[#This Row],[Khấu hao sản xuất]]+Table_TSCD_KhauHao[[#This Row],[Khấu hao bán hàng]]+Table_TSCD_KhauHao[[#This Row],[Khấu hao quản lý]]</f>
        <v>51111111.111111104</v>
      </c>
      <c r="M36"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6"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6"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6" s="244">
        <f t="shared" si="0"/>
        <v>51111111.111111104</v>
      </c>
      <c r="Q36" s="240"/>
    </row>
    <row r="37" spans="2:17" ht="16.5" x14ac:dyDescent="0.3">
      <c r="B37" s="503" t="s">
        <v>1109</v>
      </c>
      <c r="C37" s="515">
        <v>30833333.333333332</v>
      </c>
      <c r="D37" s="515">
        <v>11250000</v>
      </c>
      <c r="E37" s="515">
        <v>9027777.777777778</v>
      </c>
      <c r="F37" s="515">
        <v>51111111.111111104</v>
      </c>
      <c r="I37" s="33">
        <f>IFERROR(
IF(ISBLANK(Table_TSCD_KhauHao[[#This Row],[Tháng]]),
DATE(Table_TSCD_KhauHao[[#This Row],[Năm]],12,1),
DATE(Table_TSCD_KhauHao[[#This Row],[Năm]],Table_TSCD_KhauHao[[#This Row],[Tháng]],1)),0)</f>
        <v>45505</v>
      </c>
      <c r="J37" s="240">
        <v>2024</v>
      </c>
      <c r="K37" s="240">
        <v>8</v>
      </c>
      <c r="L37" s="244">
        <f>+Table_TSCD_KhauHao[[#This Row],[Khấu hao sản xuất]]+Table_TSCD_KhauHao[[#This Row],[Khấu hao bán hàng]]+Table_TSCD_KhauHao[[#This Row],[Khấu hao quản lý]]</f>
        <v>51111111.111111104</v>
      </c>
      <c r="M37"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7"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7"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7" s="244">
        <f t="shared" si="0"/>
        <v>51111111.111111104</v>
      </c>
      <c r="Q37" s="240"/>
    </row>
    <row r="38" spans="2:17" ht="16.5" x14ac:dyDescent="0.3">
      <c r="B38" s="503" t="s">
        <v>1110</v>
      </c>
      <c r="C38" s="515">
        <v>30833333.333333332</v>
      </c>
      <c r="D38" s="515">
        <v>11250000</v>
      </c>
      <c r="E38" s="515">
        <v>9027777.777777778</v>
      </c>
      <c r="F38" s="515">
        <v>51111111.111111104</v>
      </c>
      <c r="I38" s="33">
        <f>IFERROR(
IF(ISBLANK(Table_TSCD_KhauHao[[#This Row],[Tháng]]),
DATE(Table_TSCD_KhauHao[[#This Row],[Năm]],12,1),
DATE(Table_TSCD_KhauHao[[#This Row],[Năm]],Table_TSCD_KhauHao[[#This Row],[Tháng]],1)),0)</f>
        <v>45474</v>
      </c>
      <c r="J38" s="240">
        <v>2024</v>
      </c>
      <c r="K38" s="240">
        <v>7</v>
      </c>
      <c r="L38" s="244">
        <f>+Table_TSCD_KhauHao[[#This Row],[Khấu hao sản xuất]]+Table_TSCD_KhauHao[[#This Row],[Khấu hao bán hàng]]+Table_TSCD_KhauHao[[#This Row],[Khấu hao quản lý]]</f>
        <v>51111111.111111104</v>
      </c>
      <c r="M38"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8"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8"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8" s="244">
        <f t="shared" si="0"/>
        <v>51111111.111111104</v>
      </c>
      <c r="Q38" s="240"/>
    </row>
    <row r="39" spans="2:17" ht="16.5" x14ac:dyDescent="0.3">
      <c r="B39" s="503" t="s">
        <v>1111</v>
      </c>
      <c r="C39" s="515">
        <v>30833333.333333332</v>
      </c>
      <c r="D39" s="515">
        <v>11250000</v>
      </c>
      <c r="E39" s="515">
        <v>9027777.777777778</v>
      </c>
      <c r="F39" s="515">
        <v>51111111.111111104</v>
      </c>
      <c r="I39" s="33">
        <f>IFERROR(
IF(ISBLANK(Table_TSCD_KhauHao[[#This Row],[Tháng]]),
DATE(Table_TSCD_KhauHao[[#This Row],[Năm]],12,1),
DATE(Table_TSCD_KhauHao[[#This Row],[Năm]],Table_TSCD_KhauHao[[#This Row],[Tháng]],1)),0)</f>
        <v>45444</v>
      </c>
      <c r="J39" s="240">
        <v>2024</v>
      </c>
      <c r="K39" s="240">
        <v>6</v>
      </c>
      <c r="L39" s="244">
        <f>+Table_TSCD_KhauHao[[#This Row],[Khấu hao sản xuất]]+Table_TSCD_KhauHao[[#This Row],[Khấu hao bán hàng]]+Table_TSCD_KhauHao[[#This Row],[Khấu hao quản lý]]</f>
        <v>51111111.111111104</v>
      </c>
      <c r="M39"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9"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9"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9" s="244">
        <f t="shared" si="0"/>
        <v>51111111.111111104</v>
      </c>
      <c r="Q39" s="240"/>
    </row>
    <row r="40" spans="2:17" ht="16.5" x14ac:dyDescent="0.3">
      <c r="B40" s="503" t="s">
        <v>1112</v>
      </c>
      <c r="C40" s="515">
        <v>30833333.333333332</v>
      </c>
      <c r="D40" s="515">
        <v>11250000</v>
      </c>
      <c r="E40" s="515">
        <v>9027777.777777778</v>
      </c>
      <c r="F40" s="515">
        <v>51111111.111111104</v>
      </c>
      <c r="I40" s="33">
        <f>IFERROR(
IF(ISBLANK(Table_TSCD_KhauHao[[#This Row],[Tháng]]),
DATE(Table_TSCD_KhauHao[[#This Row],[Năm]],12,1),
DATE(Table_TSCD_KhauHao[[#This Row],[Năm]],Table_TSCD_KhauHao[[#This Row],[Tháng]],1)),0)</f>
        <v>45413</v>
      </c>
      <c r="J40" s="240">
        <v>2024</v>
      </c>
      <c r="K40" s="240">
        <v>5</v>
      </c>
      <c r="L40" s="244">
        <f>+Table_TSCD_KhauHao[[#This Row],[Khấu hao sản xuất]]+Table_TSCD_KhauHao[[#This Row],[Khấu hao bán hàng]]+Table_TSCD_KhauHao[[#This Row],[Khấu hao quản lý]]</f>
        <v>51111111.111111104</v>
      </c>
      <c r="M40"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0"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0"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40" s="244">
        <f t="shared" si="0"/>
        <v>51111111.111111104</v>
      </c>
      <c r="Q40" s="240"/>
    </row>
    <row r="41" spans="2:17" ht="16.5" x14ac:dyDescent="0.3">
      <c r="B41" s="503" t="s">
        <v>1113</v>
      </c>
      <c r="C41" s="515">
        <v>30833333.333333332</v>
      </c>
      <c r="D41" s="515">
        <v>11250000</v>
      </c>
      <c r="E41" s="515">
        <v>9027777.777777778</v>
      </c>
      <c r="F41" s="515">
        <v>51111111.111111104</v>
      </c>
      <c r="I41" s="33">
        <f>IFERROR(
IF(ISBLANK(Table_TSCD_KhauHao[[#This Row],[Tháng]]),
DATE(Table_TSCD_KhauHao[[#This Row],[Năm]],12,1),
DATE(Table_TSCD_KhauHao[[#This Row],[Năm]],Table_TSCD_KhauHao[[#This Row],[Tháng]],1)),0)</f>
        <v>45383</v>
      </c>
      <c r="J41" s="240">
        <v>2024</v>
      </c>
      <c r="K41" s="240">
        <v>4</v>
      </c>
      <c r="L41" s="244">
        <f>+Table_TSCD_KhauHao[[#This Row],[Khấu hao sản xuất]]+Table_TSCD_KhauHao[[#This Row],[Khấu hao bán hàng]]+Table_TSCD_KhauHao[[#This Row],[Khấu hao quản lý]]</f>
        <v>42777777.777777776</v>
      </c>
      <c r="M4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1" s="244">
        <f t="shared" si="0"/>
        <v>42777777.777777776</v>
      </c>
      <c r="Q41" s="240"/>
    </row>
    <row r="42" spans="2:17" ht="16.5" x14ac:dyDescent="0.3">
      <c r="B42" s="503" t="s">
        <v>1142</v>
      </c>
      <c r="C42" s="515">
        <v>30833333.333333332</v>
      </c>
      <c r="D42" s="515">
        <v>11250000</v>
      </c>
      <c r="E42" s="515">
        <v>9027777.777777778</v>
      </c>
      <c r="F42" s="515">
        <v>51111111.111111104</v>
      </c>
      <c r="I42" s="33">
        <f>IFERROR(
IF(ISBLANK(Table_TSCD_KhauHao[[#This Row],[Tháng]]),
DATE(Table_TSCD_KhauHao[[#This Row],[Năm]],12,1),
DATE(Table_TSCD_KhauHao[[#This Row],[Năm]],Table_TSCD_KhauHao[[#This Row],[Tháng]],1)),0)</f>
        <v>45352</v>
      </c>
      <c r="J42" s="240">
        <v>2024</v>
      </c>
      <c r="K42" s="240">
        <v>3</v>
      </c>
      <c r="L42" s="244">
        <f>+Table_TSCD_KhauHao[[#This Row],[Khấu hao sản xuất]]+Table_TSCD_KhauHao[[#This Row],[Khấu hao bán hàng]]+Table_TSCD_KhauHao[[#This Row],[Khấu hao quản lý]]</f>
        <v>42777777.777777776</v>
      </c>
      <c r="M4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2" s="244">
        <f t="shared" si="0"/>
        <v>42777777.777777776</v>
      </c>
      <c r="Q42" s="240"/>
    </row>
    <row r="43" spans="2:17" ht="16.5" x14ac:dyDescent="0.3">
      <c r="B43" s="503" t="s">
        <v>1143</v>
      </c>
      <c r="C43" s="515">
        <v>30833333.333333332</v>
      </c>
      <c r="D43" s="515">
        <v>11250000</v>
      </c>
      <c r="E43" s="515">
        <v>9027777.777777778</v>
      </c>
      <c r="F43" s="515">
        <v>51111111.111111104</v>
      </c>
      <c r="I43" s="33">
        <f>IFERROR(
IF(ISBLANK(Table_TSCD_KhauHao[[#This Row],[Tháng]]),
DATE(Table_TSCD_KhauHao[[#This Row],[Năm]],12,1),
DATE(Table_TSCD_KhauHao[[#This Row],[Năm]],Table_TSCD_KhauHao[[#This Row],[Tháng]],1)),0)</f>
        <v>45323</v>
      </c>
      <c r="J43" s="240">
        <v>2024</v>
      </c>
      <c r="K43" s="240">
        <v>2</v>
      </c>
      <c r="L43" s="244">
        <f>+Table_TSCD_KhauHao[[#This Row],[Khấu hao sản xuất]]+Table_TSCD_KhauHao[[#This Row],[Khấu hao bán hàng]]+Table_TSCD_KhauHao[[#This Row],[Khấu hao quản lý]]</f>
        <v>42083333.333333328</v>
      </c>
      <c r="M4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3" s="244">
        <f t="shared" si="0"/>
        <v>42083333.333333328</v>
      </c>
      <c r="Q43" s="240"/>
    </row>
    <row r="44" spans="2:17" ht="16.5" x14ac:dyDescent="0.3">
      <c r="B44" s="98" t="s">
        <v>1102</v>
      </c>
      <c r="C44" s="515">
        <v>522499999.99999988</v>
      </c>
      <c r="D44" s="515">
        <v>160416666.66666666</v>
      </c>
      <c r="E44" s="515">
        <v>73611111.111111104</v>
      </c>
      <c r="F44" s="515">
        <v>756527777.77777791</v>
      </c>
      <c r="I44" s="33">
        <f>IFERROR(
IF(ISBLANK(Table_TSCD_KhauHao[[#This Row],[Tháng]]),
DATE(Table_TSCD_KhauHao[[#This Row],[Năm]],12,1),
DATE(Table_TSCD_KhauHao[[#This Row],[Năm]],Table_TSCD_KhauHao[[#This Row],[Tháng]],1)),0)</f>
        <v>45292</v>
      </c>
      <c r="J44" s="240">
        <v>2024</v>
      </c>
      <c r="K44" s="240">
        <v>1</v>
      </c>
      <c r="L44" s="244">
        <f>+Table_TSCD_KhauHao[[#This Row],[Khấu hao sản xuất]]+Table_TSCD_KhauHao[[#This Row],[Khấu hao bán hàng]]+Table_TSCD_KhauHao[[#This Row],[Khấu hao quản lý]]</f>
        <v>42083333.333333328</v>
      </c>
      <c r="M44"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4"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4"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4" s="244">
        <f t="shared" si="0"/>
        <v>42083333.333333328</v>
      </c>
      <c r="Q44" s="240"/>
    </row>
    <row r="45" spans="2:17" ht="16.5" x14ac:dyDescent="0.3">
      <c r="B45"/>
      <c r="C45"/>
      <c r="D45"/>
      <c r="E45"/>
      <c r="F45"/>
      <c r="I45" s="33">
        <f>IFERROR(
IF(ISBLANK(Table_TSCD_KhauHao[[#This Row],[Tháng]]),
DATE(Table_TSCD_KhauHao[[#This Row],[Năm]],12,1),
DATE(Table_TSCD_KhauHao[[#This Row],[Năm]],Table_TSCD_KhauHao[[#This Row],[Tháng]],1)),0)</f>
        <v>45261</v>
      </c>
      <c r="J45" s="240">
        <v>2023</v>
      </c>
      <c r="K45" s="240">
        <v>12</v>
      </c>
      <c r="L45" s="244">
        <f>+Table_TSCD_KhauHao[[#This Row],[Khấu hao sản xuất]]+Table_TSCD_KhauHao[[#This Row],[Khấu hao bán hàng]]+Table_TSCD_KhauHao[[#This Row],[Khấu hao quản lý]]</f>
        <v>42083333.333333328</v>
      </c>
      <c r="M45"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5"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5"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5" s="244">
        <f t="shared" si="0"/>
        <v>42083333.333333328</v>
      </c>
      <c r="Q45" s="240"/>
    </row>
    <row r="46" spans="2:17" ht="16.5" x14ac:dyDescent="0.3">
      <c r="B46"/>
      <c r="C46"/>
      <c r="D46"/>
      <c r="E46"/>
      <c r="F46"/>
      <c r="I46" s="33">
        <f>IFERROR(
IF(ISBLANK(Table_TSCD_KhauHao[[#This Row],[Tháng]]),
DATE(Table_TSCD_KhauHao[[#This Row],[Năm]],12,1),
DATE(Table_TSCD_KhauHao[[#This Row],[Năm]],Table_TSCD_KhauHao[[#This Row],[Tháng]],1)),0)</f>
        <v>45231</v>
      </c>
      <c r="J46" s="240">
        <v>2023</v>
      </c>
      <c r="K46" s="240">
        <v>11</v>
      </c>
      <c r="L46" s="244">
        <f>+Table_TSCD_KhauHao[[#This Row],[Khấu hao sản xuất]]+Table_TSCD_KhauHao[[#This Row],[Khấu hao bán hàng]]+Table_TSCD_KhauHao[[#This Row],[Khấu hao quản lý]]</f>
        <v>42083333.333333328</v>
      </c>
      <c r="M46"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6"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6"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6" s="244">
        <f t="shared" si="0"/>
        <v>42083333.333333328</v>
      </c>
      <c r="Q46" s="240"/>
    </row>
    <row r="47" spans="2:17" ht="16.5" x14ac:dyDescent="0.3">
      <c r="B47"/>
      <c r="C47"/>
      <c r="D47"/>
      <c r="E47"/>
      <c r="F47"/>
      <c r="I47" s="33">
        <f>IFERROR(
IF(ISBLANK(Table_TSCD_KhauHao[[#This Row],[Tháng]]),
DATE(Table_TSCD_KhauHao[[#This Row],[Năm]],12,1),
DATE(Table_TSCD_KhauHao[[#This Row],[Năm]],Table_TSCD_KhauHao[[#This Row],[Tháng]],1)),0)</f>
        <v>45200</v>
      </c>
      <c r="J47" s="240">
        <v>2023</v>
      </c>
      <c r="K47" s="240">
        <v>10</v>
      </c>
      <c r="L47" s="244">
        <f>+Table_TSCD_KhauHao[[#This Row],[Khấu hao sản xuất]]+Table_TSCD_KhauHao[[#This Row],[Khấu hao bán hàng]]+Table_TSCD_KhauHao[[#This Row],[Khấu hao quản lý]]</f>
        <v>33750000</v>
      </c>
      <c r="M47"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7"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O47"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7" s="244">
        <f t="shared" si="0"/>
        <v>33750000</v>
      </c>
      <c r="Q47" s="240"/>
    </row>
    <row r="48" spans="2:17" ht="16.5" x14ac:dyDescent="0.3">
      <c r="B48"/>
      <c r="C48"/>
      <c r="D48"/>
      <c r="E48"/>
      <c r="F48"/>
      <c r="I48" s="33">
        <f>IFERROR(
IF(ISBLANK(Table_TSCD_KhauHao[[#This Row],[Tháng]]),
DATE(Table_TSCD_KhauHao[[#This Row],[Năm]],12,1),
DATE(Table_TSCD_KhauHao[[#This Row],[Năm]],Table_TSCD_KhauHao[[#This Row],[Tháng]],1)),0)</f>
        <v>45170</v>
      </c>
      <c r="J48" s="240">
        <v>2023</v>
      </c>
      <c r="K48" s="240">
        <v>9</v>
      </c>
      <c r="L48" s="244">
        <f>+Table_TSCD_KhauHao[[#This Row],[Khấu hao sản xuất]]+Table_TSCD_KhauHao[[#This Row],[Khấu hao bán hàng]]+Table_TSCD_KhauHao[[#This Row],[Khấu hao quản lý]]</f>
        <v>10000000</v>
      </c>
      <c r="M48"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8"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8"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8" s="244">
        <f t="shared" si="0"/>
        <v>10000000</v>
      </c>
      <c r="Q48" s="240"/>
    </row>
    <row r="49" spans="2:17" ht="16.5" x14ac:dyDescent="0.3">
      <c r="B49"/>
      <c r="C49"/>
      <c r="D49"/>
      <c r="E49"/>
      <c r="F49"/>
      <c r="I49" s="33">
        <f>IFERROR(
IF(ISBLANK(Table_TSCD_KhauHao[[#This Row],[Tháng]]),
DATE(Table_TSCD_KhauHao[[#This Row],[Năm]],12,1),
DATE(Table_TSCD_KhauHao[[#This Row],[Năm]],Table_TSCD_KhauHao[[#This Row],[Tháng]],1)),0)</f>
        <v>45139</v>
      </c>
      <c r="J49" s="240">
        <v>2023</v>
      </c>
      <c r="K49" s="240">
        <v>8</v>
      </c>
      <c r="L49" s="244">
        <f>+Table_TSCD_KhauHao[[#This Row],[Khấu hao sản xuất]]+Table_TSCD_KhauHao[[#This Row],[Khấu hao bán hàng]]+Table_TSCD_KhauHao[[#This Row],[Khấu hao quản lý]]</f>
        <v>10000000</v>
      </c>
      <c r="M49"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9"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9"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9" s="244">
        <f t="shared" si="0"/>
        <v>10000000</v>
      </c>
      <c r="Q49" s="240"/>
    </row>
    <row r="50" spans="2:17" ht="16.5" x14ac:dyDescent="0.3">
      <c r="B50"/>
      <c r="C50"/>
      <c r="D50"/>
      <c r="E50"/>
      <c r="F50"/>
      <c r="I50" s="33">
        <f>IFERROR(
IF(ISBLANK(Table_TSCD_KhauHao[[#This Row],[Tháng]]),
DATE(Table_TSCD_KhauHao[[#This Row],[Năm]],12,1),
DATE(Table_TSCD_KhauHao[[#This Row],[Năm]],Table_TSCD_KhauHao[[#This Row],[Tháng]],1)),0)</f>
        <v>45108</v>
      </c>
      <c r="J50" s="240">
        <v>2023</v>
      </c>
      <c r="K50" s="240">
        <v>7</v>
      </c>
      <c r="L50" s="244">
        <f>+Table_TSCD_KhauHao[[#This Row],[Khấu hao sản xuất]]+Table_TSCD_KhauHao[[#This Row],[Khấu hao bán hàng]]+Table_TSCD_KhauHao[[#This Row],[Khấu hao quản lý]]</f>
        <v>10000000</v>
      </c>
      <c r="M50"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0"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0"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0" s="244">
        <f t="shared" si="0"/>
        <v>10000000</v>
      </c>
      <c r="Q50" s="240"/>
    </row>
    <row r="51" spans="2:17" ht="16.5" x14ac:dyDescent="0.3">
      <c r="B51"/>
      <c r="C51"/>
      <c r="D51"/>
      <c r="E51"/>
      <c r="F51"/>
      <c r="I51" s="33">
        <f>IFERROR(
IF(ISBLANK(Table_TSCD_KhauHao[[#This Row],[Tháng]]),
DATE(Table_TSCD_KhauHao[[#This Row],[Năm]],12,1),
DATE(Table_TSCD_KhauHao[[#This Row],[Năm]],Table_TSCD_KhauHao[[#This Row],[Tháng]],1)),0)</f>
        <v>45078</v>
      </c>
      <c r="J51" s="240">
        <v>2023</v>
      </c>
      <c r="K51" s="240">
        <v>6</v>
      </c>
      <c r="L51" s="244">
        <f>+Table_TSCD_KhauHao[[#This Row],[Khấu hao sản xuất]]+Table_TSCD_KhauHao[[#This Row],[Khấu hao bán hàng]]+Table_TSCD_KhauHao[[#This Row],[Khấu hao quản lý]]</f>
        <v>10000000</v>
      </c>
      <c r="M5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1" s="244">
        <f t="shared" si="0"/>
        <v>10000000</v>
      </c>
      <c r="Q51" s="240"/>
    </row>
    <row r="52" spans="2:17" ht="16.5" x14ac:dyDescent="0.3">
      <c r="B52"/>
      <c r="C52"/>
      <c r="D52"/>
      <c r="E52"/>
      <c r="F52"/>
      <c r="I52" s="33">
        <f>IFERROR(
IF(ISBLANK(Table_TSCD_KhauHao[[#This Row],[Tháng]]),
DATE(Table_TSCD_KhauHao[[#This Row],[Năm]],12,1),
DATE(Table_TSCD_KhauHao[[#This Row],[Năm]],Table_TSCD_KhauHao[[#This Row],[Tháng]],1)),0)</f>
        <v>45047</v>
      </c>
      <c r="J52" s="240">
        <v>2023</v>
      </c>
      <c r="K52" s="240">
        <v>5</v>
      </c>
      <c r="L52" s="244">
        <f>+Table_TSCD_KhauHao[[#This Row],[Khấu hao sản xuất]]+Table_TSCD_KhauHao[[#This Row],[Khấu hao bán hàng]]+Table_TSCD_KhauHao[[#This Row],[Khấu hao quản lý]]</f>
        <v>10000000</v>
      </c>
      <c r="M5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2" s="244">
        <f t="shared" si="0"/>
        <v>10000000</v>
      </c>
      <c r="Q52" s="240"/>
    </row>
    <row r="53" spans="2:17" ht="16.5" x14ac:dyDescent="0.3">
      <c r="B53"/>
      <c r="C53"/>
      <c r="D53"/>
      <c r="E53"/>
      <c r="F53"/>
      <c r="I53" s="33">
        <f>IFERROR(
IF(ISBLANK(Table_TSCD_KhauHao[[#This Row],[Tháng]]),
DATE(Table_TSCD_KhauHao[[#This Row],[Năm]],12,1),
DATE(Table_TSCD_KhauHao[[#This Row],[Năm]],Table_TSCD_KhauHao[[#This Row],[Tháng]],1)),0)</f>
        <v>45017</v>
      </c>
      <c r="J53" s="240">
        <v>2023</v>
      </c>
      <c r="K53" s="240">
        <v>4</v>
      </c>
      <c r="L53" s="244">
        <f>+Table_TSCD_KhauHao[[#This Row],[Khấu hao sản xuất]]+Table_TSCD_KhauHao[[#This Row],[Khấu hao bán hàng]]+Table_TSCD_KhauHao[[#This Row],[Khấu hao quản lý]]</f>
        <v>10000000</v>
      </c>
      <c r="M5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3" s="244">
        <f t="shared" si="0"/>
        <v>10000000</v>
      </c>
      <c r="Q53" s="240"/>
    </row>
    <row r="54" spans="2:17" ht="16.5" x14ac:dyDescent="0.3">
      <c r="B54"/>
      <c r="C54"/>
      <c r="D54"/>
      <c r="E54"/>
      <c r="F54"/>
    </row>
    <row r="55" spans="2:17" ht="16.5" x14ac:dyDescent="0.3">
      <c r="B55"/>
      <c r="C55"/>
      <c r="D55"/>
      <c r="E55"/>
      <c r="F55"/>
    </row>
    <row r="56" spans="2:17" ht="16.5" x14ac:dyDescent="0.3">
      <c r="B56"/>
      <c r="C56"/>
      <c r="D56"/>
      <c r="E56"/>
      <c r="F56"/>
    </row>
    <row r="57" spans="2:17" ht="16.5" x14ac:dyDescent="0.3">
      <c r="B57"/>
      <c r="C57"/>
      <c r="D57"/>
      <c r="E57"/>
      <c r="F57"/>
    </row>
  </sheetData>
  <sheetProtection algorithmName="SHA-512" hashValue="mNP/wHnMATgDCfRiTA2RY9DzbFvceBIBiMAwV9xc+uCZwESxLD3xykd4yduoQm830UtXOsBD7QAEZYJwVTInLA==" saltValue="ya1ahWipP1cBj1Sgr8myHA==" spinCount="100000" sheet="1" scenarios="1" formatCells="0" formatColumns="0" formatRows="0" insertColumns="0" insertRows="0" deleteColumns="0" deleteRows="0" sort="0" autoFilter="0" pivotTables="0"/>
  <phoneticPr fontId="14"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4" r:id="rId4" name="Option Button 6">
              <controlPr defaultSize="0" autoFill="0" autoLine="0" autoPict="0" macro="[0]!DoiDonViHienThi">
                <anchor moveWithCells="1">
                  <from>
                    <xdr:col>11</xdr:col>
                    <xdr:colOff>400050</xdr:colOff>
                    <xdr:row>0</xdr:row>
                    <xdr:rowOff>133350</xdr:rowOff>
                  </from>
                  <to>
                    <xdr:col>11</xdr:col>
                    <xdr:colOff>990600</xdr:colOff>
                    <xdr:row>1</xdr:row>
                    <xdr:rowOff>114300</xdr:rowOff>
                  </to>
                </anchor>
              </controlPr>
            </control>
          </mc:Choice>
        </mc:AlternateContent>
        <mc:AlternateContent xmlns:mc="http://schemas.openxmlformats.org/markup-compatibility/2006">
          <mc:Choice Requires="x14">
            <control shapeId="63495" r:id="rId5" name="Option Button 7">
              <controlPr defaultSize="0" autoFill="0" autoLine="0" autoPict="0" macro="[0]!DoiDonViHienThi">
                <anchor moveWithCells="1">
                  <from>
                    <xdr:col>11</xdr:col>
                    <xdr:colOff>866775</xdr:colOff>
                    <xdr:row>0</xdr:row>
                    <xdr:rowOff>133350</xdr:rowOff>
                  </from>
                  <to>
                    <xdr:col>12</xdr:col>
                    <xdr:colOff>285750</xdr:colOff>
                    <xdr:row>1</xdr:row>
                    <xdr:rowOff>114300</xdr:rowOff>
                  </to>
                </anchor>
              </controlPr>
            </control>
          </mc:Choice>
        </mc:AlternateContent>
        <mc:AlternateContent xmlns:mc="http://schemas.openxmlformats.org/markup-compatibility/2006">
          <mc:Choice Requires="x14">
            <control shapeId="63496" r:id="rId6" name="Option Button 8">
              <controlPr defaultSize="0" autoFill="0" autoLine="0" autoPict="0" macro="[0]!DoiDonViHienThi">
                <anchor moveWithCells="1">
                  <from>
                    <xdr:col>12</xdr:col>
                    <xdr:colOff>161925</xdr:colOff>
                    <xdr:row>0</xdr:row>
                    <xdr:rowOff>133350</xdr:rowOff>
                  </from>
                  <to>
                    <xdr:col>12</xdr:col>
                    <xdr:colOff>752475</xdr:colOff>
                    <xdr:row>1</xdr:row>
                    <xdr:rowOff>114300</xdr:rowOff>
                  </to>
                </anchor>
              </controlPr>
            </control>
          </mc:Choice>
        </mc:AlternateContent>
        <mc:AlternateContent xmlns:mc="http://schemas.openxmlformats.org/markup-compatibility/2006">
          <mc:Choice Requires="x14">
            <control shapeId="63497" r:id="rId7" name="Option Button 9">
              <controlPr defaultSize="0" autoFill="0" autoLine="0" autoPict="0" macro="[0]!DoiDonViHienThi">
                <anchor moveWithCells="1">
                  <from>
                    <xdr:col>12</xdr:col>
                    <xdr:colOff>638175</xdr:colOff>
                    <xdr:row>0</xdr:row>
                    <xdr:rowOff>133350</xdr:rowOff>
                  </from>
                  <to>
                    <xdr:col>12</xdr:col>
                    <xdr:colOff>990600</xdr:colOff>
                    <xdr:row>1</xdr:row>
                    <xdr:rowOff>114300</xdr:rowOff>
                  </to>
                </anchor>
              </controlPr>
            </control>
          </mc:Choice>
        </mc:AlternateContent>
        <mc:AlternateContent xmlns:mc="http://schemas.openxmlformats.org/markup-compatibility/2006">
          <mc:Choice Requires="x14">
            <control shapeId="63498" r:id="rId8" name="Group Box 10">
              <controlPr defaultSize="0" autoFill="0" autoPict="0">
                <anchor moveWithCells="1">
                  <from>
                    <xdr:col>11</xdr:col>
                    <xdr:colOff>285750</xdr:colOff>
                    <xdr:row>0</xdr:row>
                    <xdr:rowOff>85725</xdr:rowOff>
                  </from>
                  <to>
                    <xdr:col>12</xdr:col>
                    <xdr:colOff>1104900</xdr:colOff>
                    <xdr:row>1</xdr:row>
                    <xdr:rowOff>152400</xdr:rowOff>
                  </to>
                </anchor>
              </controlPr>
            </control>
          </mc:Choice>
        </mc:AlternateContent>
        <mc:AlternateContent xmlns:mc="http://schemas.openxmlformats.org/markup-compatibility/2006">
          <mc:Choice Requires="x14">
            <control shapeId="63499" r:id="rId9" name="Group Box 11">
              <controlPr defaultSize="0" autoFill="0" autoPict="0">
                <anchor moveWithCells="1">
                  <from>
                    <xdr:col>8</xdr:col>
                    <xdr:colOff>28575</xdr:colOff>
                    <xdr:row>0</xdr:row>
                    <xdr:rowOff>85725</xdr:rowOff>
                  </from>
                  <to>
                    <xdr:col>11</xdr:col>
                    <xdr:colOff>238125</xdr:colOff>
                    <xdr:row>1</xdr:row>
                    <xdr:rowOff>152400</xdr:rowOff>
                  </to>
                </anchor>
              </controlPr>
            </control>
          </mc:Choice>
        </mc:AlternateContent>
        <mc:AlternateContent xmlns:mc="http://schemas.openxmlformats.org/markup-compatibility/2006">
          <mc:Choice Requires="x14">
            <control shapeId="63500" r:id="rId10" name="Button 12">
              <controlPr defaultSize="0" autoFill="0" autoPict="0" macro="[0]!NhanNghin">
                <anchor moveWithCells="1">
                  <from>
                    <xdr:col>8</xdr:col>
                    <xdr:colOff>114300</xdr:colOff>
                    <xdr:row>0</xdr:row>
                    <xdr:rowOff>180975</xdr:rowOff>
                  </from>
                  <to>
                    <xdr:col>9</xdr:col>
                    <xdr:colOff>133350</xdr:colOff>
                    <xdr:row>1</xdr:row>
                    <xdr:rowOff>57150</xdr:rowOff>
                  </to>
                </anchor>
              </controlPr>
            </control>
          </mc:Choice>
        </mc:AlternateContent>
        <mc:AlternateContent xmlns:mc="http://schemas.openxmlformats.org/markup-compatibility/2006">
          <mc:Choice Requires="x14">
            <control shapeId="63501" r:id="rId11" name="Button 13">
              <controlPr defaultSize="0" autoFill="0" autoPict="0" macro="[0]!NhanTrieu">
                <anchor moveWithCells="1">
                  <from>
                    <xdr:col>9</xdr:col>
                    <xdr:colOff>180975</xdr:colOff>
                    <xdr:row>0</xdr:row>
                    <xdr:rowOff>180975</xdr:rowOff>
                  </from>
                  <to>
                    <xdr:col>10</xdr:col>
                    <xdr:colOff>190500</xdr:colOff>
                    <xdr:row>1</xdr:row>
                    <xdr:rowOff>57150</xdr:rowOff>
                  </to>
                </anchor>
              </controlPr>
            </control>
          </mc:Choice>
        </mc:AlternateContent>
        <mc:AlternateContent xmlns:mc="http://schemas.openxmlformats.org/markup-compatibility/2006">
          <mc:Choice Requires="x14">
            <control shapeId="63502" r:id="rId12" name="Button 14">
              <controlPr defaultSize="0" autoFill="0" autoPict="0" macro="[0]!NhanTy">
                <anchor moveWithCells="1">
                  <from>
                    <xdr:col>10</xdr:col>
                    <xdr:colOff>238125</xdr:colOff>
                    <xdr:row>0</xdr:row>
                    <xdr:rowOff>180975</xdr:rowOff>
                  </from>
                  <to>
                    <xdr:col>11</xdr:col>
                    <xdr:colOff>161925</xdr:colOff>
                    <xdr:row>1</xdr:row>
                    <xdr:rowOff>57150</xdr:rowOff>
                  </to>
                </anchor>
              </controlPr>
            </control>
          </mc:Choice>
        </mc:AlternateContent>
        <mc:AlternateContent xmlns:mc="http://schemas.openxmlformats.org/markup-compatibility/2006">
          <mc:Choice Requires="x14">
            <control shapeId="63503" r:id="rId13" name="Button 15">
              <controlPr defaultSize="0" print="0" autoFill="0" autoPict="0" macro="[0]!AddRow">
                <anchor moveWithCells="1">
                  <from>
                    <xdr:col>13</xdr:col>
                    <xdr:colOff>495300</xdr:colOff>
                    <xdr:row>0</xdr:row>
                    <xdr:rowOff>95250</xdr:rowOff>
                  </from>
                  <to>
                    <xdr:col>13</xdr:col>
                    <xdr:colOff>971550</xdr:colOff>
                    <xdr:row>1</xdr:row>
                    <xdr:rowOff>57150</xdr:rowOff>
                  </to>
                </anchor>
              </controlPr>
            </control>
          </mc:Choice>
        </mc:AlternateContent>
        <mc:AlternateContent xmlns:mc="http://schemas.openxmlformats.org/markup-compatibility/2006">
          <mc:Choice Requires="x14">
            <control shapeId="63504" r:id="rId14" name="Button 16">
              <controlPr defaultSize="0" print="0" autoFill="0" autoPict="0" macro="[0]!DeleteRow">
                <anchor moveWithCells="1">
                  <from>
                    <xdr:col>13</xdr:col>
                    <xdr:colOff>1009650</xdr:colOff>
                    <xdr:row>0</xdr:row>
                    <xdr:rowOff>95250</xdr:rowOff>
                  </from>
                  <to>
                    <xdr:col>14</xdr:col>
                    <xdr:colOff>314325</xdr:colOff>
                    <xdr:row>1</xdr:row>
                    <xdr:rowOff>57150</xdr:rowOff>
                  </to>
                </anchor>
              </controlPr>
            </control>
          </mc:Choice>
        </mc:AlternateContent>
        <mc:AlternateContent xmlns:mc="http://schemas.openxmlformats.org/markup-compatibility/2006">
          <mc:Choice Requires="x14">
            <control shapeId="63505" r:id="rId15" name="Button 17">
              <controlPr defaultSize="0" print="0" autoFill="0" autoPict="0" macro="[0]!AddColumn">
                <anchor moveWithCells="1">
                  <from>
                    <xdr:col>17</xdr:col>
                    <xdr:colOff>104775</xdr:colOff>
                    <xdr:row>0</xdr:row>
                    <xdr:rowOff>95250</xdr:rowOff>
                  </from>
                  <to>
                    <xdr:col>17</xdr:col>
                    <xdr:colOff>619125</xdr:colOff>
                    <xdr:row>1</xdr:row>
                    <xdr:rowOff>57150</xdr:rowOff>
                  </to>
                </anchor>
              </controlPr>
            </control>
          </mc:Choice>
        </mc:AlternateContent>
        <mc:AlternateContent xmlns:mc="http://schemas.openxmlformats.org/markup-compatibility/2006">
          <mc:Choice Requires="x14">
            <control shapeId="63506" r:id="rId16" name="Button 18">
              <controlPr defaultSize="0" print="0" autoFill="0" autoPict="0" macro="[0]!DeleteColumn">
                <anchor moveWithCells="1">
                  <from>
                    <xdr:col>17</xdr:col>
                    <xdr:colOff>657225</xdr:colOff>
                    <xdr:row>0</xdr:row>
                    <xdr:rowOff>95250</xdr:rowOff>
                  </from>
                  <to>
                    <xdr:col>18</xdr:col>
                    <xdr:colOff>514350</xdr:colOff>
                    <xdr:row>1</xdr:row>
                    <xdr:rowOff>57150</xdr:rowOff>
                  </to>
                </anchor>
              </controlPr>
            </control>
          </mc:Choice>
        </mc:AlternateContent>
        <mc:AlternateContent xmlns:mc="http://schemas.openxmlformats.org/markup-compatibility/2006">
          <mc:Choice Requires="x14">
            <control shapeId="63508" r:id="rId17" name="Button 20">
              <controlPr defaultSize="0" print="0" autoFill="0" autoPict="0" macro="[0]!RefreshTables">
                <anchor moveWithCells="1">
                  <from>
                    <xdr:col>8</xdr:col>
                    <xdr:colOff>66675</xdr:colOff>
                    <xdr:row>3</xdr:row>
                    <xdr:rowOff>152400</xdr:rowOff>
                  </from>
                  <to>
                    <xdr:col>9</xdr:col>
                    <xdr:colOff>161925</xdr:colOff>
                    <xdr:row>4</xdr:row>
                    <xdr:rowOff>180975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585CBF33-9045-45DF-A683-0C2A3E58F7E2}">
            <xm:f>Security!$A$1="NO VBA"</xm:f>
            <x14:dxf>
              <font>
                <color theme="0"/>
              </font>
              <border>
                <vertical/>
                <horizontal/>
              </border>
            </x14:dxf>
          </x14:cfRule>
          <xm:sqref>H20:L20 P20:XFD20 H21:H1048576 R21:XFD1048576 I21:I53 P21:Q53 L21:L53 I54:Q1048576 A1:XFD19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78788-9802-4FCB-9004-FB6602B86921}">
  <sheetPr codeName="Sheet22">
    <tabColor theme="9"/>
    <outlinePr summaryBelow="0" summaryRight="0"/>
  </sheetPr>
  <dimension ref="B1:K13"/>
  <sheetViews>
    <sheetView showGridLines="0" workbookViewId="0">
      <selection activeCell="F17" sqref="F17"/>
    </sheetView>
  </sheetViews>
  <sheetFormatPr defaultRowHeight="18" customHeight="1" outlineLevelRow="1" x14ac:dyDescent="0.3"/>
  <cols>
    <col min="1" max="1" width="9.625" style="7" customWidth="1"/>
    <col min="2" max="2" width="9" style="7"/>
    <col min="3" max="3" width="6" style="7" bestFit="1" customWidth="1"/>
    <col min="4" max="4" width="7.125" style="7" bestFit="1" customWidth="1"/>
    <col min="5" max="5" width="11.625" style="7" bestFit="1" customWidth="1"/>
    <col min="6" max="6" width="13.5" style="7" bestFit="1" customWidth="1"/>
    <col min="7" max="7" width="13.75" style="7" bestFit="1" customWidth="1"/>
    <col min="8" max="8" width="13.25" style="7" bestFit="1" customWidth="1"/>
    <col min="9" max="9" width="14.25" style="7" bestFit="1" customWidth="1"/>
    <col min="10" max="10" width="19.375" style="7" customWidth="1"/>
    <col min="11" max="16384" width="9" style="7"/>
  </cols>
  <sheetData>
    <row r="1" spans="2:11" ht="23.25" customHeight="1" x14ac:dyDescent="0.3">
      <c r="B1" s="240"/>
      <c r="C1" s="240"/>
      <c r="D1" s="240"/>
      <c r="E1" s="240"/>
      <c r="F1" s="240"/>
      <c r="G1" s="240"/>
      <c r="H1" s="240"/>
      <c r="I1" s="240"/>
      <c r="J1" s="240"/>
      <c r="K1" s="240"/>
    </row>
    <row r="2" spans="2:11" ht="18" customHeight="1" collapsed="1" x14ac:dyDescent="0.3">
      <c r="B2" s="240"/>
      <c r="C2" s="240"/>
      <c r="D2" s="240"/>
      <c r="E2" s="240"/>
      <c r="F2" s="240"/>
      <c r="G2" s="240"/>
      <c r="H2" s="240"/>
      <c r="I2" s="240"/>
      <c r="J2" s="240"/>
      <c r="K2" s="240"/>
    </row>
    <row r="3" spans="2:11" ht="18" hidden="1" customHeight="1" outlineLevel="1" x14ac:dyDescent="0.3">
      <c r="B3" s="240"/>
      <c r="C3" s="240"/>
      <c r="D3" s="240"/>
      <c r="E3" s="42" t="s">
        <v>663</v>
      </c>
      <c r="F3" s="42" t="s">
        <v>664</v>
      </c>
      <c r="G3" s="240"/>
      <c r="H3" s="240"/>
      <c r="I3" s="240"/>
      <c r="J3" s="240"/>
      <c r="K3" s="240"/>
    </row>
    <row r="4" spans="2:11" ht="18" hidden="1" customHeight="1" outlineLevel="1" x14ac:dyDescent="0.3">
      <c r="B4" s="240"/>
      <c r="C4" s="240"/>
      <c r="D4" s="240"/>
      <c r="E4" s="177" t="s">
        <v>665</v>
      </c>
      <c r="F4" s="243"/>
      <c r="G4" s="240"/>
      <c r="H4" s="240"/>
      <c r="I4" s="240"/>
      <c r="J4" s="240"/>
      <c r="K4" s="240"/>
    </row>
    <row r="5" spans="2:11" ht="18" hidden="1" customHeight="1" outlineLevel="1" x14ac:dyDescent="0.3">
      <c r="B5" s="240"/>
      <c r="C5" s="240"/>
      <c r="D5" s="240"/>
      <c r="E5" s="177" t="s">
        <v>666</v>
      </c>
      <c r="F5" s="243"/>
      <c r="G5" s="240"/>
      <c r="H5" s="240"/>
      <c r="I5" s="240"/>
      <c r="J5" s="240"/>
      <c r="K5" s="240"/>
    </row>
    <row r="6" spans="2:11" ht="18" hidden="1" customHeight="1" outlineLevel="1" x14ac:dyDescent="0.3">
      <c r="B6" s="240"/>
      <c r="C6" s="240"/>
      <c r="D6" s="240"/>
      <c r="E6" s="177" t="s">
        <v>648</v>
      </c>
      <c r="F6" s="243"/>
      <c r="G6" s="240"/>
      <c r="H6" s="240"/>
      <c r="I6" s="240"/>
      <c r="J6" s="240"/>
      <c r="K6" s="240"/>
    </row>
    <row r="7" spans="2:11" ht="18" hidden="1" customHeight="1" outlineLevel="1" x14ac:dyDescent="0.3">
      <c r="B7" s="240"/>
      <c r="C7" s="240"/>
      <c r="D7" s="240"/>
      <c r="E7" s="177" t="s">
        <v>667</v>
      </c>
      <c r="F7" s="243"/>
      <c r="G7" s="240"/>
      <c r="H7" s="240"/>
      <c r="I7" s="240"/>
      <c r="J7" s="240"/>
      <c r="K7" s="240"/>
    </row>
    <row r="8" spans="2:11" ht="18" hidden="1" customHeight="1" outlineLevel="1" x14ac:dyDescent="0.3">
      <c r="B8" s="240"/>
      <c r="C8" s="240"/>
      <c r="D8" s="240"/>
      <c r="E8" s="178" t="s">
        <v>668</v>
      </c>
      <c r="F8" s="243"/>
      <c r="G8" s="240"/>
      <c r="H8" s="240"/>
      <c r="I8" s="240"/>
      <c r="J8" s="240"/>
      <c r="K8" s="240"/>
    </row>
    <row r="9" spans="2:11" ht="18" hidden="1" customHeight="1" outlineLevel="1" x14ac:dyDescent="0.3">
      <c r="B9" s="240"/>
      <c r="C9" s="240"/>
      <c r="D9" s="240"/>
      <c r="E9" s="177" t="s">
        <v>669</v>
      </c>
      <c r="F9" s="243"/>
      <c r="G9" s="240"/>
      <c r="H9" s="240"/>
      <c r="I9" s="240"/>
      <c r="J9" s="240"/>
      <c r="K9" s="240"/>
    </row>
    <row r="10" spans="2:11" ht="18" hidden="1" customHeight="1" outlineLevel="1" x14ac:dyDescent="0.3">
      <c r="B10" s="240"/>
      <c r="C10" s="240"/>
      <c r="D10" s="240"/>
      <c r="E10" s="178" t="s">
        <v>280</v>
      </c>
      <c r="F10" s="259"/>
      <c r="G10" s="240"/>
      <c r="H10" s="240"/>
      <c r="I10" s="240"/>
      <c r="J10" s="240"/>
      <c r="K10" s="240"/>
    </row>
    <row r="11" spans="2:11" ht="18" hidden="1" customHeight="1" outlineLevel="1" x14ac:dyDescent="0.3">
      <c r="B11" s="240"/>
      <c r="C11" s="240"/>
      <c r="D11" s="240"/>
      <c r="E11" s="303"/>
      <c r="F11" s="240"/>
      <c r="G11" s="240"/>
      <c r="H11" s="240"/>
      <c r="I11" s="240"/>
      <c r="J11" s="240"/>
      <c r="K11" s="240"/>
    </row>
    <row r="12" spans="2:11" ht="18" customHeight="1" x14ac:dyDescent="0.3">
      <c r="B12" s="7" t="s">
        <v>3</v>
      </c>
      <c r="C12" s="7" t="s">
        <v>2</v>
      </c>
      <c r="D12" s="7" t="s">
        <v>1</v>
      </c>
      <c r="E12" s="7" t="s">
        <v>670</v>
      </c>
      <c r="F12" s="7" t="s">
        <v>671</v>
      </c>
      <c r="G12" s="7" t="s">
        <v>653</v>
      </c>
      <c r="H12" s="7" t="s">
        <v>672</v>
      </c>
      <c r="I12" s="7" t="s">
        <v>673</v>
      </c>
      <c r="J12" s="7" t="s">
        <v>1243</v>
      </c>
      <c r="K12" s="7" t="s">
        <v>873</v>
      </c>
    </row>
    <row r="13" spans="2:11" ht="18" customHeight="1" x14ac:dyDescent="0.3">
      <c r="B13" s="302">
        <f>IFERROR(
DATE(C13,D13,1),0)</f>
        <v>0</v>
      </c>
      <c r="C13" s="240"/>
      <c r="D13" s="240"/>
      <c r="E13" s="240"/>
      <c r="F13" s="18" cm="1">
        <f t="array" ref="F13"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f>
        <v>0</v>
      </c>
      <c r="G13" s="18" cm="1">
        <f t="array" ref="G13" xml:space="preserve">
IF(Table_NopNS[[#This Row],[Ngân sách]]= "Thuế TNDN",
IFERROR(
SUM(_xlfn._xlws.FILTER(Table_DonBan[Doanh thu ròng],
(ISBLANK(Table_DonBan[Phân bổ từ]))*
(ISBLANK(Table_DonBan[Phân bổ đến]))*
(YEAR(Table_DonBan[Ngày lập]) = Table_NopNS[[#This Row],[Năm]])*
(MONTH(Table_DonBan[Ngày lập]) = Table_NopNS[[#This Row],[Tháng]])
)),0)
+IFERROR(
SUMPRODUCT(
_xlfn._xlws.FILTER(Table_DonBan[Doanh thu ròng],
(NOT(ISBLANK(Table_DonBan[Phân bổ từ])))*
(NOT(ISBLANK(Table_DonBan[Phân bổ đến])))*
(Table_DonBan[Phân bổ từ] &lt;= DATE(Table_NopNS[[#This Row],[Kỳ]],Table_NopNS[[#This Row],[Kỳ]]+1,1))*
(Table_DonBan[Phân bổ đến] &gt; Table_NopNS[[#This Row],[Kỳ]])
),
1/_xlfn._xlws.FILTER(
ROUND((Table_DonBan[Phân bổ đến]-Table_DonBan[Phân bổ từ])/(365.25/12),0),
(NOT(ISBLANK(Table_DonBan[Phân bổ từ])))*
(NOT(ISBLANK(Table_DonBan[Phân bổ đến])))*
(Table_DonBan[Phân bổ từ] &lt;= DATE(Table_NopNS[[#This Row],[Kỳ]],Table_NopNS[[#This Row],[Kỳ]]+1,1))*
(Table_DonBan[Phân bổ đến] &gt; Table_NopNS[[#This Row],[Kỳ]])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f>
        <v>0</v>
      </c>
      <c r="H13" s="18" cm="1">
        <f t="array" ref="H13">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f>
        <v>0</v>
      </c>
      <c r="I13" s="45"/>
      <c r="J13" s="18" cm="1">
        <f t="array" ref="J13"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f>
        <v>0</v>
      </c>
      <c r="K13" s="240"/>
    </row>
  </sheetData>
  <sheetProtection algorithmName="SHA-512" hashValue="GNnD7WBh1kHPTMVr9uEyF0cqx+zrZcdWAlg6kl3TXqS65uJDE9t4lYtOnbElBIPlUxxflXINob+5DC3HK5dsMA==" saltValue="QTltQRCDybcZxPD4PODbpw==" spinCount="100000" sheet="1" scenarios="1" formatCells="0" formatColumns="0" formatRows="0" insertColumns="0" insertRows="0" deleteColumns="0" deleteRows="0" sort="0" autoFilter="0" pivotTables="0"/>
  <protectedRanges>
    <protectedRange sqref="E3:F11" name="Range1_1"/>
  </protectedRanges>
  <phoneticPr fontId="14" type="noConversion"/>
  <conditionalFormatting sqref="E4:E11">
    <cfRule type="duplicateValues" dxfId="569" priority="3"/>
  </conditionalFormatting>
  <dataValidations count="1">
    <dataValidation type="list" allowBlank="1" showInputMessage="1" showErrorMessage="1" sqref="E13" xr:uid="{A6662167-112F-4E96-9C00-8021A7320B33}">
      <formula1>$E$4:$E$10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6" r:id="rId4" name="Option Button 6">
              <controlPr defaultSize="0" autoFill="0" autoLine="0" autoPict="0" macro="[0]!DoiDonViHienThi">
                <anchor moveWithCells="1">
                  <from>
                    <xdr:col>4</xdr:col>
                    <xdr:colOff>190500</xdr:colOff>
                    <xdr:row>0</xdr:row>
                    <xdr:rowOff>152400</xdr:rowOff>
                  </from>
                  <to>
                    <xdr:col>4</xdr:col>
                    <xdr:colOff>781050</xdr:colOff>
                    <xdr:row>1</xdr:row>
                    <xdr:rowOff>133350</xdr:rowOff>
                  </to>
                </anchor>
              </controlPr>
            </control>
          </mc:Choice>
        </mc:AlternateContent>
        <mc:AlternateContent xmlns:mc="http://schemas.openxmlformats.org/markup-compatibility/2006">
          <mc:Choice Requires="x14">
            <control shapeId="66567" r:id="rId5" name="Option Button 7">
              <controlPr defaultSize="0" autoFill="0" autoLine="0" autoPict="0" macro="[0]!DoiDonViHienThi">
                <anchor moveWithCells="1">
                  <from>
                    <xdr:col>4</xdr:col>
                    <xdr:colOff>657225</xdr:colOff>
                    <xdr:row>0</xdr:row>
                    <xdr:rowOff>152400</xdr:rowOff>
                  </from>
                  <to>
                    <xdr:col>5</xdr:col>
                    <xdr:colOff>361950</xdr:colOff>
                    <xdr:row>1</xdr:row>
                    <xdr:rowOff>133350</xdr:rowOff>
                  </to>
                </anchor>
              </controlPr>
            </control>
          </mc:Choice>
        </mc:AlternateContent>
        <mc:AlternateContent xmlns:mc="http://schemas.openxmlformats.org/markup-compatibility/2006">
          <mc:Choice Requires="x14">
            <control shapeId="66568" r:id="rId6" name="Option Button 8">
              <controlPr defaultSize="0" autoFill="0" autoLine="0" autoPict="0" macro="[0]!DoiDonViHienThi">
                <anchor moveWithCells="1">
                  <from>
                    <xdr:col>5</xdr:col>
                    <xdr:colOff>238125</xdr:colOff>
                    <xdr:row>0</xdr:row>
                    <xdr:rowOff>152400</xdr:rowOff>
                  </from>
                  <to>
                    <xdr:col>5</xdr:col>
                    <xdr:colOff>828675</xdr:colOff>
                    <xdr:row>1</xdr:row>
                    <xdr:rowOff>133350</xdr:rowOff>
                  </to>
                </anchor>
              </controlPr>
            </control>
          </mc:Choice>
        </mc:AlternateContent>
        <mc:AlternateContent xmlns:mc="http://schemas.openxmlformats.org/markup-compatibility/2006">
          <mc:Choice Requires="x14">
            <control shapeId="66569" r:id="rId7" name="Option Button 9">
              <controlPr defaultSize="0" autoFill="0" autoLine="0" autoPict="0" macro="[0]!DoiDonViHienThi">
                <anchor moveWithCells="1">
                  <from>
                    <xdr:col>5</xdr:col>
                    <xdr:colOff>714375</xdr:colOff>
                    <xdr:row>0</xdr:row>
                    <xdr:rowOff>152400</xdr:rowOff>
                  </from>
                  <to>
                    <xdr:col>6</xdr:col>
                    <xdr:colOff>38100</xdr:colOff>
                    <xdr:row>1</xdr:row>
                    <xdr:rowOff>133350</xdr:rowOff>
                  </to>
                </anchor>
              </controlPr>
            </control>
          </mc:Choice>
        </mc:AlternateContent>
        <mc:AlternateContent xmlns:mc="http://schemas.openxmlformats.org/markup-compatibility/2006">
          <mc:Choice Requires="x14">
            <control shapeId="66570" r:id="rId8" name="Group Box 10">
              <controlPr defaultSize="0" autoFill="0" autoPict="0">
                <anchor moveWithCells="1">
                  <from>
                    <xdr:col>4</xdr:col>
                    <xdr:colOff>76200</xdr:colOff>
                    <xdr:row>0</xdr:row>
                    <xdr:rowOff>104775</xdr:rowOff>
                  </from>
                  <to>
                    <xdr:col>6</xdr:col>
                    <xdr:colOff>152400</xdr:colOff>
                    <xdr:row>1</xdr:row>
                    <xdr:rowOff>171450</xdr:rowOff>
                  </to>
                </anchor>
              </controlPr>
            </control>
          </mc:Choice>
        </mc:AlternateContent>
        <mc:AlternateContent xmlns:mc="http://schemas.openxmlformats.org/markup-compatibility/2006">
          <mc:Choice Requires="x14">
            <control shapeId="66571" r:id="rId9" name="Group Box 11">
              <controlPr defaultSize="0" autoFill="0" autoPict="0">
                <anchor moveWithCells="1">
                  <from>
                    <xdr:col>1</xdr:col>
                    <xdr:colOff>57150</xdr:colOff>
                    <xdr:row>0</xdr:row>
                    <xdr:rowOff>104775</xdr:rowOff>
                  </from>
                  <to>
                    <xdr:col>4</xdr:col>
                    <xdr:colOff>28575</xdr:colOff>
                    <xdr:row>1</xdr:row>
                    <xdr:rowOff>171450</xdr:rowOff>
                  </to>
                </anchor>
              </controlPr>
            </control>
          </mc:Choice>
        </mc:AlternateContent>
        <mc:AlternateContent xmlns:mc="http://schemas.openxmlformats.org/markup-compatibility/2006">
          <mc:Choice Requires="x14">
            <control shapeId="66572" r:id="rId10" name="Button 12">
              <controlPr defaultSize="0" autoFill="0" autoPict="0" macro="[0]!NhanNghin">
                <anchor moveWithCells="1">
                  <from>
                    <xdr:col>1</xdr:col>
                    <xdr:colOff>142875</xdr:colOff>
                    <xdr:row>0</xdr:row>
                    <xdr:rowOff>200025</xdr:rowOff>
                  </from>
                  <to>
                    <xdr:col>1</xdr:col>
                    <xdr:colOff>609600</xdr:colOff>
                    <xdr:row>1</xdr:row>
                    <xdr:rowOff>76200</xdr:rowOff>
                  </to>
                </anchor>
              </controlPr>
            </control>
          </mc:Choice>
        </mc:AlternateContent>
        <mc:AlternateContent xmlns:mc="http://schemas.openxmlformats.org/markup-compatibility/2006">
          <mc:Choice Requires="x14">
            <control shapeId="66573" r:id="rId11" name="Button 13">
              <controlPr defaultSize="0" autoFill="0" autoPict="0" macro="[0]!NhanTrieu">
                <anchor moveWithCells="1">
                  <from>
                    <xdr:col>1</xdr:col>
                    <xdr:colOff>657225</xdr:colOff>
                    <xdr:row>0</xdr:row>
                    <xdr:rowOff>200025</xdr:rowOff>
                  </from>
                  <to>
                    <xdr:col>2</xdr:col>
                    <xdr:colOff>438150</xdr:colOff>
                    <xdr:row>1</xdr:row>
                    <xdr:rowOff>76200</xdr:rowOff>
                  </to>
                </anchor>
              </controlPr>
            </control>
          </mc:Choice>
        </mc:AlternateContent>
        <mc:AlternateContent xmlns:mc="http://schemas.openxmlformats.org/markup-compatibility/2006">
          <mc:Choice Requires="x14">
            <control shapeId="66574" r:id="rId12" name="Button 14">
              <controlPr defaultSize="0" autoFill="0" autoPict="0" macro="[0]!NhanTy">
                <anchor moveWithCells="1">
                  <from>
                    <xdr:col>3</xdr:col>
                    <xdr:colOff>28575</xdr:colOff>
                    <xdr:row>0</xdr:row>
                    <xdr:rowOff>200025</xdr:rowOff>
                  </from>
                  <to>
                    <xdr:col>3</xdr:col>
                    <xdr:colOff>495300</xdr:colOff>
                    <xdr:row>1</xdr:row>
                    <xdr:rowOff>76200</xdr:rowOff>
                  </to>
                </anchor>
              </controlPr>
            </control>
          </mc:Choice>
        </mc:AlternateContent>
        <mc:AlternateContent xmlns:mc="http://schemas.openxmlformats.org/markup-compatibility/2006">
          <mc:Choice Requires="x14">
            <control shapeId="66575" r:id="rId13" name="Button 15">
              <controlPr defaultSize="0" print="0" autoFill="0" autoPict="0" macro="[0]!AddRow">
                <anchor moveWithCells="1">
                  <from>
                    <xdr:col>6</xdr:col>
                    <xdr:colOff>438150</xdr:colOff>
                    <xdr:row>0</xdr:row>
                    <xdr:rowOff>142875</xdr:rowOff>
                  </from>
                  <to>
                    <xdr:col>6</xdr:col>
                    <xdr:colOff>914400</xdr:colOff>
                    <xdr:row>1</xdr:row>
                    <xdr:rowOff>104775</xdr:rowOff>
                  </to>
                </anchor>
              </controlPr>
            </control>
          </mc:Choice>
        </mc:AlternateContent>
        <mc:AlternateContent xmlns:mc="http://schemas.openxmlformats.org/markup-compatibility/2006">
          <mc:Choice Requires="x14">
            <control shapeId="66576" r:id="rId14" name="Button 16">
              <controlPr defaultSize="0" print="0" autoFill="0" autoPict="0" macro="[0]!DeleteRow">
                <anchor moveWithCells="1">
                  <from>
                    <xdr:col>6</xdr:col>
                    <xdr:colOff>952500</xdr:colOff>
                    <xdr:row>0</xdr:row>
                    <xdr:rowOff>142875</xdr:rowOff>
                  </from>
                  <to>
                    <xdr:col>7</xdr:col>
                    <xdr:colOff>381000</xdr:colOff>
                    <xdr:row>1</xdr:row>
                    <xdr:rowOff>104775</xdr:rowOff>
                  </to>
                </anchor>
              </controlPr>
            </control>
          </mc:Choice>
        </mc:AlternateContent>
        <mc:AlternateContent xmlns:mc="http://schemas.openxmlformats.org/markup-compatibility/2006">
          <mc:Choice Requires="x14">
            <control shapeId="66577" r:id="rId15" name="Button 17">
              <controlPr defaultSize="0" print="0" autoFill="0" autoPict="0" macro="[0]!AddColumn">
                <anchor moveWithCells="1">
                  <from>
                    <xdr:col>10</xdr:col>
                    <xdr:colOff>28575</xdr:colOff>
                    <xdr:row>0</xdr:row>
                    <xdr:rowOff>123825</xdr:rowOff>
                  </from>
                  <to>
                    <xdr:col>10</xdr:col>
                    <xdr:colOff>542925</xdr:colOff>
                    <xdr:row>1</xdr:row>
                    <xdr:rowOff>85725</xdr:rowOff>
                  </to>
                </anchor>
              </controlPr>
            </control>
          </mc:Choice>
        </mc:AlternateContent>
        <mc:AlternateContent xmlns:mc="http://schemas.openxmlformats.org/markup-compatibility/2006">
          <mc:Choice Requires="x14">
            <control shapeId="66578" r:id="rId16" name="Button 18">
              <controlPr defaultSize="0" print="0" autoFill="0" autoPict="0" macro="[0]!DeleteColumn">
                <anchor moveWithCells="1">
                  <from>
                    <xdr:col>10</xdr:col>
                    <xdr:colOff>581025</xdr:colOff>
                    <xdr:row>0</xdr:row>
                    <xdr:rowOff>123825</xdr:rowOff>
                  </from>
                  <to>
                    <xdr:col>11</xdr:col>
                    <xdr:colOff>438150</xdr:colOff>
                    <xdr:row>1</xdr:row>
                    <xdr:rowOff>85725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4F4C0798-7F43-442C-8E6D-AC0D8C7A8083}">
            <xm:f>Security!$A$1="NO VBA"</xm:f>
            <x14:dxf>
              <font>
                <color theme="0"/>
              </font>
              <border>
                <vertical/>
                <horizontal/>
              </border>
            </x14:dxf>
          </x14:cfRule>
          <xm:sqref>A1:XFD11 A13:XFD1048576 A12:I12 K12:XFD12</xm:sqref>
        </x14:conditionalFormatting>
        <x14:conditionalFormatting xmlns:xm="http://schemas.microsoft.com/office/excel/2006/main">
          <x14:cfRule type="expression" priority="1" id="{669F8049-C291-48D2-AF68-FBDEDDD9FEB7}">
            <xm:f>Security!$A$1="NO VBA"</xm:f>
            <x14:dxf>
              <font>
                <color theme="0"/>
              </font>
              <border>
                <vertical/>
                <horizontal/>
              </border>
            </x14:dxf>
          </x14:cfRule>
          <xm:sqref>J12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1DD97-70C9-4D08-BEA9-DA6CA781AA9E}">
  <sheetPr codeName="Sheet20">
    <tabColor theme="9"/>
  </sheetPr>
  <dimension ref="B1:AA53"/>
  <sheetViews>
    <sheetView showGridLines="0" topLeftCell="A15" workbookViewId="0">
      <selection activeCell="K26" sqref="K26"/>
    </sheetView>
  </sheetViews>
  <sheetFormatPr defaultRowHeight="18" customHeight="1" outlineLevelRow="1" outlineLevelCol="1" x14ac:dyDescent="0.3"/>
  <cols>
    <col min="1" max="1" width="1.25" style="7" customWidth="1"/>
    <col min="2" max="2" width="13" style="7" hidden="1" customWidth="1" outlineLevel="1"/>
    <col min="3" max="3" width="15.25" style="7" hidden="1" customWidth="1" outlineLevel="1"/>
    <col min="4" max="4" width="13.625" style="7" hidden="1" customWidth="1" outlineLevel="1"/>
    <col min="5" max="5" width="15.25" style="7" hidden="1" customWidth="1" outlineLevel="1"/>
    <col min="6" max="6" width="1.25" style="7" hidden="1" customWidth="1" outlineLevel="1"/>
    <col min="7" max="7" width="13" style="7" hidden="1" customWidth="1" outlineLevel="1"/>
    <col min="8" max="8" width="14.625" style="7" hidden="1" customWidth="1" outlineLevel="1"/>
    <col min="9" max="9" width="1.25" style="7" customWidth="1" collapsed="1"/>
    <col min="10" max="10" width="5.875" style="7" bestFit="1" customWidth="1"/>
    <col min="11" max="11" width="6" style="7" bestFit="1" customWidth="1"/>
    <col min="12" max="12" width="7.125" style="7" bestFit="1" customWidth="1"/>
    <col min="13" max="13" width="9.875" style="44" bestFit="1" customWidth="1"/>
    <col min="14" max="14" width="10" style="44" hidden="1" customWidth="1" outlineLevel="1"/>
    <col min="15" max="15" width="9" hidden="1" customWidth="1" outlineLevel="1"/>
    <col min="16" max="17" width="9.875" style="44" hidden="1" customWidth="1" outlineLevel="1"/>
    <col min="18" max="18" width="9.875" style="44" customWidth="1" collapsed="1"/>
    <col min="19" max="19" width="12.375" style="44" bestFit="1" customWidth="1"/>
    <col min="20" max="20" width="12" style="7" customWidth="1" outlineLevel="1"/>
    <col min="21" max="21" width="14.375" style="7" customWidth="1" outlineLevel="1"/>
    <col min="22" max="22" width="9.875" style="7" customWidth="1" outlineLevel="1"/>
    <col min="23" max="23" width="14.375" style="7" customWidth="1" outlineLevel="1"/>
    <col min="24" max="24" width="16" style="7" customWidth="1" outlineLevel="1"/>
    <col min="25" max="26" width="14.375" style="7" customWidth="1" outlineLevel="1"/>
    <col min="28" max="28" width="12.375" style="7" customWidth="1"/>
    <col min="29" max="29" width="9.375" style="7" bestFit="1" customWidth="1"/>
    <col min="30" max="16384" width="9" style="7"/>
  </cols>
  <sheetData>
    <row r="1" spans="10:27" ht="22.5" customHeight="1" x14ac:dyDescent="0.3">
      <c r="J1" s="240"/>
      <c r="K1" s="240"/>
      <c r="L1" s="240"/>
      <c r="M1" s="240"/>
      <c r="N1" s="240"/>
      <c r="O1" s="240"/>
      <c r="P1" s="240"/>
      <c r="Q1" s="240"/>
      <c r="R1" s="240"/>
      <c r="S1" s="240"/>
      <c r="T1" s="240"/>
      <c r="U1" s="240"/>
      <c r="V1" s="240"/>
      <c r="W1" s="240"/>
      <c r="X1" s="240"/>
      <c r="Y1" s="240"/>
      <c r="Z1" s="240"/>
      <c r="AA1" s="240"/>
    </row>
    <row r="2" spans="10:27" ht="18" customHeight="1" x14ac:dyDescent="0.3">
      <c r="J2" s="240"/>
      <c r="K2" s="240"/>
      <c r="L2" s="240"/>
      <c r="M2" s="240"/>
      <c r="N2" s="240"/>
      <c r="O2" s="240"/>
      <c r="P2" s="240"/>
      <c r="Q2" s="240"/>
      <c r="R2" s="240"/>
      <c r="S2" s="240"/>
      <c r="T2" s="240"/>
      <c r="U2" s="240"/>
      <c r="V2" s="240"/>
      <c r="W2" s="240"/>
      <c r="X2" s="240"/>
      <c r="Y2" s="240"/>
      <c r="Z2" s="240"/>
      <c r="AA2" s="240"/>
    </row>
    <row r="3" spans="10:27" ht="18" customHeight="1" outlineLevel="1" x14ac:dyDescent="0.3">
      <c r="J3" s="240"/>
      <c r="K3" s="240"/>
      <c r="L3" s="240"/>
      <c r="M3" s="240"/>
      <c r="N3" s="240"/>
      <c r="O3" s="240"/>
      <c r="P3" s="240"/>
      <c r="Q3" s="240"/>
      <c r="R3" s="240"/>
      <c r="S3" s="240"/>
      <c r="T3" s="240"/>
      <c r="U3" s="240"/>
      <c r="V3" s="240"/>
      <c r="W3" s="240"/>
      <c r="X3" s="240"/>
      <c r="Y3" s="240"/>
      <c r="Z3" s="240"/>
      <c r="AA3" s="240"/>
    </row>
    <row r="4" spans="10:27" ht="18" customHeight="1" outlineLevel="1" x14ac:dyDescent="0.3">
      <c r="J4" s="240"/>
      <c r="K4" s="240"/>
      <c r="L4" s="240"/>
      <c r="M4" s="240"/>
      <c r="N4" s="240"/>
      <c r="O4" s="240"/>
      <c r="P4" s="240"/>
      <c r="Q4" s="240"/>
      <c r="R4" s="240"/>
      <c r="S4" s="240"/>
      <c r="T4" s="240"/>
      <c r="U4" s="240"/>
      <c r="V4" s="240"/>
      <c r="W4" s="240"/>
      <c r="X4" s="240"/>
      <c r="Y4" s="240"/>
      <c r="Z4" s="240"/>
      <c r="AA4" s="240"/>
    </row>
    <row r="5" spans="10:27" ht="18" customHeight="1" outlineLevel="1" x14ac:dyDescent="0.3">
      <c r="J5" s="240"/>
      <c r="K5" s="240"/>
      <c r="L5" s="240"/>
      <c r="M5" s="240"/>
      <c r="N5" s="240"/>
      <c r="O5" s="240"/>
      <c r="P5" s="240"/>
      <c r="Q5" s="240"/>
      <c r="R5" s="240"/>
      <c r="S5" s="240"/>
      <c r="T5" s="240"/>
      <c r="U5" s="240"/>
      <c r="V5" s="240"/>
      <c r="W5" s="240"/>
      <c r="X5" s="240"/>
      <c r="Y5" s="240"/>
      <c r="Z5" s="240"/>
      <c r="AA5" s="240"/>
    </row>
    <row r="6" spans="10:27" ht="18" customHeight="1" outlineLevel="1" x14ac:dyDescent="0.3">
      <c r="J6" s="240"/>
      <c r="K6" s="240"/>
      <c r="L6" s="240"/>
      <c r="M6" s="240"/>
      <c r="N6" s="240"/>
      <c r="O6" s="240"/>
      <c r="P6" s="240"/>
      <c r="Q6" s="240"/>
      <c r="R6" s="240"/>
      <c r="S6" s="240"/>
      <c r="T6" s="240"/>
      <c r="U6" s="240"/>
      <c r="V6" s="240"/>
      <c r="W6" s="240"/>
      <c r="X6" s="240"/>
      <c r="Y6" s="240"/>
      <c r="Z6" s="240"/>
      <c r="AA6" s="240"/>
    </row>
    <row r="7" spans="10:27" ht="18" customHeight="1" outlineLevel="1" x14ac:dyDescent="0.3">
      <c r="J7" s="240"/>
      <c r="K7" s="240"/>
      <c r="L7" s="240"/>
      <c r="M7" s="240"/>
      <c r="N7" s="240"/>
      <c r="O7" s="240"/>
      <c r="P7" s="240"/>
      <c r="Q7" s="240"/>
      <c r="R7" s="240"/>
      <c r="S7" s="240"/>
      <c r="T7" s="240"/>
      <c r="U7" s="240"/>
      <c r="V7" s="240"/>
      <c r="W7" s="240"/>
      <c r="X7" s="240"/>
      <c r="Y7" s="240"/>
      <c r="Z7" s="240"/>
      <c r="AA7" s="240"/>
    </row>
    <row r="8" spans="10:27" ht="18" customHeight="1" outlineLevel="1" x14ac:dyDescent="0.3">
      <c r="J8" s="240"/>
      <c r="K8" s="240"/>
      <c r="L8" s="240"/>
      <c r="M8" s="240"/>
      <c r="N8" s="240"/>
      <c r="O8" s="240"/>
      <c r="P8" s="240"/>
      <c r="Q8" s="240"/>
      <c r="R8" s="240"/>
      <c r="S8" s="240"/>
      <c r="T8" s="240"/>
      <c r="U8" s="240"/>
      <c r="V8" s="240"/>
      <c r="W8" s="240"/>
      <c r="X8" s="240"/>
      <c r="Y8" s="240"/>
      <c r="Z8" s="240"/>
      <c r="AA8" s="240"/>
    </row>
    <row r="9" spans="10:27" ht="18" customHeight="1" outlineLevel="1" x14ac:dyDescent="0.3">
      <c r="J9" s="240"/>
      <c r="K9" s="240"/>
      <c r="L9" s="240"/>
      <c r="M9" s="240"/>
      <c r="N9" s="240"/>
      <c r="O9" s="240"/>
      <c r="P9" s="240"/>
      <c r="Q9" s="240"/>
      <c r="R9" s="240"/>
      <c r="S9" s="240"/>
      <c r="T9" s="240"/>
      <c r="U9" s="240"/>
      <c r="V9" s="240"/>
      <c r="W9" s="240"/>
      <c r="X9" s="240"/>
      <c r="Y9" s="240"/>
      <c r="Z9" s="240"/>
      <c r="AA9" s="240"/>
    </row>
    <row r="10" spans="10:27" ht="18" customHeight="1" outlineLevel="1" x14ac:dyDescent="0.3">
      <c r="J10" s="240"/>
      <c r="K10" s="240"/>
      <c r="L10" s="240"/>
      <c r="M10" s="240"/>
      <c r="N10" s="240"/>
      <c r="O10" s="240"/>
      <c r="P10" s="240"/>
      <c r="Q10" s="240"/>
      <c r="R10" s="240"/>
      <c r="S10" s="240"/>
      <c r="T10" s="240"/>
      <c r="U10" s="240"/>
      <c r="V10" s="240"/>
      <c r="W10" s="240"/>
      <c r="X10" s="240"/>
      <c r="Y10" s="240"/>
      <c r="Z10" s="240"/>
      <c r="AA10" s="240"/>
    </row>
    <row r="11" spans="10:27" ht="18" customHeight="1" outlineLevel="1" x14ac:dyDescent="0.3">
      <c r="J11" s="240"/>
      <c r="K11" s="240"/>
      <c r="L11" s="240"/>
      <c r="M11" s="240"/>
      <c r="N11" s="240"/>
      <c r="O11" s="240"/>
      <c r="P11" s="240"/>
      <c r="Q11" s="240"/>
      <c r="R11" s="240"/>
      <c r="S11" s="240"/>
      <c r="T11" s="240"/>
      <c r="U11" s="240"/>
      <c r="V11" s="240"/>
      <c r="W11" s="240"/>
      <c r="X11" s="240"/>
      <c r="Y11" s="240"/>
      <c r="Z11" s="240"/>
      <c r="AA11" s="240"/>
    </row>
    <row r="12" spans="10:27" ht="18" customHeight="1" outlineLevel="1" x14ac:dyDescent="0.3">
      <c r="J12" s="240"/>
      <c r="K12" s="240"/>
      <c r="L12" s="240"/>
      <c r="M12" s="240"/>
      <c r="N12" s="240"/>
      <c r="O12" s="240"/>
      <c r="P12" s="240"/>
      <c r="Q12" s="240"/>
      <c r="R12" s="240"/>
      <c r="S12" s="240"/>
      <c r="T12" s="240"/>
      <c r="U12" s="240"/>
      <c r="V12" s="240"/>
      <c r="W12" s="240"/>
      <c r="X12" s="240"/>
      <c r="Y12" s="240"/>
      <c r="Z12" s="240"/>
      <c r="AA12" s="240"/>
    </row>
    <row r="13" spans="10:27" ht="18" customHeight="1" outlineLevel="1" x14ac:dyDescent="0.3">
      <c r="J13" s="240"/>
      <c r="K13" s="240"/>
      <c r="L13" s="240"/>
      <c r="M13" s="240"/>
      <c r="N13" s="240"/>
      <c r="O13" s="240"/>
      <c r="P13" s="240"/>
      <c r="Q13" s="240"/>
      <c r="R13" s="240"/>
      <c r="S13" s="240"/>
      <c r="T13" s="240"/>
      <c r="U13" s="240"/>
      <c r="V13" s="240"/>
      <c r="W13" s="240"/>
      <c r="X13" s="240"/>
      <c r="Y13" s="240"/>
      <c r="Z13" s="240"/>
      <c r="AA13" s="240"/>
    </row>
    <row r="14" spans="10:27" ht="18" customHeight="1" outlineLevel="1" x14ac:dyDescent="0.3">
      <c r="J14" s="240"/>
      <c r="K14" s="240"/>
      <c r="L14" s="240"/>
      <c r="M14" s="240"/>
      <c r="N14" s="240"/>
      <c r="O14" s="240"/>
      <c r="P14" s="240"/>
      <c r="Q14" s="240"/>
      <c r="R14" s="240"/>
      <c r="S14" s="240"/>
      <c r="T14" s="240"/>
      <c r="U14" s="240"/>
      <c r="V14" s="240"/>
      <c r="W14" s="240"/>
      <c r="X14" s="240"/>
      <c r="Y14" s="240"/>
      <c r="Z14" s="240"/>
      <c r="AA14" s="240"/>
    </row>
    <row r="15" spans="10:27" ht="18" customHeight="1" outlineLevel="1" x14ac:dyDescent="0.3">
      <c r="J15" s="240"/>
      <c r="K15" s="240"/>
      <c r="L15" s="240"/>
      <c r="M15" s="240"/>
      <c r="N15" s="240"/>
      <c r="O15" s="240"/>
      <c r="P15" s="240"/>
      <c r="Q15" s="240"/>
      <c r="R15" s="240"/>
      <c r="S15" s="240"/>
      <c r="T15" s="240"/>
      <c r="U15" s="240"/>
      <c r="V15" s="240"/>
      <c r="W15" s="240"/>
      <c r="X15" s="240"/>
      <c r="Y15" s="240"/>
      <c r="Z15" s="240"/>
      <c r="AA15" s="240"/>
    </row>
    <row r="16" spans="10:27" ht="18" customHeight="1" outlineLevel="1" x14ac:dyDescent="0.3">
      <c r="J16" s="240"/>
      <c r="K16" s="240"/>
      <c r="L16" s="240"/>
      <c r="M16" s="240"/>
      <c r="N16" s="240"/>
      <c r="O16" s="240"/>
      <c r="P16" s="240"/>
      <c r="Q16" s="240"/>
      <c r="R16" s="240"/>
      <c r="S16" s="240"/>
      <c r="T16" s="240"/>
      <c r="U16" s="240"/>
      <c r="V16" s="240"/>
      <c r="W16" s="240"/>
      <c r="X16" s="240"/>
      <c r="Y16" s="240"/>
      <c r="Z16" s="240"/>
      <c r="AA16" s="240"/>
    </row>
    <row r="17" spans="2:27" ht="18" customHeight="1" outlineLevel="1" x14ac:dyDescent="0.3">
      <c r="G17" s="97" t="s">
        <v>1117</v>
      </c>
      <c r="H17" t="s">
        <v>1120</v>
      </c>
      <c r="J17" s="240"/>
      <c r="K17" s="240"/>
      <c r="L17" s="240"/>
      <c r="M17" s="240"/>
      <c r="N17" s="240"/>
      <c r="O17" s="240"/>
      <c r="P17" s="240"/>
      <c r="Q17" s="240"/>
      <c r="R17" s="240"/>
      <c r="S17" s="240"/>
      <c r="T17" s="240"/>
      <c r="U17" s="240"/>
      <c r="V17" s="240"/>
      <c r="W17" s="240"/>
      <c r="X17" s="240"/>
      <c r="Y17" s="240"/>
      <c r="Z17" s="240"/>
      <c r="AA17" s="240"/>
    </row>
    <row r="18" spans="2:27" ht="18" customHeight="1" outlineLevel="1" x14ac:dyDescent="0.3">
      <c r="G18" s="97" t="s">
        <v>1118</v>
      </c>
      <c r="H18" t="s">
        <v>1116</v>
      </c>
      <c r="J18" s="240"/>
      <c r="K18" s="240"/>
      <c r="L18" s="240"/>
      <c r="M18" s="240"/>
      <c r="N18" s="240"/>
      <c r="O18" s="240"/>
      <c r="P18" s="240"/>
      <c r="Q18" s="240"/>
      <c r="R18" s="240"/>
      <c r="S18" s="240"/>
      <c r="T18" s="240"/>
      <c r="U18" s="240"/>
      <c r="V18" s="240"/>
      <c r="W18" s="240"/>
      <c r="X18" s="240"/>
      <c r="Y18" s="240"/>
      <c r="Z18" s="240"/>
      <c r="AA18" s="240"/>
    </row>
    <row r="19" spans="2:27" ht="18" customHeight="1" outlineLevel="1" x14ac:dyDescent="0.3">
      <c r="G19" s="97" t="s">
        <v>923</v>
      </c>
      <c r="H19" t="s">
        <v>1116</v>
      </c>
      <c r="J19" s="240"/>
      <c r="K19" s="240"/>
      <c r="L19" s="240"/>
      <c r="M19" s="240"/>
      <c r="N19" s="240"/>
      <c r="O19" s="240"/>
      <c r="P19" s="240"/>
      <c r="Q19" s="240"/>
      <c r="R19" s="240"/>
      <c r="S19" s="240"/>
      <c r="T19" s="240"/>
      <c r="U19" s="240"/>
      <c r="V19" s="240"/>
      <c r="W19" s="240"/>
      <c r="X19" s="240"/>
      <c r="Y19" s="240"/>
      <c r="Z19" s="240"/>
      <c r="AA19" s="240"/>
    </row>
    <row r="20" spans="2:27" ht="18" customHeight="1" x14ac:dyDescent="0.3">
      <c r="J20" s="240"/>
      <c r="K20" s="240"/>
      <c r="L20" s="240"/>
      <c r="M20" s="240"/>
      <c r="N20" s="240"/>
      <c r="O20" s="240"/>
      <c r="P20" s="240"/>
      <c r="Q20" s="240"/>
      <c r="R20" s="240"/>
      <c r="S20" s="240"/>
      <c r="T20" s="240"/>
      <c r="U20" s="240"/>
      <c r="V20" s="240"/>
      <c r="W20" s="240"/>
      <c r="X20" s="240"/>
      <c r="Y20" s="240"/>
      <c r="Z20" s="240"/>
      <c r="AA20" s="240"/>
    </row>
    <row r="21" spans="2:27" ht="16.5" x14ac:dyDescent="0.3">
      <c r="B21" s="97" t="s">
        <v>23</v>
      </c>
      <c r="C21" t="s">
        <v>1114</v>
      </c>
      <c r="D21" t="s">
        <v>1115</v>
      </c>
      <c r="E21" t="s">
        <v>69</v>
      </c>
      <c r="G21" s="97" t="s">
        <v>23</v>
      </c>
      <c r="H21" t="s">
        <v>1119</v>
      </c>
      <c r="J21" s="7" t="s">
        <v>3</v>
      </c>
      <c r="K21" s="7" t="s">
        <v>2</v>
      </c>
      <c r="L21" s="7" t="s">
        <v>1</v>
      </c>
      <c r="M21" s="7" t="s">
        <v>654</v>
      </c>
      <c r="N21" s="7" t="s">
        <v>1003</v>
      </c>
      <c r="O21" s="7" t="s">
        <v>655</v>
      </c>
      <c r="P21" s="7" t="s">
        <v>879</v>
      </c>
      <c r="Q21" s="7" t="s">
        <v>656</v>
      </c>
      <c r="R21" s="7" t="s">
        <v>790</v>
      </c>
      <c r="S21" s="46" t="s">
        <v>657</v>
      </c>
      <c r="T21" s="46" t="s">
        <v>658</v>
      </c>
      <c r="U21" s="46" t="s">
        <v>151</v>
      </c>
      <c r="V21" s="46" t="s">
        <v>895</v>
      </c>
      <c r="W21" s="46" t="s">
        <v>554</v>
      </c>
      <c r="X21" s="46" t="s">
        <v>652</v>
      </c>
      <c r="Y21" s="46" t="s">
        <v>923</v>
      </c>
      <c r="Z21" s="7" t="s">
        <v>1243</v>
      </c>
      <c r="AA21" s="7" t="s">
        <v>873</v>
      </c>
    </row>
    <row r="22" spans="2:27" ht="16.5" x14ac:dyDescent="0.3">
      <c r="B22" s="98" t="s">
        <v>1103</v>
      </c>
      <c r="C22" s="504">
        <v>1966666666.6666663</v>
      </c>
      <c r="D22" s="504">
        <v>505583333.33333331</v>
      </c>
      <c r="E22" s="504">
        <v>2472250000</v>
      </c>
      <c r="G22" s="98" t="s">
        <v>1100</v>
      </c>
      <c r="H22" s="504">
        <v>833333333.33333325</v>
      </c>
      <c r="J22" s="49">
        <f t="shared" ref="J22:J34" si="0">IFERROR(
IF(ISBLANK(L22),
DATE(K22,12,1),
DATE(K22,L22,1)),0)</f>
        <v>45931</v>
      </c>
      <c r="K22" s="240">
        <v>2025</v>
      </c>
      <c r="L22" s="240">
        <v>10</v>
      </c>
      <c r="M22" s="240" t="s">
        <v>1092</v>
      </c>
      <c r="N22" s="246" t="str">
        <f xml:space="preserve">
IFERROR(
VLOOKUP(
Table_VayNo_LichTra[[#This Row],[Khoản vay]],
Table_VayNo[],
COUNTA(Table_VayNo[[#Headers],[Mã khoản vay]:[Tần suất trả nợ]]),
0),
0)</f>
        <v>Một lần</v>
      </c>
      <c r="O22" s="304">
        <f xml:space="preserve">
IFERROR(
VLOOKUP(
Table_VayNo_LichTra[[#This Row],[Khoản vay]],
Table_VayNo[],
COUNTA(Table_VayNo[[#Headers],[Mã khoản vay]:[Ngày vay]]),
0),
0)</f>
        <v>45869</v>
      </c>
      <c r="P22" s="304">
        <f xml:space="preserve">
IFERROR(
VLOOKUP(
Table_VayNo_LichTra[[#This Row],[Khoản vay]],
Table_VayNo[],
COUNTA(Table_VayNo[[#Headers],[Mã khoản vay]:[Bắt đầu trả gốc]]),
0),
0)</f>
        <v>0</v>
      </c>
      <c r="Q22" s="304">
        <f xml:space="preserve">
IFERROR(
VLOOKUP(
Table_VayNo_LichTra[[#This Row],[Khoản vay]],
Table_VayNo[],
COUNTA(Table_VayNo[[#Headers],[Mã khoản vay]:[Kết thúc trả gốc]]),
0),
0)</f>
        <v>45960</v>
      </c>
      <c r="R22" s="452">
        <f xml:space="preserve">
IFERROR(
VLOOKUP(
Table_VayNo_LichTra[[#This Row],[Khoản vay]], Table_VayNo[],COUNTA(Table_VayNo[[#Headers],[Mã khoản vay]:[Lãi suất (năm)]]),0),
0)</f>
        <v>0.06</v>
      </c>
      <c r="S2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U2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2" s="48">
        <f>Table_VayNo_LichTra[[#This Row],[Lãi vay]]+Table_VayNo_LichTra[[#This Row],[Trả gốc trong kỳ]]</f>
        <v>100500000</v>
      </c>
      <c r="X22" s="48">
        <f>Table_VayNo_LichTra[[#This Row],[Phân bổ lãi tháng]]</f>
        <v>500000</v>
      </c>
      <c r="Y22"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45961</v>
      </c>
      <c r="Z22" s="48">
        <f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f>
        <v>101500000</v>
      </c>
      <c r="AA22" s="240"/>
    </row>
    <row r="23" spans="2:27" ht="16.5" x14ac:dyDescent="0.3">
      <c r="B23" s="506" t="s">
        <v>1106</v>
      </c>
      <c r="C23" s="504">
        <v>1666666666.6666667</v>
      </c>
      <c r="D23" s="504">
        <v>500000000</v>
      </c>
      <c r="E23" s="504">
        <v>2166666666.666667</v>
      </c>
      <c r="G23" s="98" t="s">
        <v>1097</v>
      </c>
      <c r="H23" s="504">
        <v>4083333.333333334</v>
      </c>
      <c r="J23" s="49">
        <f t="shared" si="0"/>
        <v>45901</v>
      </c>
      <c r="K23" s="240">
        <v>2025</v>
      </c>
      <c r="L23" s="240">
        <v>9</v>
      </c>
      <c r="M23" s="240" t="s">
        <v>1092</v>
      </c>
      <c r="N23" s="246" t="str">
        <f xml:space="preserve">
IFERROR(
VLOOKUP(
Table_VayNo_LichTra[[#This Row],[Khoản vay]],
Table_VayNo[],
COUNTA(Table_VayNo[[#Headers],[Mã khoản vay]:[Tần suất trả nợ]]),
0),
0)</f>
        <v>Một lần</v>
      </c>
      <c r="O23" s="304">
        <f xml:space="preserve">
IFERROR(
VLOOKUP(
Table_VayNo_LichTra[[#This Row],[Khoản vay]],
Table_VayNo[],
COUNTA(Table_VayNo[[#Headers],[Mã khoản vay]:[Ngày vay]]),
0),
0)</f>
        <v>45869</v>
      </c>
      <c r="P23" s="304">
        <f xml:space="preserve">
IFERROR(
VLOOKUP(
Table_VayNo_LichTra[[#This Row],[Khoản vay]],
Table_VayNo[],
COUNTA(Table_VayNo[[#Headers],[Mã khoản vay]:[Bắt đầu trả gốc]]),
0),
0)</f>
        <v>0</v>
      </c>
      <c r="Q23" s="304">
        <f xml:space="preserve">
IFERROR(
VLOOKUP(
Table_VayNo_LichTra[[#This Row],[Khoản vay]],
Table_VayNo[],
COUNTA(Table_VayNo[[#Headers],[Mã khoản vay]:[Kết thúc trả gốc]]),
0),
0)</f>
        <v>45960</v>
      </c>
      <c r="R23" s="452">
        <f xml:space="preserve">
IFERROR(
VLOOKUP(
Table_VayNo_LichTra[[#This Row],[Khoản vay]], Table_VayNo[],COUNTA(Table_VayNo[[#Headers],[Mã khoản vay]:[Lãi suất (năm)]]),0),
0)</f>
        <v>0.06</v>
      </c>
      <c r="S2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3" s="48">
        <f>Table_VayNo_LichTra[[#This Row],[Lãi vay]]+Table_VayNo_LichTra[[#This Row],[Trả gốc trong kỳ]]</f>
        <v>500000</v>
      </c>
      <c r="X23" s="48">
        <f>Table_VayNo_LichTra[[#This Row],[Phân bổ lãi tháng]]</f>
        <v>500000</v>
      </c>
      <c r="Y23"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45931</v>
      </c>
      <c r="Z23" s="48">
        <f xml:space="preserve">
IF(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)),0)&lt; 0, 0,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f>
        <v>1000000</v>
      </c>
      <c r="AA23" s="240"/>
    </row>
    <row r="24" spans="2:27" ht="18" customHeight="1" x14ac:dyDescent="0.3">
      <c r="B24" s="505">
        <v>45713</v>
      </c>
      <c r="C24" s="504">
        <v>1666666666.6666667</v>
      </c>
      <c r="D24" s="504">
        <v>500000000</v>
      </c>
      <c r="E24" s="504">
        <v>2166666666.666667</v>
      </c>
      <c r="G24" s="98" t="s">
        <v>1095</v>
      </c>
      <c r="H24" s="504">
        <v>52000000</v>
      </c>
      <c r="J24" s="49">
        <f t="shared" si="0"/>
        <v>45870</v>
      </c>
      <c r="K24" s="240">
        <v>2025</v>
      </c>
      <c r="L24" s="240">
        <v>8</v>
      </c>
      <c r="M24" s="240" t="s">
        <v>1092</v>
      </c>
      <c r="N24" s="246" t="str">
        <f xml:space="preserve">
IFERROR(
VLOOKUP(
Table_VayNo_LichTra[[#This Row],[Khoản vay]],
Table_VayNo[],
COUNTA(Table_VayNo[[#Headers],[Mã khoản vay]:[Tần suất trả nợ]]),
0),
0)</f>
        <v>Một lần</v>
      </c>
      <c r="O24" s="304">
        <f xml:space="preserve">
IFERROR(
VLOOKUP(
Table_VayNo_LichTra[[#This Row],[Khoản vay]],
Table_VayNo[],
COUNTA(Table_VayNo[[#Headers],[Mã khoản vay]:[Ngày vay]]),
0),
0)</f>
        <v>45869</v>
      </c>
      <c r="P24" s="304">
        <f xml:space="preserve">
IFERROR(
VLOOKUP(
Table_VayNo_LichTra[[#This Row],[Khoản vay]],
Table_VayNo[],
COUNTA(Table_VayNo[[#Headers],[Mã khoản vay]:[Bắt đầu trả gốc]]),
0),
0)</f>
        <v>0</v>
      </c>
      <c r="Q24" s="304">
        <f xml:space="preserve">
IFERROR(
VLOOKUP(
Table_VayNo_LichTra[[#This Row],[Khoản vay]],
Table_VayNo[],
COUNTA(Table_VayNo[[#Headers],[Mã khoản vay]:[Kết thúc trả gốc]]),
0),
0)</f>
        <v>45960</v>
      </c>
      <c r="R24" s="452">
        <f xml:space="preserve">
IFERROR(
VLOOKUP(
Table_VayNo_LichTra[[#This Row],[Khoản vay]], Table_VayNo[],COUNTA(Table_VayNo[[#Headers],[Mã khoản vay]:[Lãi suất (năm)]]),0),
0)</f>
        <v>0.06</v>
      </c>
      <c r="S2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4" s="48">
        <f>Table_VayNo_LichTra[[#This Row],[Lãi vay]]+Table_VayNo_LichTra[[#This Row],[Trả gốc trong kỳ]]</f>
        <v>500000</v>
      </c>
      <c r="X24" s="48">
        <f>Table_VayNo_LichTra[[#This Row],[Phân bổ lãi tháng]]</f>
        <v>500000</v>
      </c>
      <c r="Y24"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45900</v>
      </c>
      <c r="Z24" s="48">
        <f xml:space="preserve">
IF(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)),0)&lt; 0, 0,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f>
        <v>500000</v>
      </c>
      <c r="AA24" s="240"/>
    </row>
    <row r="25" spans="2:27" ht="16.5" x14ac:dyDescent="0.3">
      <c r="B25" s="506" t="s">
        <v>1107</v>
      </c>
      <c r="C25" s="504">
        <v>33333333.333333332</v>
      </c>
      <c r="D25" s="504">
        <v>1166666.6666666667</v>
      </c>
      <c r="E25" s="504">
        <v>34500000</v>
      </c>
      <c r="G25" s="98" t="s">
        <v>1092</v>
      </c>
      <c r="H25" s="504">
        <v>1500000</v>
      </c>
      <c r="J25" s="49">
        <f t="shared" si="0"/>
        <v>46357</v>
      </c>
      <c r="K25" s="240">
        <v>2026</v>
      </c>
      <c r="L25" s="240"/>
      <c r="M25" s="240" t="s">
        <v>1095</v>
      </c>
      <c r="N25" s="246" t="str">
        <f xml:space="preserve">
IFERROR(
VLOOKUP(
Table_VayNo_LichTra[[#This Row],[Khoản vay]],
Table_VayNo[],
COUNTA(Table_VayNo[[#Headers],[Mã khoản vay]:[Tần suất trả nợ]]),
0),
0)</f>
        <v>Một lần</v>
      </c>
      <c r="O25" s="304">
        <f xml:space="preserve">
IFERROR(
VLOOKUP(
Table_VayNo_LichTra[[#This Row],[Khoản vay]],
Table_VayNo[],
COUNTA(Table_VayNo[[#Headers],[Mã khoản vay]:[Ngày vay]]),
0),
0)</f>
        <v>45792</v>
      </c>
      <c r="P25" s="304">
        <f xml:space="preserve">
IFERROR(
VLOOKUP(
Table_VayNo_LichTra[[#This Row],[Khoản vay]],
Table_VayNo[],
COUNTA(Table_VayNo[[#Headers],[Mã khoản vay]:[Bắt đầu trả gốc]]),
0),
0)</f>
        <v>0</v>
      </c>
      <c r="Q25" s="304">
        <f xml:space="preserve">
IFERROR(
VLOOKUP(
Table_VayNo_LichTra[[#This Row],[Khoản vay]],
Table_VayNo[],
COUNTA(Table_VayNo[[#Headers],[Mã khoản vay]:[Kết thúc trả gốc]]),
0),
0)</f>
        <v>46157</v>
      </c>
      <c r="R25" s="452">
        <f xml:space="preserve">
IFERROR(
VLOOKUP(
Table_VayNo_LichTra[[#This Row],[Khoản vay]], Table_VayNo[],COUNTA(Table_VayNo[[#Headers],[Mã khoản vay]:[Lãi suất (năm)]]),0),
0)</f>
        <v>0.08</v>
      </c>
      <c r="S25"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T25"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U25"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V25"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52000000</v>
      </c>
      <c r="W25" s="48">
        <f>Table_VayNo_LichTra[[#This Row],[Lãi vay]]+Table_VayNo_LichTra[[#This Row],[Trả gốc trong kỳ]]</f>
        <v>702000000</v>
      </c>
      <c r="X25" s="48">
        <f>Table_VayNo_LichTra[[#This Row],[Phân bổ lãi tháng]]</f>
        <v>52000000</v>
      </c>
      <c r="Y25"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46157</v>
      </c>
      <c r="Z25" s="48">
        <f xml:space="preserve">
IF(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)),0)&lt; 0, 0,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f>
        <v>702000000</v>
      </c>
      <c r="AA25" s="240"/>
    </row>
    <row r="26" spans="2:27" ht="16.5" x14ac:dyDescent="0.3">
      <c r="B26" s="505">
        <v>45748</v>
      </c>
      <c r="C26" s="504">
        <v>33333333.333333332</v>
      </c>
      <c r="D26" s="504">
        <v>1166666.6666666667</v>
      </c>
      <c r="E26" s="504">
        <v>34500000</v>
      </c>
      <c r="G26" s="98" t="s">
        <v>1102</v>
      </c>
      <c r="H26" s="504">
        <v>890916666.66666663</v>
      </c>
      <c r="J26" s="49">
        <f t="shared" si="0"/>
        <v>45901</v>
      </c>
      <c r="K26" s="240">
        <v>2025</v>
      </c>
      <c r="L26" s="240">
        <v>9</v>
      </c>
      <c r="M26" s="240" t="s">
        <v>1097</v>
      </c>
      <c r="N26" s="246" t="str">
        <f xml:space="preserve">
IFERROR(
VLOOKUP(
Table_VayNo_LichTra[[#This Row],[Khoản vay]],
Table_VayNo[],
COUNTA(Table_VayNo[[#Headers],[Mã khoản vay]:[Tần suất trả nợ]]),
0),
0)</f>
        <v>Theo tháng</v>
      </c>
      <c r="O26" s="304">
        <f xml:space="preserve">
IFERROR(
VLOOKUP(
Table_VayNo_LichTra[[#This Row],[Khoản vay]],
Table_VayNo[],
COUNTA(Table_VayNo[[#Headers],[Mã khoản vay]:[Ngày vay]]),
0),
0)</f>
        <v>45718</v>
      </c>
      <c r="P26" s="304">
        <f xml:space="preserve">
IFERROR(
VLOOKUP(
Table_VayNo_LichTra[[#This Row],[Khoản vay]],
Table_VayNo[],
COUNTA(Table_VayNo[[#Headers],[Mã khoản vay]:[Bắt đầu trả gốc]]),
0),
0)</f>
        <v>45749</v>
      </c>
      <c r="Q26" s="304">
        <f xml:space="preserve">
IFERROR(
VLOOKUP(
Table_VayNo_LichTra[[#This Row],[Khoản vay]],
Table_VayNo[],
COUNTA(Table_VayNo[[#Headers],[Mã khoản vay]:[Kết thúc trả gốc]]),
0),
0)</f>
        <v>45901</v>
      </c>
      <c r="R26" s="452">
        <f xml:space="preserve">
IFERROR(
VLOOKUP(
Table_VayNo_LichTra[[#This Row],[Khoản vay]], Table_VayNo[],COUNTA(Table_VayNo[[#Headers],[Mã khoản vay]:[Lãi suất (năm)]]),0),
0)</f>
        <v>7.0000000000000007E-2</v>
      </c>
      <c r="S26"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T26"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6"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V26"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194444.44444444453</v>
      </c>
      <c r="W26" s="48">
        <f>Table_VayNo_LichTra[[#This Row],[Lãi vay]]+Table_VayNo_LichTra[[#This Row],[Trả gốc trong kỳ]]</f>
        <v>33527777.777777776</v>
      </c>
      <c r="X26" s="48">
        <f>Table_VayNo_LichTra[[#This Row],[Phân bổ lãi tháng]]</f>
        <v>194444.44444444453</v>
      </c>
      <c r="Y26"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45901</v>
      </c>
      <c r="Z26" s="48">
        <f xml:space="preserve">
IF(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)),0)&lt; 0, 0,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f>
        <v>204083333.33333331</v>
      </c>
      <c r="AA26" s="240"/>
    </row>
    <row r="27" spans="2:27" ht="16.5" x14ac:dyDescent="0.3">
      <c r="B27" s="506" t="s">
        <v>1108</v>
      </c>
      <c r="C27" s="504">
        <v>33333333.333333332</v>
      </c>
      <c r="D27" s="504">
        <v>972222.22222222236</v>
      </c>
      <c r="E27" s="504">
        <v>34305555.555555552</v>
      </c>
      <c r="J27" s="49">
        <f t="shared" si="0"/>
        <v>45870</v>
      </c>
      <c r="K27" s="240">
        <v>2025</v>
      </c>
      <c r="L27" s="240">
        <v>8</v>
      </c>
      <c r="M27" s="240" t="s">
        <v>1097</v>
      </c>
      <c r="N27" s="246" t="str">
        <f xml:space="preserve">
IFERROR(
VLOOKUP(
Table_VayNo_LichTra[[#This Row],[Khoản vay]],
Table_VayNo[],
COUNTA(Table_VayNo[[#Headers],[Mã khoản vay]:[Tần suất trả nợ]]),
0),
0)</f>
        <v>Theo tháng</v>
      </c>
      <c r="O27" s="304">
        <f xml:space="preserve">
IFERROR(
VLOOKUP(
Table_VayNo_LichTra[[#This Row],[Khoản vay]],
Table_VayNo[],
COUNTA(Table_VayNo[[#Headers],[Mã khoản vay]:[Ngày vay]]),
0),
0)</f>
        <v>45718</v>
      </c>
      <c r="P27" s="304">
        <f xml:space="preserve">
IFERROR(
VLOOKUP(
Table_VayNo_LichTra[[#This Row],[Khoản vay]],
Table_VayNo[],
COUNTA(Table_VayNo[[#Headers],[Mã khoản vay]:[Bắt đầu trả gốc]]),
0),
0)</f>
        <v>45749</v>
      </c>
      <c r="Q27" s="304">
        <f xml:space="preserve">
IFERROR(
VLOOKUP(
Table_VayNo_LichTra[[#This Row],[Khoản vay]],
Table_VayNo[],
COUNTA(Table_VayNo[[#Headers],[Mã khoản vay]:[Kết thúc trả gốc]]),
0),
0)</f>
        <v>45901</v>
      </c>
      <c r="R27" s="452">
        <f xml:space="preserve">
IFERROR(
VLOOKUP(
Table_VayNo_LichTra[[#This Row],[Khoản vay]], Table_VayNo[],COUNTA(Table_VayNo[[#Headers],[Mã khoản vay]:[Lãi suất (năm)]]),0),
0)</f>
        <v>7.0000000000000007E-2</v>
      </c>
      <c r="S27"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T27"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7"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V27"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388888.88888888899</v>
      </c>
      <c r="W27" s="48">
        <f>Table_VayNo_LichTra[[#This Row],[Lãi vay]]+Table_VayNo_LichTra[[#This Row],[Trả gốc trong kỳ]]</f>
        <v>33722222.222222224</v>
      </c>
      <c r="X27" s="48">
        <f>Table_VayNo_LichTra[[#This Row],[Phân bổ lãi tháng]]</f>
        <v>388888.88888888899</v>
      </c>
      <c r="Y27"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45870</v>
      </c>
      <c r="Z27" s="48">
        <f xml:space="preserve">
IF(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)),0)&lt; 0, 0,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f>
        <v>170555555.55555555</v>
      </c>
      <c r="AA27" s="240"/>
    </row>
    <row r="28" spans="2:27" ht="16.5" x14ac:dyDescent="0.3">
      <c r="B28" s="505">
        <v>45778</v>
      </c>
      <c r="C28" s="504">
        <v>33333333.333333332</v>
      </c>
      <c r="D28" s="504">
        <v>972222.22222222236</v>
      </c>
      <c r="E28" s="504">
        <v>34305555.555555552</v>
      </c>
      <c r="J28" s="49">
        <f t="shared" si="0"/>
        <v>45839</v>
      </c>
      <c r="K28" s="240">
        <v>2025</v>
      </c>
      <c r="L28" s="240">
        <v>7</v>
      </c>
      <c r="M28" s="240" t="s">
        <v>1097</v>
      </c>
      <c r="N28" s="246" t="str">
        <f xml:space="preserve">
IFERROR(
VLOOKUP(
Table_VayNo_LichTra[[#This Row],[Khoản vay]],
Table_VayNo[],
COUNTA(Table_VayNo[[#Headers],[Mã khoản vay]:[Tần suất trả nợ]]),
0),
0)</f>
        <v>Theo tháng</v>
      </c>
      <c r="O28" s="304">
        <f xml:space="preserve">
IFERROR(
VLOOKUP(
Table_VayNo_LichTra[[#This Row],[Khoản vay]],
Table_VayNo[],
COUNTA(Table_VayNo[[#Headers],[Mã khoản vay]:[Ngày vay]]),
0),
0)</f>
        <v>45718</v>
      </c>
      <c r="P28" s="304">
        <f xml:space="preserve">
IFERROR(
VLOOKUP(
Table_VayNo_LichTra[[#This Row],[Khoản vay]],
Table_VayNo[],
COUNTA(Table_VayNo[[#Headers],[Mã khoản vay]:[Bắt đầu trả gốc]]),
0),
0)</f>
        <v>45749</v>
      </c>
      <c r="Q28" s="304">
        <f xml:space="preserve">
IFERROR(
VLOOKUP(
Table_VayNo_LichTra[[#This Row],[Khoản vay]],
Table_VayNo[],
COUNTA(Table_VayNo[[#Headers],[Mã khoản vay]:[Kết thúc trả gốc]]),
0),
0)</f>
        <v>45901</v>
      </c>
      <c r="R28" s="452">
        <f xml:space="preserve">
IFERROR(
VLOOKUP(
Table_VayNo_LichTra[[#This Row],[Khoản vay]], Table_VayNo[],COUNTA(Table_VayNo[[#Headers],[Mã khoản vay]:[Lãi suất (năm)]]),0),
0)</f>
        <v>7.0000000000000007E-2</v>
      </c>
      <c r="S28"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8"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8"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V28"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583333.33333333337</v>
      </c>
      <c r="W28" s="48">
        <f>Table_VayNo_LichTra[[#This Row],[Lãi vay]]+Table_VayNo_LichTra[[#This Row],[Trả gốc trong kỳ]]</f>
        <v>33916666.666666664</v>
      </c>
      <c r="X28" s="48">
        <f>Table_VayNo_LichTra[[#This Row],[Phân bổ lãi tháng]]</f>
        <v>583333.33333333337</v>
      </c>
      <c r="Y28"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45839</v>
      </c>
      <c r="Z28" s="48">
        <f xml:space="preserve">
IF(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)),0)&lt; 0, 0,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f>
        <v>136833333.33333331</v>
      </c>
      <c r="AA28" s="240"/>
    </row>
    <row r="29" spans="2:27" ht="16.5" x14ac:dyDescent="0.3">
      <c r="B29" s="506" t="s">
        <v>1109</v>
      </c>
      <c r="C29" s="504">
        <v>33333333.333333332</v>
      </c>
      <c r="D29" s="504">
        <v>777777.77777777798</v>
      </c>
      <c r="E29" s="504">
        <v>34111111.111111112</v>
      </c>
      <c r="J29" s="49">
        <f t="shared" si="0"/>
        <v>45809</v>
      </c>
      <c r="K29" s="240">
        <v>2025</v>
      </c>
      <c r="L29" s="240">
        <v>6</v>
      </c>
      <c r="M29" s="240" t="s">
        <v>1097</v>
      </c>
      <c r="N29" s="246" t="str">
        <f xml:space="preserve">
IFERROR(
VLOOKUP(
Table_VayNo_LichTra[[#This Row],[Khoản vay]],
Table_VayNo[],
COUNTA(Table_VayNo[[#Headers],[Mã khoản vay]:[Tần suất trả nợ]]),
0),
0)</f>
        <v>Theo tháng</v>
      </c>
      <c r="O29" s="304">
        <f xml:space="preserve">
IFERROR(
VLOOKUP(
Table_VayNo_LichTra[[#This Row],[Khoản vay]],
Table_VayNo[],
COUNTA(Table_VayNo[[#Headers],[Mã khoản vay]:[Ngày vay]]),
0),
0)</f>
        <v>45718</v>
      </c>
      <c r="P29" s="304">
        <f xml:space="preserve">
IFERROR(
VLOOKUP(
Table_VayNo_LichTra[[#This Row],[Khoản vay]],
Table_VayNo[],
COUNTA(Table_VayNo[[#Headers],[Mã khoản vay]:[Bắt đầu trả gốc]]),
0),
0)</f>
        <v>45749</v>
      </c>
      <c r="Q29" s="304">
        <f xml:space="preserve">
IFERROR(
VLOOKUP(
Table_VayNo_LichTra[[#This Row],[Khoản vay]],
Table_VayNo[],
COUNTA(Table_VayNo[[#Headers],[Mã khoản vay]:[Kết thúc trả gốc]]),
0),
0)</f>
        <v>45901</v>
      </c>
      <c r="R29" s="452">
        <f xml:space="preserve">
IFERROR(
VLOOKUP(
Table_VayNo_LichTra[[#This Row],[Khoản vay]], Table_VayNo[],COUNTA(Table_VayNo[[#Headers],[Mã khoản vay]:[Lãi suất (năm)]]),0),
0)</f>
        <v>7.0000000000000007E-2</v>
      </c>
      <c r="S29"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T29"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9"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V29"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777777.77777777798</v>
      </c>
      <c r="W29" s="48">
        <f>Table_VayNo_LichTra[[#This Row],[Lãi vay]]+Table_VayNo_LichTra[[#This Row],[Trả gốc trong kỳ]]</f>
        <v>34111111.111111112</v>
      </c>
      <c r="X29" s="48">
        <f>Table_VayNo_LichTra[[#This Row],[Phân bổ lãi tháng]]</f>
        <v>777777.77777777798</v>
      </c>
      <c r="Y29"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45809</v>
      </c>
      <c r="Z29" s="48">
        <f xml:space="preserve">
IF(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)),0)&lt; 0, 0,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f>
        <v>102916666.66666666</v>
      </c>
      <c r="AA29" s="240"/>
    </row>
    <row r="30" spans="2:27" ht="16.5" x14ac:dyDescent="0.3">
      <c r="B30" s="505">
        <v>45809</v>
      </c>
      <c r="C30" s="504">
        <v>33333333.333333332</v>
      </c>
      <c r="D30" s="504">
        <v>777777.77777777798</v>
      </c>
      <c r="E30" s="504">
        <v>34111111.111111112</v>
      </c>
      <c r="J30" s="49">
        <f t="shared" si="0"/>
        <v>45778</v>
      </c>
      <c r="K30" s="240">
        <v>2025</v>
      </c>
      <c r="L30" s="240">
        <v>5</v>
      </c>
      <c r="M30" s="240" t="s">
        <v>1097</v>
      </c>
      <c r="N30" s="246" t="str">
        <f xml:space="preserve">
IFERROR(
VLOOKUP(
Table_VayNo_LichTra[[#This Row],[Khoản vay]],
Table_VayNo[],
COUNTA(Table_VayNo[[#Headers],[Mã khoản vay]:[Tần suất trả nợ]]),
0),
0)</f>
        <v>Theo tháng</v>
      </c>
      <c r="O30" s="304">
        <f xml:space="preserve">
IFERROR(
VLOOKUP(
Table_VayNo_LichTra[[#This Row],[Khoản vay]],
Table_VayNo[],
COUNTA(Table_VayNo[[#Headers],[Mã khoản vay]:[Ngày vay]]),
0),
0)</f>
        <v>45718</v>
      </c>
      <c r="P30" s="304">
        <f xml:space="preserve">
IFERROR(
VLOOKUP(
Table_VayNo_LichTra[[#This Row],[Khoản vay]],
Table_VayNo[],
COUNTA(Table_VayNo[[#Headers],[Mã khoản vay]:[Bắt đầu trả gốc]]),
0),
0)</f>
        <v>45749</v>
      </c>
      <c r="Q30" s="304">
        <f xml:space="preserve">
IFERROR(
VLOOKUP(
Table_VayNo_LichTra[[#This Row],[Khoản vay]],
Table_VayNo[],
COUNTA(Table_VayNo[[#Headers],[Mã khoản vay]:[Kết thúc trả gốc]]),
0),
0)</f>
        <v>45901</v>
      </c>
      <c r="R30" s="452">
        <f xml:space="preserve">
IFERROR(
VLOOKUP(
Table_VayNo_LichTra[[#This Row],[Khoản vay]], Table_VayNo[],COUNTA(Table_VayNo[[#Headers],[Mã khoản vay]:[Lãi suất (năm)]]),0),
0)</f>
        <v>7.0000000000000007E-2</v>
      </c>
      <c r="S30"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T30"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0"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V30"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972222.22222222236</v>
      </c>
      <c r="W30" s="48">
        <f>Table_VayNo_LichTra[[#This Row],[Lãi vay]]+Table_VayNo_LichTra[[#This Row],[Trả gốc trong kỳ]]</f>
        <v>34305555.555555552</v>
      </c>
      <c r="X30" s="48">
        <f>Table_VayNo_LichTra[[#This Row],[Phân bổ lãi tháng]]</f>
        <v>972222.22222222236</v>
      </c>
      <c r="Y30"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45778</v>
      </c>
      <c r="Z30" s="48">
        <f xml:space="preserve">
IF(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)),0)&lt; 0, 0,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f>
        <v>68805555.555555552</v>
      </c>
      <c r="AA30" s="240"/>
    </row>
    <row r="31" spans="2:27" ht="16.5" x14ac:dyDescent="0.3">
      <c r="B31" s="506" t="s">
        <v>1110</v>
      </c>
      <c r="C31" s="504">
        <v>33333333.333333332</v>
      </c>
      <c r="D31" s="504">
        <v>583333.33333333337</v>
      </c>
      <c r="E31" s="504">
        <v>33916666.666666664</v>
      </c>
      <c r="G31"/>
      <c r="H31"/>
      <c r="J31" s="49">
        <f t="shared" si="0"/>
        <v>45748</v>
      </c>
      <c r="K31" s="240">
        <v>2025</v>
      </c>
      <c r="L31" s="240">
        <v>4</v>
      </c>
      <c r="M31" s="240" t="s">
        <v>1097</v>
      </c>
      <c r="N31" s="246" t="str">
        <f xml:space="preserve">
IFERROR(
VLOOKUP(
Table_VayNo_LichTra[[#This Row],[Khoản vay]],
Table_VayNo[],
COUNTA(Table_VayNo[[#Headers],[Mã khoản vay]:[Tần suất trả nợ]]),
0),
0)</f>
        <v>Theo tháng</v>
      </c>
      <c r="O31" s="304">
        <f xml:space="preserve">
IFERROR(
VLOOKUP(
Table_VayNo_LichTra[[#This Row],[Khoản vay]],
Table_VayNo[],
COUNTA(Table_VayNo[[#Headers],[Mã khoản vay]:[Ngày vay]]),
0),
0)</f>
        <v>45718</v>
      </c>
      <c r="P31" s="304">
        <f xml:space="preserve">
IFERROR(
VLOOKUP(
Table_VayNo_LichTra[[#This Row],[Khoản vay]],
Table_VayNo[],
COUNTA(Table_VayNo[[#Headers],[Mã khoản vay]:[Bắt đầu trả gốc]]),
0),
0)</f>
        <v>45749</v>
      </c>
      <c r="Q31" s="304">
        <f xml:space="preserve">
IFERROR(
VLOOKUP(
Table_VayNo_LichTra[[#This Row],[Khoản vay]],
Table_VayNo[],
COUNTA(Table_VayNo[[#Headers],[Mã khoản vay]:[Kết thúc trả gốc]]),
0),
0)</f>
        <v>45901</v>
      </c>
      <c r="R31" s="452">
        <f xml:space="preserve">
IFERROR(
VLOOKUP(
Table_VayNo_LichTra[[#This Row],[Khoản vay]], Table_VayNo[],COUNTA(Table_VayNo[[#Headers],[Mã khoản vay]:[Lãi suất (năm)]]),0),
0)</f>
        <v>7.0000000000000007E-2</v>
      </c>
      <c r="S31"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T31"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1"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V31"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1166666.6666666667</v>
      </c>
      <c r="W31" s="48">
        <f>Table_VayNo_LichTra[[#This Row],[Lãi vay]]+Table_VayNo_LichTra[[#This Row],[Trả gốc trong kỳ]]</f>
        <v>34500000</v>
      </c>
      <c r="X31" s="48">
        <f>Table_VayNo_LichTra[[#This Row],[Phân bổ lãi tháng]]</f>
        <v>1166666.6666666667</v>
      </c>
      <c r="Y31"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45748</v>
      </c>
      <c r="Z31" s="48">
        <f xml:space="preserve">
IF(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)),0)&lt; 0, 0,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f>
        <v>34500000</v>
      </c>
      <c r="AA31" s="240"/>
    </row>
    <row r="32" spans="2:27" ht="16.5" x14ac:dyDescent="0.3">
      <c r="B32" s="505">
        <v>45839</v>
      </c>
      <c r="C32" s="504">
        <v>33333333.333333332</v>
      </c>
      <c r="D32" s="504">
        <v>583333.33333333337</v>
      </c>
      <c r="E32" s="504">
        <v>33916666.666666664</v>
      </c>
      <c r="G32"/>
      <c r="H32"/>
      <c r="J32" s="49">
        <f t="shared" si="0"/>
        <v>46722</v>
      </c>
      <c r="K32" s="240">
        <v>2027</v>
      </c>
      <c r="L32" s="240"/>
      <c r="M32" s="240" t="s">
        <v>1100</v>
      </c>
      <c r="N32" s="246" t="str">
        <f xml:space="preserve">
IFERROR(
VLOOKUP(
Table_VayNo_LichTra[[#This Row],[Khoản vay]],
Table_VayNo[],
COUNTA(Table_VayNo[[#Headers],[Mã khoản vay]:[Tần suất trả nợ]]),
0),
0)</f>
        <v>Theo năm</v>
      </c>
      <c r="O32" s="304">
        <f xml:space="preserve">
IFERROR(
VLOOKUP(
Table_VayNo_LichTra[[#This Row],[Khoản vay]],
Table_VayNo[],
COUNTA(Table_VayNo[[#Headers],[Mã khoản vay]:[Ngày vay]]),
0),
0)</f>
        <v>45346</v>
      </c>
      <c r="P32" s="304">
        <f xml:space="preserve">
IFERROR(
VLOOKUP(
Table_VayNo_LichTra[[#This Row],[Khoản vay]],
Table_VayNo[],
COUNTA(Table_VayNo[[#Headers],[Mã khoản vay]:[Bắt đầu trả gốc]]),
0),
0)</f>
        <v>45712</v>
      </c>
      <c r="Q32" s="304">
        <f xml:space="preserve">
IFERROR(
VLOOKUP(
Table_VayNo_LichTra[[#This Row],[Khoản vay]],
Table_VayNo[],
COUNTA(Table_VayNo[[#Headers],[Mã khoản vay]:[Kết thúc trả gốc]]),
0),
0)</f>
        <v>46443</v>
      </c>
      <c r="R32" s="452">
        <f xml:space="preserve">
IFERROR(
VLOOKUP(
Table_VayNo_LichTra[[#This Row],[Khoản vay]], Table_VayNo[],COUNTA(Table_VayNo[[#Headers],[Mã khoản vay]:[Lãi suất (năm)]]),0),
0)</f>
        <v>0.1</v>
      </c>
      <c r="S3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T3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U3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V3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2314814.8148148148</v>
      </c>
      <c r="W32" s="48">
        <f>Table_VayNo_LichTra[[#This Row],[Lãi vay]]+Table_VayNo_LichTra[[#This Row],[Trả gốc trong kỳ]]</f>
        <v>1694444444.4444442</v>
      </c>
      <c r="X32" s="48">
        <f>Table_VayNo_LichTra[[#This Row],[Phân bổ lãi tháng]]</f>
        <v>2314814.8148148148</v>
      </c>
      <c r="Y32"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46443</v>
      </c>
      <c r="Z32" s="48">
        <f xml:space="preserve">
IF(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)),0)&lt; 0, 0,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f>
        <v>5861111111.1111107</v>
      </c>
      <c r="AA32" s="240"/>
    </row>
    <row r="33" spans="2:27" ht="16.5" x14ac:dyDescent="0.3">
      <c r="B33" s="506" t="s">
        <v>1111</v>
      </c>
      <c r="C33" s="504">
        <v>33333333.333333332</v>
      </c>
      <c r="D33" s="504">
        <v>888888.88888888899</v>
      </c>
      <c r="E33" s="504">
        <v>34222222.222222224</v>
      </c>
      <c r="G33"/>
      <c r="H33"/>
      <c r="J33" s="49">
        <f t="shared" si="0"/>
        <v>46357</v>
      </c>
      <c r="K33" s="240">
        <v>2026</v>
      </c>
      <c r="L33" s="240"/>
      <c r="M33" s="240" t="s">
        <v>1100</v>
      </c>
      <c r="N33" s="246" t="str">
        <f xml:space="preserve">
IFERROR(
VLOOKUP(
Table_VayNo_LichTra[[#This Row],[Khoản vay]],
Table_VayNo[],
COUNTA(Table_VayNo[[#Headers],[Mã khoản vay]:[Tần suất trả nợ]]),
0),
0)</f>
        <v>Theo năm</v>
      </c>
      <c r="O33" s="304">
        <f xml:space="preserve">
IFERROR(
VLOOKUP(
Table_VayNo_LichTra[[#This Row],[Khoản vay]],
Table_VayNo[],
COUNTA(Table_VayNo[[#Headers],[Mã khoản vay]:[Ngày vay]]),
0),
0)</f>
        <v>45346</v>
      </c>
      <c r="P33" s="304">
        <f xml:space="preserve">
IFERROR(
VLOOKUP(
Table_VayNo_LichTra[[#This Row],[Khoản vay]],
Table_VayNo[],
COUNTA(Table_VayNo[[#Headers],[Mã khoản vay]:[Bắt đầu trả gốc]]),
0),
0)</f>
        <v>45712</v>
      </c>
      <c r="Q33" s="304">
        <f xml:space="preserve">
IFERROR(
VLOOKUP(
Table_VayNo_LichTra[[#This Row],[Khoản vay]],
Table_VayNo[],
COUNTA(Table_VayNo[[#Headers],[Mã khoản vay]:[Kết thúc trả gốc]]),
0),
0)</f>
        <v>46443</v>
      </c>
      <c r="R33" s="452">
        <f xml:space="preserve">
IFERROR(
VLOOKUP(
Table_VayNo_LichTra[[#This Row],[Khoản vay]], Table_VayNo[],COUNTA(Table_VayNo[[#Headers],[Mã khoản vay]:[Lãi suất (năm)]]),0),
0)</f>
        <v>0.1</v>
      </c>
      <c r="S3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T3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V3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27777777.777777776</v>
      </c>
      <c r="W33" s="48">
        <f>Table_VayNo_LichTra[[#This Row],[Lãi vay]]+Table_VayNo_LichTra[[#This Row],[Trả gốc trong kỳ]]</f>
        <v>2000000000</v>
      </c>
      <c r="X33" s="48">
        <f>Table_VayNo_LichTra[[#This Row],[Phân bổ lãi tháng]]</f>
        <v>27777777.777777776</v>
      </c>
      <c r="Y33"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46078</v>
      </c>
      <c r="Z33" s="48">
        <f xml:space="preserve">
IF(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)),0)&lt; 0, 0,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f>
        <v>4166666666.666667</v>
      </c>
      <c r="AA33" s="240"/>
    </row>
    <row r="34" spans="2:27" ht="16.5" x14ac:dyDescent="0.3">
      <c r="B34" s="505">
        <v>45870</v>
      </c>
      <c r="C34" s="504">
        <v>33333333.333333332</v>
      </c>
      <c r="D34" s="504">
        <v>388888.88888888899</v>
      </c>
      <c r="E34" s="504">
        <v>33722222.222222224</v>
      </c>
      <c r="G34"/>
      <c r="H34"/>
      <c r="J34" s="49">
        <f t="shared" si="0"/>
        <v>45992</v>
      </c>
      <c r="K34" s="240">
        <v>2025</v>
      </c>
      <c r="L34" s="240"/>
      <c r="M34" s="240" t="s">
        <v>1100</v>
      </c>
      <c r="N34" s="246" t="str">
        <f xml:space="preserve">
IFERROR(
VLOOKUP(
Table_VayNo_LichTra[[#This Row],[Khoản vay]],
Table_VayNo[],
COUNTA(Table_VayNo[[#Headers],[Mã khoản vay]:[Tần suất trả nợ]]),
0),
0)</f>
        <v>Theo năm</v>
      </c>
      <c r="O34" s="304">
        <f xml:space="preserve">
IFERROR(
VLOOKUP(
Table_VayNo_LichTra[[#This Row],[Khoản vay]],
Table_VayNo[],
COUNTA(Table_VayNo[[#Headers],[Mã khoản vay]:[Ngày vay]]),
0),
0)</f>
        <v>45346</v>
      </c>
      <c r="P34" s="304">
        <f xml:space="preserve">
IFERROR(
VLOOKUP(
Table_VayNo_LichTra[[#This Row],[Khoản vay]],
Table_VayNo[],
COUNTA(Table_VayNo[[#Headers],[Mã khoản vay]:[Bắt đầu trả gốc]]),
0),
0)</f>
        <v>45712</v>
      </c>
      <c r="Q34" s="304">
        <f xml:space="preserve">
IFERROR(
VLOOKUP(
Table_VayNo_LichTra[[#This Row],[Khoản vay]],
Table_VayNo[],
COUNTA(Table_VayNo[[#Headers],[Mã khoản vay]:[Kết thúc trả gốc]]),
0),
0)</f>
        <v>46443</v>
      </c>
      <c r="R34" s="452">
        <f xml:space="preserve">
IFERROR(
VLOOKUP(
Table_VayNo_LichTra[[#This Row],[Khoản vay]], Table_VayNo[],COUNTA(Table_VayNo[[#Headers],[Mã khoản vay]:[Lãi suất (năm)]]),0),
0)</f>
        <v>0.1</v>
      </c>
      <c r="S3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T3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V3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41666666.666666664</v>
      </c>
      <c r="W34" s="48">
        <f>Table_VayNo_LichTra[[#This Row],[Lãi vay]]+Table_VayNo_LichTra[[#This Row],[Trả gốc trong kỳ]]</f>
        <v>2166666666.666667</v>
      </c>
      <c r="X34" s="48">
        <f>Table_VayNo_LichTra[[#This Row],[Phân bổ lãi tháng]]</f>
        <v>41666666.666666664</v>
      </c>
      <c r="Y34"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45713</v>
      </c>
      <c r="Z34" s="48">
        <f xml:space="preserve">
IF(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)),0)&lt; 0, 0,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f>
        <v>2166666666.666667</v>
      </c>
      <c r="AA34" s="240"/>
    </row>
    <row r="35" spans="2:27" ht="16.5" x14ac:dyDescent="0.3">
      <c r="B35" s="505">
        <v>45900</v>
      </c>
      <c r="C35" s="504">
        <v>0</v>
      </c>
      <c r="D35" s="504">
        <v>500000</v>
      </c>
      <c r="E35" s="504">
        <v>500000</v>
      </c>
      <c r="G35"/>
      <c r="H35"/>
    </row>
    <row r="36" spans="2:27" ht="16.5" x14ac:dyDescent="0.3">
      <c r="B36" s="506" t="s">
        <v>1112</v>
      </c>
      <c r="C36" s="504">
        <v>33333333.333333332</v>
      </c>
      <c r="D36" s="504">
        <v>194444.44444444453</v>
      </c>
      <c r="E36" s="504">
        <v>33527777.777777776</v>
      </c>
      <c r="G36"/>
      <c r="H36"/>
    </row>
    <row r="37" spans="2:27" ht="16.5" x14ac:dyDescent="0.3">
      <c r="B37" s="505">
        <v>45901</v>
      </c>
      <c r="C37" s="504">
        <v>33333333.333333332</v>
      </c>
      <c r="D37" s="504">
        <v>194444.44444444453</v>
      </c>
      <c r="E37" s="504">
        <v>33527777.777777776</v>
      </c>
      <c r="G37"/>
      <c r="H37"/>
    </row>
    <row r="38" spans="2:27" ht="16.5" x14ac:dyDescent="0.3">
      <c r="B38" s="506" t="s">
        <v>1113</v>
      </c>
      <c r="C38" s="504">
        <v>100000000</v>
      </c>
      <c r="D38" s="504">
        <v>1000000</v>
      </c>
      <c r="E38" s="504">
        <v>101000000</v>
      </c>
      <c r="G38"/>
      <c r="H38"/>
    </row>
    <row r="39" spans="2:27" ht="16.5" x14ac:dyDescent="0.3">
      <c r="B39" s="505">
        <v>45931</v>
      </c>
      <c r="C39" s="504">
        <v>0</v>
      </c>
      <c r="D39" s="504">
        <v>500000</v>
      </c>
      <c r="E39" s="504">
        <v>500000</v>
      </c>
      <c r="G39"/>
      <c r="H39"/>
      <c r="T39" s="22"/>
    </row>
    <row r="40" spans="2:27" ht="16.5" x14ac:dyDescent="0.3">
      <c r="B40" s="505">
        <v>45961</v>
      </c>
      <c r="C40" s="504">
        <v>100000000</v>
      </c>
      <c r="D40" s="504">
        <v>500000</v>
      </c>
      <c r="E40" s="504">
        <v>100500000</v>
      </c>
      <c r="G40"/>
      <c r="H40"/>
    </row>
    <row r="41" spans="2:27" ht="16.5" x14ac:dyDescent="0.3">
      <c r="B41" s="98" t="s">
        <v>1104</v>
      </c>
      <c r="C41" s="504">
        <v>2316666666.666667</v>
      </c>
      <c r="D41" s="504">
        <v>385333333.33333331</v>
      </c>
      <c r="E41" s="504">
        <v>2702000000</v>
      </c>
      <c r="G41"/>
      <c r="H41"/>
    </row>
    <row r="42" spans="2:27" ht="16.5" x14ac:dyDescent="0.3">
      <c r="B42" s="506" t="s">
        <v>1106</v>
      </c>
      <c r="C42" s="504">
        <v>1666666666.6666667</v>
      </c>
      <c r="D42" s="504">
        <v>333333333.33333331</v>
      </c>
      <c r="E42" s="504">
        <v>2000000000</v>
      </c>
      <c r="G42"/>
      <c r="H42"/>
      <c r="W42" s="211"/>
    </row>
    <row r="43" spans="2:27" ht="16.5" x14ac:dyDescent="0.3">
      <c r="B43" s="505">
        <v>46078</v>
      </c>
      <c r="C43" s="504">
        <v>1666666666.6666667</v>
      </c>
      <c r="D43" s="504">
        <v>333333333.33333331</v>
      </c>
      <c r="E43" s="504">
        <v>2000000000</v>
      </c>
      <c r="T43" s="211"/>
    </row>
    <row r="44" spans="2:27" ht="16.5" x14ac:dyDescent="0.3">
      <c r="B44" s="506" t="s">
        <v>1108</v>
      </c>
      <c r="C44" s="504">
        <v>650000000</v>
      </c>
      <c r="D44" s="504">
        <v>52000000</v>
      </c>
      <c r="E44" s="504">
        <v>702000000</v>
      </c>
    </row>
    <row r="45" spans="2:27" ht="16.5" x14ac:dyDescent="0.3">
      <c r="B45" s="505">
        <v>46157</v>
      </c>
      <c r="C45" s="504">
        <v>650000000</v>
      </c>
      <c r="D45" s="504">
        <v>52000000</v>
      </c>
      <c r="E45" s="504">
        <v>702000000</v>
      </c>
    </row>
    <row r="46" spans="2:27" ht="16.5" x14ac:dyDescent="0.3">
      <c r="B46" s="98" t="s">
        <v>1105</v>
      </c>
      <c r="C46" s="504">
        <v>1666666666.6666665</v>
      </c>
      <c r="D46" s="504">
        <v>27777777.777777776</v>
      </c>
      <c r="E46" s="504">
        <v>1694444444.4444442</v>
      </c>
      <c r="U46" s="211"/>
      <c r="X46" s="211"/>
    </row>
    <row r="47" spans="2:27" ht="16.5" x14ac:dyDescent="0.3">
      <c r="B47" s="506" t="s">
        <v>1106</v>
      </c>
      <c r="C47" s="504">
        <v>1666666666.6666665</v>
      </c>
      <c r="D47" s="504">
        <v>27777777.777777776</v>
      </c>
      <c r="E47" s="504">
        <v>1694444444.4444442</v>
      </c>
    </row>
    <row r="48" spans="2:27" ht="16.5" x14ac:dyDescent="0.3">
      <c r="B48" s="505">
        <v>46443</v>
      </c>
      <c r="C48" s="504">
        <v>1666666666.6666665</v>
      </c>
      <c r="D48" s="504">
        <v>27777777.777777776</v>
      </c>
      <c r="E48" s="504">
        <v>1694444444.4444442</v>
      </c>
    </row>
    <row r="49" spans="2:5" ht="16.5" x14ac:dyDescent="0.3">
      <c r="B49" s="98" t="s">
        <v>1102</v>
      </c>
      <c r="C49" s="504">
        <v>5950000000</v>
      </c>
      <c r="D49" s="504">
        <v>918694444.44444442</v>
      </c>
      <c r="E49" s="504">
        <v>6868694444.4444447</v>
      </c>
    </row>
    <row r="50" spans="2:5" ht="16.5" x14ac:dyDescent="0.3"/>
    <row r="51" spans="2:5" ht="16.5" x14ac:dyDescent="0.3"/>
    <row r="52" spans="2:5" ht="16.5" x14ac:dyDescent="0.3"/>
    <row r="53" spans="2:5" ht="16.5" x14ac:dyDescent="0.3"/>
  </sheetData>
  <sheetProtection algorithmName="SHA-512" hashValue="zRmZrTNULWTfFx2ysxllRf1ON1Ue276t7wLY3xbfR6kzOawrEbIBkJTRGrGobrQb1uhaWrMTmyB61X9FWtwc1A==" saltValue="W79sdcASLdEBbHUSXxb4ww==" spinCount="100000" sheet="1" scenarios="1" formatCells="0" formatColumns="0" formatRows="0" insertColumns="0" insertRows="0" deleteColumns="0" deleteRows="0" sort="0" autoFilter="0" pivotTables="0"/>
  <dataValidations disablePrompts="1" count="1">
    <dataValidation type="list" errorStyle="warning" allowBlank="1" showInputMessage="1" sqref="M22:M34"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8" r:id="rId5" name="Option Button 6">
              <controlPr defaultSize="0" autoFill="0" autoLine="0" autoPict="0" macro="[0]!DoiDonViHienThi">
                <anchor moveWithCells="1">
                  <from>
                    <xdr:col>19</xdr:col>
                    <xdr:colOff>219075</xdr:colOff>
                    <xdr:row>0</xdr:row>
                    <xdr:rowOff>142875</xdr:rowOff>
                  </from>
                  <to>
                    <xdr:col>19</xdr:col>
                    <xdr:colOff>809625</xdr:colOff>
                    <xdr:row>1</xdr:row>
                    <xdr:rowOff>133350</xdr:rowOff>
                  </to>
                </anchor>
              </controlPr>
            </control>
          </mc:Choice>
        </mc:AlternateContent>
        <mc:AlternateContent xmlns:mc="http://schemas.openxmlformats.org/markup-compatibility/2006">
          <mc:Choice Requires="x14">
            <control shapeId="64519" r:id="rId6" name="Option Button 7">
              <controlPr defaultSize="0" autoFill="0" autoLine="0" autoPict="0" macro="[0]!DoiDonViHienThi">
                <anchor moveWithCells="1">
                  <from>
                    <xdr:col>19</xdr:col>
                    <xdr:colOff>685800</xdr:colOff>
                    <xdr:row>0</xdr:row>
                    <xdr:rowOff>142875</xdr:rowOff>
                  </from>
                  <to>
                    <xdr:col>20</xdr:col>
                    <xdr:colOff>361950</xdr:colOff>
                    <xdr:row>1</xdr:row>
                    <xdr:rowOff>133350</xdr:rowOff>
                  </to>
                </anchor>
              </controlPr>
            </control>
          </mc:Choice>
        </mc:AlternateContent>
        <mc:AlternateContent xmlns:mc="http://schemas.openxmlformats.org/markup-compatibility/2006">
          <mc:Choice Requires="x14">
            <control shapeId="64520" r:id="rId7" name="Option Button 8">
              <controlPr defaultSize="0" autoFill="0" autoLine="0" autoPict="0" macro="[0]!DoiDonViHienThi">
                <anchor moveWithCells="1">
                  <from>
                    <xdr:col>20</xdr:col>
                    <xdr:colOff>238125</xdr:colOff>
                    <xdr:row>0</xdr:row>
                    <xdr:rowOff>142875</xdr:rowOff>
                  </from>
                  <to>
                    <xdr:col>20</xdr:col>
                    <xdr:colOff>828675</xdr:colOff>
                    <xdr:row>1</xdr:row>
                    <xdr:rowOff>133350</xdr:rowOff>
                  </to>
                </anchor>
              </controlPr>
            </control>
          </mc:Choice>
        </mc:AlternateContent>
        <mc:AlternateContent xmlns:mc="http://schemas.openxmlformats.org/markup-compatibility/2006">
          <mc:Choice Requires="x14">
            <control shapeId="64521" r:id="rId8" name="Option Button 9">
              <controlPr defaultSize="0" autoFill="0" autoLine="0" autoPict="0" macro="[0]!DoiDonViHienThi">
                <anchor moveWithCells="1">
                  <from>
                    <xdr:col>20</xdr:col>
                    <xdr:colOff>714375</xdr:colOff>
                    <xdr:row>0</xdr:row>
                    <xdr:rowOff>142875</xdr:rowOff>
                  </from>
                  <to>
                    <xdr:col>20</xdr:col>
                    <xdr:colOff>1066800</xdr:colOff>
                    <xdr:row>1</xdr:row>
                    <xdr:rowOff>133350</xdr:rowOff>
                  </to>
                </anchor>
              </controlPr>
            </control>
          </mc:Choice>
        </mc:AlternateContent>
        <mc:AlternateContent xmlns:mc="http://schemas.openxmlformats.org/markup-compatibility/2006">
          <mc:Choice Requires="x14">
            <control shapeId="64522" r:id="rId9" name="Group Box 10">
              <controlPr defaultSize="0" autoFill="0" autoPict="0">
                <anchor moveWithCells="1">
                  <from>
                    <xdr:col>19</xdr:col>
                    <xdr:colOff>104775</xdr:colOff>
                    <xdr:row>0</xdr:row>
                    <xdr:rowOff>95250</xdr:rowOff>
                  </from>
                  <to>
                    <xdr:col>21</xdr:col>
                    <xdr:colOff>85725</xdr:colOff>
                    <xdr:row>1</xdr:row>
                    <xdr:rowOff>171450</xdr:rowOff>
                  </to>
                </anchor>
              </controlPr>
            </control>
          </mc:Choice>
        </mc:AlternateContent>
        <mc:AlternateContent xmlns:mc="http://schemas.openxmlformats.org/markup-compatibility/2006">
          <mc:Choice Requires="x14">
            <control shapeId="64523" r:id="rId10" name="Group Box 11">
              <controlPr defaultSize="0" autoFill="0" autoPict="0">
                <anchor moveWithCells="1">
                  <from>
                    <xdr:col>17</xdr:col>
                    <xdr:colOff>95250</xdr:colOff>
                    <xdr:row>0</xdr:row>
                    <xdr:rowOff>95250</xdr:rowOff>
                  </from>
                  <to>
                    <xdr:col>19</xdr:col>
                    <xdr:colOff>57150</xdr:colOff>
                    <xdr:row>1</xdr:row>
                    <xdr:rowOff>171450</xdr:rowOff>
                  </to>
                </anchor>
              </controlPr>
            </control>
          </mc:Choice>
        </mc:AlternateContent>
        <mc:AlternateContent xmlns:mc="http://schemas.openxmlformats.org/markup-compatibility/2006">
          <mc:Choice Requires="x14">
            <control shapeId="64524" r:id="rId11" name="Button 12">
              <controlPr defaultSize="0" autoFill="0" autoPict="0" macro="[0]!NhanNghin">
                <anchor moveWithCells="1">
                  <from>
                    <xdr:col>17</xdr:col>
                    <xdr:colOff>180975</xdr:colOff>
                    <xdr:row>0</xdr:row>
                    <xdr:rowOff>190500</xdr:rowOff>
                  </from>
                  <to>
                    <xdr:col>17</xdr:col>
                    <xdr:colOff>647700</xdr:colOff>
                    <xdr:row>1</xdr:row>
                    <xdr:rowOff>76200</xdr:rowOff>
                  </to>
                </anchor>
              </controlPr>
            </control>
          </mc:Choice>
        </mc:AlternateContent>
        <mc:AlternateContent xmlns:mc="http://schemas.openxmlformats.org/markup-compatibility/2006">
          <mc:Choice Requires="x14">
            <control shapeId="64525" r:id="rId12" name="Button 13">
              <controlPr defaultSize="0" autoFill="0" autoPict="0" macro="[0]!NhanTrieu">
                <anchor moveWithCells="1">
                  <from>
                    <xdr:col>17</xdr:col>
                    <xdr:colOff>695325</xdr:colOff>
                    <xdr:row>0</xdr:row>
                    <xdr:rowOff>190500</xdr:rowOff>
                  </from>
                  <to>
                    <xdr:col>18</xdr:col>
                    <xdr:colOff>409575</xdr:colOff>
                    <xdr:row>1</xdr:row>
                    <xdr:rowOff>76200</xdr:rowOff>
                  </to>
                </anchor>
              </controlPr>
            </control>
          </mc:Choice>
        </mc:AlternateContent>
        <mc:AlternateContent xmlns:mc="http://schemas.openxmlformats.org/markup-compatibility/2006">
          <mc:Choice Requires="x14">
            <control shapeId="64526" r:id="rId13" name="Button 14">
              <controlPr defaultSize="0" autoFill="0" autoPict="0" macro="[0]!NhanTy">
                <anchor moveWithCells="1">
                  <from>
                    <xdr:col>18</xdr:col>
                    <xdr:colOff>457200</xdr:colOff>
                    <xdr:row>0</xdr:row>
                    <xdr:rowOff>190500</xdr:rowOff>
                  </from>
                  <to>
                    <xdr:col>18</xdr:col>
                    <xdr:colOff>923925</xdr:colOff>
                    <xdr:row>1</xdr:row>
                    <xdr:rowOff>76200</xdr:rowOff>
                  </to>
                </anchor>
              </controlPr>
            </control>
          </mc:Choice>
        </mc:AlternateContent>
        <mc:AlternateContent xmlns:mc="http://schemas.openxmlformats.org/markup-compatibility/2006">
          <mc:Choice Requires="x14">
            <control shapeId="64527" r:id="rId14" name="Button 15">
              <controlPr defaultSize="0" print="0" autoFill="0" autoPict="0" macro="[0]!AddRow">
                <anchor moveWithCells="1">
                  <from>
                    <xdr:col>9</xdr:col>
                    <xdr:colOff>47625</xdr:colOff>
                    <xdr:row>0</xdr:row>
                    <xdr:rowOff>161925</xdr:rowOff>
                  </from>
                  <to>
                    <xdr:col>10</xdr:col>
                    <xdr:colOff>57150</xdr:colOff>
                    <xdr:row>1</xdr:row>
                    <xdr:rowOff>133350</xdr:rowOff>
                  </to>
                </anchor>
              </controlPr>
            </control>
          </mc:Choice>
        </mc:AlternateContent>
        <mc:AlternateContent xmlns:mc="http://schemas.openxmlformats.org/markup-compatibility/2006">
          <mc:Choice Requires="x14">
            <control shapeId="64528" r:id="rId15" name="Button 16">
              <controlPr defaultSize="0" print="0" autoFill="0" autoPict="0" macro="[0]!DeleteRow">
                <anchor moveWithCells="1">
                  <from>
                    <xdr:col>10</xdr:col>
                    <xdr:colOff>95250</xdr:colOff>
                    <xdr:row>0</xdr:row>
                    <xdr:rowOff>161925</xdr:rowOff>
                  </from>
                  <to>
                    <xdr:col>11</xdr:col>
                    <xdr:colOff>95250</xdr:colOff>
                    <xdr:row>1</xdr:row>
                    <xdr:rowOff>133350</xdr:rowOff>
                  </to>
                </anchor>
              </controlPr>
            </control>
          </mc:Choice>
        </mc:AlternateContent>
        <mc:AlternateContent xmlns:mc="http://schemas.openxmlformats.org/markup-compatibility/2006">
          <mc:Choice Requires="x14">
            <control shapeId="64529" r:id="rId16" name="Button 17">
              <controlPr defaultSize="0" print="0" autoFill="0" autoPict="0" macro="[0]!AddColumn">
                <anchor moveWithCells="1">
                  <from>
                    <xdr:col>26</xdr:col>
                    <xdr:colOff>9525</xdr:colOff>
                    <xdr:row>0</xdr:row>
                    <xdr:rowOff>152400</xdr:rowOff>
                  </from>
                  <to>
                    <xdr:col>26</xdr:col>
                    <xdr:colOff>400050</xdr:colOff>
                    <xdr:row>1</xdr:row>
                    <xdr:rowOff>123825</xdr:rowOff>
                  </to>
                </anchor>
              </controlPr>
            </control>
          </mc:Choice>
        </mc:AlternateContent>
        <mc:AlternateContent xmlns:mc="http://schemas.openxmlformats.org/markup-compatibility/2006">
          <mc:Choice Requires="x14">
            <control shapeId="64530" r:id="rId17" name="Button 18">
              <controlPr defaultSize="0" print="0" autoFill="0" autoPict="0" macro="[0]!DeleteColumn">
                <anchor moveWithCells="1">
                  <from>
                    <xdr:col>26</xdr:col>
                    <xdr:colOff>428625</xdr:colOff>
                    <xdr:row>0</xdr:row>
                    <xdr:rowOff>152400</xdr:rowOff>
                  </from>
                  <to>
                    <xdr:col>27</xdr:col>
                    <xdr:colOff>161925</xdr:colOff>
                    <xdr:row>1</xdr:row>
                    <xdr:rowOff>123825</xdr:rowOff>
                  </to>
                </anchor>
              </controlPr>
            </control>
          </mc:Choice>
        </mc:AlternateContent>
        <mc:AlternateContent xmlns:mc="http://schemas.openxmlformats.org/markup-compatibility/2006">
          <mc:Choice Requires="x14">
            <control shapeId="64533" r:id="rId18" name="Button 21">
              <controlPr defaultSize="0" print="0" autoFill="0" autoPict="0" macro="[0]!RefreshTables">
                <anchor moveWithCells="1">
                  <from>
                    <xdr:col>23</xdr:col>
                    <xdr:colOff>752475</xdr:colOff>
                    <xdr:row>3</xdr:row>
                    <xdr:rowOff>123825</xdr:rowOff>
                  </from>
                  <to>
                    <xdr:col>24</xdr:col>
                    <xdr:colOff>76200</xdr:colOff>
                    <xdr:row>4</xdr:row>
                    <xdr:rowOff>152400</xdr:rowOff>
                  </to>
                </anchor>
              </controlPr>
            </control>
          </mc:Choice>
        </mc:AlternateContent>
      </controls>
    </mc:Choice>
  </mc:AlternateContent>
  <tableParts count="1">
    <tablePart r:id="rId19"/>
  </tableParts>
  <extLst>
    <ext xmlns:x14="http://schemas.microsoft.com/office/spreadsheetml/2009/9/main" uri="{78C0D931-6437-407d-A8EE-F0AAD7539E65}">
      <x14:conditionalFormattings>
        <x14:conditionalFormatting xmlns:xm="http://schemas.microsoft.com/office/excel/2006/main">
          <x14:cfRule type="expression" priority="2" id="{1F6BE193-6CB9-4679-8ADD-7EE0794EF0FB}">
            <xm:f>Security!$A$1="NO VBA"</xm:f>
            <x14:dxf>
              <font>
                <color theme="0"/>
              </font>
              <border>
                <vertical/>
                <horizontal/>
              </border>
            </x14:dxf>
          </x14:cfRule>
          <xm:sqref>P39:Z1048576 J39:N1048576 J22:J34 N22:AA34 J21:X21 AB21:XFD1048576 AA21 J1:XFD20</xm:sqref>
        </x14:conditionalFormatting>
        <x14:conditionalFormatting xmlns:xm="http://schemas.microsoft.com/office/excel/2006/main">
          <x14:cfRule type="expression" priority="1" id="{E13DC5E0-ECDA-46FA-B029-B66ABDE8FA5F}">
            <xm:f>Security!$A$1="NO VBA"</xm:f>
            <x14:dxf>
              <font>
                <color theme="0"/>
              </font>
              <border>
                <vertical/>
                <horizontal/>
              </border>
            </x14:dxf>
          </x14:cfRule>
          <xm:sqref>Z21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644E-A5CD-4441-92B4-258602470651}">
  <sheetPr codeName="Sheet21">
    <tabColor theme="9"/>
  </sheetPr>
  <dimension ref="B1:K4"/>
  <sheetViews>
    <sheetView showGridLines="0" workbookViewId="0">
      <selection activeCell="F5" sqref="F5"/>
    </sheetView>
  </sheetViews>
  <sheetFormatPr defaultRowHeight="18" customHeight="1" outlineLevelCol="1" x14ac:dyDescent="0.3"/>
  <cols>
    <col min="1" max="1" width="9.625" style="7" customWidth="1"/>
    <col min="2" max="2" width="5.875" style="7" bestFit="1" customWidth="1"/>
    <col min="3" max="3" width="6" style="7" bestFit="1" customWidth="1"/>
    <col min="4" max="4" width="7.125" style="7" bestFit="1" customWidth="1"/>
    <col min="5" max="5" width="16.125" style="7" customWidth="1"/>
    <col min="6" max="6" width="9.5" style="38" customWidth="1" outlineLevel="1"/>
    <col min="7" max="7" width="8.5" style="7" customWidth="1" outlineLevel="1"/>
    <col min="8" max="8" width="15.5" style="7" customWidth="1" outlineLevel="1"/>
    <col min="9" max="9" width="13" style="7" customWidth="1" outlineLevel="1"/>
    <col min="10" max="10" width="6.75" style="7" bestFit="1" customWidth="1"/>
    <col min="11" max="11" width="8.625" style="7" bestFit="1" customWidth="1"/>
    <col min="12" max="16384" width="9" style="7"/>
  </cols>
  <sheetData>
    <row r="1" spans="2:11" ht="29.25" customHeight="1" x14ac:dyDescent="0.3">
      <c r="B1" s="240"/>
      <c r="C1" s="240"/>
      <c r="D1" s="240"/>
      <c r="E1" s="240"/>
      <c r="F1" s="241"/>
      <c r="G1" s="240"/>
      <c r="H1" s="240"/>
      <c r="I1" s="240"/>
      <c r="J1" s="240"/>
      <c r="K1" s="240"/>
    </row>
    <row r="2" spans="2:11" ht="18" customHeight="1" x14ac:dyDescent="0.3">
      <c r="B2" s="240"/>
      <c r="C2" s="240"/>
      <c r="D2" s="240"/>
      <c r="E2" s="240"/>
      <c r="F2" s="240"/>
      <c r="G2" s="240"/>
      <c r="H2" s="240"/>
      <c r="I2" s="240"/>
      <c r="J2" s="240"/>
      <c r="K2" s="240"/>
    </row>
    <row r="3" spans="2:11" ht="18" customHeight="1" x14ac:dyDescent="0.3">
      <c r="B3" s="7" t="s">
        <v>3</v>
      </c>
      <c r="C3" s="7" t="s">
        <v>2</v>
      </c>
      <c r="D3" s="7" t="s">
        <v>1</v>
      </c>
      <c r="E3" s="7" t="s">
        <v>659</v>
      </c>
      <c r="F3" s="46" t="s">
        <v>660</v>
      </c>
      <c r="G3" s="46" t="s">
        <v>661</v>
      </c>
      <c r="H3" s="46" t="s">
        <v>548</v>
      </c>
      <c r="I3" s="46" t="s">
        <v>662</v>
      </c>
      <c r="J3" s="7" t="s">
        <v>873</v>
      </c>
      <c r="K3" s="7" t="s">
        <v>1243</v>
      </c>
    </row>
    <row r="4" spans="2:11" ht="18" customHeight="1" x14ac:dyDescent="0.3">
      <c r="B4" s="49">
        <f>IFERROR(
IF(ISBLANK(D4),
DATE(C4,12,1),
DATE(C4,D4,1)),0)</f>
        <v>336</v>
      </c>
      <c r="C4" s="240"/>
      <c r="D4" s="240"/>
      <c r="E4" s="240"/>
      <c r="F4" s="48" cm="1">
        <f t="array" ref="F4">IFERROR(
SUM(_xlfn._xlws.FILTER(Table_DauTu[Giá trị đầu tư],
(Table_DauTu[Mã khoản đầu tư]=Table_DauTu_LichThu[[#This Row],[Tài sản đầu tư]])*
(Table_DauTu[Kỳ đáo hạn]=Table_DauTu_LichThu[[#This Row],[Kỳ]])
)),0)</f>
        <v>0</v>
      </c>
      <c r="G4" s="48" cm="1">
        <f t="array" ref="G4">IFERROR(
SUM(_xlfn._xlws.FILTER(Table_DauTu[Lãi hàng tháng],
(Table_DauTu[Mã khoản đầu tư]=Table_DauTu_LichThu[[#This Row],[Tài sản đầu tư]])*
(Table_DauTu[Kỳ đầu tư] &lt; Table_DauTu_LichThu[[#This Row],[Kỳ]]) *
(Table_DauTu[Kỳ đáo hạn] &gt;= Table_DauTu_LichThu[[#This Row],[Kỳ]])
)),0)</f>
        <v>0</v>
      </c>
      <c r="H4" s="48">
        <f>+Table_DauTu_LichThu[[#This Row],[Nhận lãi]]+Table_DauTu_LichThu[[#This Row],[Nhận gốc]]</f>
        <v>0</v>
      </c>
      <c r="I4" s="48">
        <f>+Table_DauTu_LichThu[[#This Row],[Nhận lãi]]</f>
        <v>0</v>
      </c>
      <c r="J4" s="305"/>
      <c r="K4" s="306" cm="1">
        <f t="array" ref="K4">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f>
        <v>0</v>
      </c>
    </row>
  </sheetData>
  <sheetProtection algorithmName="SHA-512" hashValue="6G8nFG0BZphCYkdU+rsWtxI7Nb8SAAnkZfoKfoeFYjTRldXiGRCOvL63AHV7BgztK4kcfaAmggN2y6zvaG+XCw==" saltValue="zT2qRJ2DkARnBzoSeGtwtg==" spinCount="100000" sheet="1" scenarios="1" formatCells="0" formatColumns="0" formatRows="0" insertColumns="0" insertRows="0" deleteColumns="0" deleteRows="0" sort="0" autoFilter="0" pivotTables="0"/>
  <phoneticPr fontId="14" type="noConversion"/>
  <dataValidations count="1">
    <dataValidation type="list" errorStyle="warning" allowBlank="1" showInputMessage="1" sqref="E4" xr:uid="{4CA2B024-81E6-4432-B571-6C511188A1EF}">
      <formula1>MaDauTu</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42" r:id="rId3" name="Option Button 6">
              <controlPr defaultSize="0" autoFill="0" autoLine="0" autoPict="0" macro="[0]!DoiDonViHienThi">
                <anchor moveWithCells="1">
                  <from>
                    <xdr:col>4</xdr:col>
                    <xdr:colOff>428625</xdr:colOff>
                    <xdr:row>0</xdr:row>
                    <xdr:rowOff>152400</xdr:rowOff>
                  </from>
                  <to>
                    <xdr:col>4</xdr:col>
                    <xdr:colOff>1019175</xdr:colOff>
                    <xdr:row>1</xdr:row>
                    <xdr:rowOff>57150</xdr:rowOff>
                  </to>
                </anchor>
              </controlPr>
            </control>
          </mc:Choice>
        </mc:AlternateContent>
        <mc:AlternateContent xmlns:mc="http://schemas.openxmlformats.org/markup-compatibility/2006">
          <mc:Choice Requires="x14">
            <control shapeId="65543" r:id="rId4" name="Option Button 7">
              <controlPr defaultSize="0" autoFill="0" autoLine="0" autoPict="0" macro="[0]!DoiDonViHienThi">
                <anchor moveWithCells="1">
                  <from>
                    <xdr:col>4</xdr:col>
                    <xdr:colOff>895350</xdr:colOff>
                    <xdr:row>0</xdr:row>
                    <xdr:rowOff>152400</xdr:rowOff>
                  </from>
                  <to>
                    <xdr:col>5</xdr:col>
                    <xdr:colOff>257175</xdr:colOff>
                    <xdr:row>1</xdr:row>
                    <xdr:rowOff>57150</xdr:rowOff>
                  </to>
                </anchor>
              </controlPr>
            </control>
          </mc:Choice>
        </mc:AlternateContent>
        <mc:AlternateContent xmlns:mc="http://schemas.openxmlformats.org/markup-compatibility/2006">
          <mc:Choice Requires="x14">
            <control shapeId="65544" r:id="rId5" name="Option Button 8">
              <controlPr defaultSize="0" autoFill="0" autoLine="0" autoPict="0" macro="[0]!DoiDonViHienThi">
                <anchor moveWithCells="1">
                  <from>
                    <xdr:col>5</xdr:col>
                    <xdr:colOff>133350</xdr:colOff>
                    <xdr:row>0</xdr:row>
                    <xdr:rowOff>152400</xdr:rowOff>
                  </from>
                  <to>
                    <xdr:col>6</xdr:col>
                    <xdr:colOff>0</xdr:colOff>
                    <xdr:row>1</xdr:row>
                    <xdr:rowOff>57150</xdr:rowOff>
                  </to>
                </anchor>
              </controlPr>
            </control>
          </mc:Choice>
        </mc:AlternateContent>
        <mc:AlternateContent xmlns:mc="http://schemas.openxmlformats.org/markup-compatibility/2006">
          <mc:Choice Requires="x14">
            <control shapeId="65545" r:id="rId6" name="Option Button 9">
              <controlPr defaultSize="0" autoFill="0" autoLine="0" autoPict="0" macro="[0]!DoiDonViHienThi">
                <anchor moveWithCells="1">
                  <from>
                    <xdr:col>5</xdr:col>
                    <xdr:colOff>609600</xdr:colOff>
                    <xdr:row>0</xdr:row>
                    <xdr:rowOff>152400</xdr:rowOff>
                  </from>
                  <to>
                    <xdr:col>6</xdr:col>
                    <xdr:colOff>238125</xdr:colOff>
                    <xdr:row>1</xdr:row>
                    <xdr:rowOff>57150</xdr:rowOff>
                  </to>
                </anchor>
              </controlPr>
            </control>
          </mc:Choice>
        </mc:AlternateContent>
        <mc:AlternateContent xmlns:mc="http://schemas.openxmlformats.org/markup-compatibility/2006">
          <mc:Choice Requires="x14">
            <control shapeId="65546" r:id="rId7" name="Group Box 10">
              <controlPr defaultSize="0" autoFill="0" autoPict="0">
                <anchor moveWithCells="1">
                  <from>
                    <xdr:col>4</xdr:col>
                    <xdr:colOff>314325</xdr:colOff>
                    <xdr:row>0</xdr:row>
                    <xdr:rowOff>104775</xdr:rowOff>
                  </from>
                  <to>
                    <xdr:col>6</xdr:col>
                    <xdr:colOff>352425</xdr:colOff>
                    <xdr:row>1</xdr:row>
                    <xdr:rowOff>95250</xdr:rowOff>
                  </to>
                </anchor>
              </controlPr>
            </control>
          </mc:Choice>
        </mc:AlternateContent>
        <mc:AlternateContent xmlns:mc="http://schemas.openxmlformats.org/markup-compatibility/2006">
          <mc:Choice Requires="x14">
            <control shapeId="65547" r:id="rId8" name="Group Box 11">
              <controlPr defaultSize="0" autoFill="0" autoPict="0">
                <anchor moveWithCells="1">
                  <from>
                    <xdr:col>1</xdr:col>
                    <xdr:colOff>57150</xdr:colOff>
                    <xdr:row>0</xdr:row>
                    <xdr:rowOff>104775</xdr:rowOff>
                  </from>
                  <to>
                    <xdr:col>4</xdr:col>
                    <xdr:colOff>266700</xdr:colOff>
                    <xdr:row>1</xdr:row>
                    <xdr:rowOff>95250</xdr:rowOff>
                  </to>
                </anchor>
              </controlPr>
            </control>
          </mc:Choice>
        </mc:AlternateContent>
        <mc:AlternateContent xmlns:mc="http://schemas.openxmlformats.org/markup-compatibility/2006">
          <mc:Choice Requires="x14">
            <control shapeId="65548" r:id="rId9" name="Button 12">
              <controlPr defaultSize="0" autoFill="0" autoPict="0" macro="[0]!NhanNghin">
                <anchor moveWithCells="1">
                  <from>
                    <xdr:col>1</xdr:col>
                    <xdr:colOff>142875</xdr:colOff>
                    <xdr:row>0</xdr:row>
                    <xdr:rowOff>200025</xdr:rowOff>
                  </from>
                  <to>
                    <xdr:col>2</xdr:col>
                    <xdr:colOff>161925</xdr:colOff>
                    <xdr:row>1</xdr:row>
                    <xdr:rowOff>0</xdr:rowOff>
                  </to>
                </anchor>
              </controlPr>
            </control>
          </mc:Choice>
        </mc:AlternateContent>
        <mc:AlternateContent xmlns:mc="http://schemas.openxmlformats.org/markup-compatibility/2006">
          <mc:Choice Requires="x14">
            <control shapeId="65549" r:id="rId10" name="Button 13">
              <controlPr defaultSize="0" autoFill="0" autoPict="0" macro="[0]!NhanTrieu">
                <anchor moveWithCells="1">
                  <from>
                    <xdr:col>2</xdr:col>
                    <xdr:colOff>209550</xdr:colOff>
                    <xdr:row>0</xdr:row>
                    <xdr:rowOff>200025</xdr:rowOff>
                  </from>
                  <to>
                    <xdr:col>3</xdr:col>
                    <xdr:colOff>219075</xdr:colOff>
                    <xdr:row>1</xdr:row>
                    <xdr:rowOff>0</xdr:rowOff>
                  </to>
                </anchor>
              </controlPr>
            </control>
          </mc:Choice>
        </mc:AlternateContent>
        <mc:AlternateContent xmlns:mc="http://schemas.openxmlformats.org/markup-compatibility/2006">
          <mc:Choice Requires="x14">
            <control shapeId="65550" r:id="rId11" name="Button 14">
              <controlPr defaultSize="0" autoFill="0" autoPict="0" macro="[0]!NhanTy">
                <anchor moveWithCells="1">
                  <from>
                    <xdr:col>3</xdr:col>
                    <xdr:colOff>266700</xdr:colOff>
                    <xdr:row>0</xdr:row>
                    <xdr:rowOff>200025</xdr:rowOff>
                  </from>
                  <to>
                    <xdr:col>4</xdr:col>
                    <xdr:colOff>190500</xdr:colOff>
                    <xdr:row>1</xdr:row>
                    <xdr:rowOff>0</xdr:rowOff>
                  </to>
                </anchor>
              </controlPr>
            </control>
          </mc:Choice>
        </mc:AlternateContent>
        <mc:AlternateContent xmlns:mc="http://schemas.openxmlformats.org/markup-compatibility/2006">
          <mc:Choice Requires="x14">
            <control shapeId="65551" r:id="rId12" name="Button 15">
              <controlPr defaultSize="0" print="0" autoFill="0" autoPict="0" macro="[0]!AddRow">
                <anchor moveWithCells="1">
                  <from>
                    <xdr:col>7</xdr:col>
                    <xdr:colOff>47625</xdr:colOff>
                    <xdr:row>0</xdr:row>
                    <xdr:rowOff>142875</xdr:rowOff>
                  </from>
                  <to>
                    <xdr:col>7</xdr:col>
                    <xdr:colOff>523875</xdr:colOff>
                    <xdr:row>1</xdr:row>
                    <xdr:rowOff>28575</xdr:rowOff>
                  </to>
                </anchor>
              </controlPr>
            </control>
          </mc:Choice>
        </mc:AlternateContent>
        <mc:AlternateContent xmlns:mc="http://schemas.openxmlformats.org/markup-compatibility/2006">
          <mc:Choice Requires="x14">
            <control shapeId="65552" r:id="rId13" name="Button 16">
              <controlPr defaultSize="0" print="0" autoFill="0" autoPict="0" macro="[0]!DeleteRow">
                <anchor moveWithCells="1">
                  <from>
                    <xdr:col>7</xdr:col>
                    <xdr:colOff>561975</xdr:colOff>
                    <xdr:row>0</xdr:row>
                    <xdr:rowOff>142875</xdr:rowOff>
                  </from>
                  <to>
                    <xdr:col>7</xdr:col>
                    <xdr:colOff>1038225</xdr:colOff>
                    <xdr:row>1</xdr:row>
                    <xdr:rowOff>28575</xdr:rowOff>
                  </to>
                </anchor>
              </controlPr>
            </control>
          </mc:Choice>
        </mc:AlternateContent>
        <mc:AlternateContent xmlns:mc="http://schemas.openxmlformats.org/markup-compatibility/2006">
          <mc:Choice Requires="x14">
            <control shapeId="65553" r:id="rId14" name="Button 17">
              <controlPr defaultSize="0" print="0" autoFill="0" autoPict="0" macro="[0]!AddColumn">
                <anchor moveWithCells="1">
                  <from>
                    <xdr:col>9</xdr:col>
                    <xdr:colOff>66675</xdr:colOff>
                    <xdr:row>0</xdr:row>
                    <xdr:rowOff>133350</xdr:rowOff>
                  </from>
                  <to>
                    <xdr:col>10</xdr:col>
                    <xdr:colOff>66675</xdr:colOff>
                    <xdr:row>1</xdr:row>
                    <xdr:rowOff>19050</xdr:rowOff>
                  </to>
                </anchor>
              </controlPr>
            </control>
          </mc:Choice>
        </mc:AlternateContent>
        <mc:AlternateContent xmlns:mc="http://schemas.openxmlformats.org/markup-compatibility/2006">
          <mc:Choice Requires="x14">
            <control shapeId="65554" r:id="rId15" name="Button 18">
              <controlPr defaultSize="0" print="0" autoFill="0" autoPict="0" macro="[0]!DeleteColumn">
                <anchor moveWithCells="1">
                  <from>
                    <xdr:col>10</xdr:col>
                    <xdr:colOff>104775</xdr:colOff>
                    <xdr:row>0</xdr:row>
                    <xdr:rowOff>133350</xdr:rowOff>
                  </from>
                  <to>
                    <xdr:col>10</xdr:col>
                    <xdr:colOff>647700</xdr:colOff>
                    <xdr:row>1</xdr:row>
                    <xdr:rowOff>19050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F157BAFD-8E0C-42DA-8E16-14CE47BD6EAE}">
            <xm:f>Security!$A$1="NO VBA"</xm:f>
            <x14:dxf>
              <font>
                <color theme="0"/>
              </font>
              <border>
                <vertical/>
                <horizontal/>
              </border>
            </x14:dxf>
          </x14:cfRule>
          <xm:sqref>A1:XFD1048576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177B-3573-46B4-A64A-4DEE0F899B5E}">
  <sheetPr codeName="Sheet23">
    <tabColor theme="7"/>
    <outlinePr summaryBelow="0" summaryRight="0"/>
  </sheetPr>
  <dimension ref="A1:AV81"/>
  <sheetViews>
    <sheetView showGridLines="0" topLeftCell="U9" zoomScaleNormal="100" workbookViewId="0">
      <selection activeCell="AF8" sqref="AF8"/>
    </sheetView>
  </sheetViews>
  <sheetFormatPr defaultRowHeight="18" customHeight="1" outlineLevelCol="1" x14ac:dyDescent="0.15"/>
  <cols>
    <col min="1" max="1" width="13.5" style="7" customWidth="1"/>
    <col min="2" max="2" width="11.25" style="7" bestFit="1" customWidth="1"/>
    <col min="3" max="3" width="13.625" style="44" bestFit="1" customWidth="1"/>
    <col min="4" max="4" width="13.625" style="44" customWidth="1"/>
    <col min="5" max="5" width="12.625" style="7" customWidth="1" outlineLevel="1" collapsed="1"/>
    <col min="6" max="7" width="12.5" style="7" customWidth="1" outlineLevel="1"/>
    <col min="8" max="8" width="12.5" style="44" customWidth="1" outlineLevel="1"/>
    <col min="9" max="10" width="12.5" style="7" customWidth="1" outlineLevel="1"/>
    <col min="11" max="11" width="13.5" style="44" bestFit="1" customWidth="1"/>
    <col min="12" max="12" width="13.5" style="7" customWidth="1" outlineLevel="1" collapsed="1"/>
    <col min="13" max="14" width="13.5" style="7" customWidth="1" outlineLevel="1"/>
    <col min="15" max="15" width="12" style="44" bestFit="1" customWidth="1"/>
    <col min="16" max="16" width="10.25" style="7" customWidth="1"/>
    <col min="17" max="17" width="17.375" style="7" customWidth="1"/>
    <col min="18" max="18" width="16.125" style="44" customWidth="1"/>
    <col min="19" max="19" width="16.125" style="44" customWidth="1" outlineLevel="1"/>
    <col min="20" max="20" width="8.875" style="44" customWidth="1" outlineLevel="1"/>
    <col min="21" max="21" width="14.625" style="44" customWidth="1" outlineLevel="1"/>
    <col min="22" max="22" width="9" style="44" customWidth="1" outlineLevel="1"/>
    <col min="23" max="23" width="12" style="44" customWidth="1" outlineLevel="1"/>
    <col min="24" max="24" width="17.5" style="44" customWidth="1"/>
    <col min="25" max="25" width="14.25" style="44" customWidth="1" outlineLevel="1"/>
    <col min="26" max="26" width="11.875" style="44" customWidth="1" outlineLevel="1" collapsed="1"/>
    <col min="27" max="27" width="9" style="44" customWidth="1" outlineLevel="1"/>
    <col min="28" max="28" width="12" style="44" customWidth="1" outlineLevel="1"/>
    <col min="29" max="29" width="9" style="44" customWidth="1" outlineLevel="1"/>
    <col min="30" max="30" width="9.375" style="44" customWidth="1" outlineLevel="1"/>
    <col min="31" max="31" width="15.75" style="7" customWidth="1" outlineLevel="1"/>
    <col min="32" max="32" width="9" style="44" customWidth="1" outlineLevel="1"/>
    <col min="33" max="33" width="7.375" style="7" customWidth="1" outlineLevel="1"/>
    <col min="34" max="34" width="7.875" style="44" customWidth="1" outlineLevel="1"/>
    <col min="35" max="35" width="9" style="44" customWidth="1" outlineLevel="1"/>
    <col min="36" max="39" width="9" style="7" customWidth="1" outlineLevel="1"/>
    <col min="40" max="40" width="15.875" style="7" customWidth="1"/>
    <col min="41" max="41" width="6.75" style="7" bestFit="1" customWidth="1" collapsed="1"/>
    <col min="42" max="46" width="9" style="7" hidden="1" customWidth="1" outlineLevel="1"/>
    <col min="47" max="47" width="11" style="7" hidden="1" customWidth="1" outlineLevel="1"/>
    <col min="48" max="48" width="12.75" style="7" hidden="1" customWidth="1" outlineLevel="1"/>
    <col min="49" max="16384" width="9" style="7"/>
  </cols>
  <sheetData>
    <row r="1" spans="1:48" ht="22.5" customHeight="1" x14ac:dyDescent="0.15">
      <c r="A1" s="21"/>
      <c r="K1" s="7"/>
      <c r="L1" s="44"/>
      <c r="M1" s="44"/>
      <c r="N1" s="44"/>
      <c r="O1" s="7"/>
      <c r="Q1" s="44"/>
      <c r="AD1" s="7"/>
      <c r="AG1" s="44"/>
      <c r="AI1" s="7"/>
    </row>
    <row r="2" spans="1:48" ht="18" customHeight="1" x14ac:dyDescent="0.15">
      <c r="A2" s="21"/>
      <c r="K2" s="7"/>
      <c r="L2" s="44"/>
      <c r="M2" s="44"/>
      <c r="N2" s="44"/>
      <c r="O2" s="7"/>
      <c r="Q2" s="44"/>
      <c r="AD2" s="7"/>
      <c r="AG2" s="44"/>
      <c r="AI2" s="7"/>
    </row>
    <row r="3" spans="1:48" s="21" customFormat="1" ht="18" customHeight="1" x14ac:dyDescent="0.3">
      <c r="B3" s="236"/>
      <c r="C3" s="237"/>
      <c r="D3" s="529">
        <f>IF(ISBLANK(B3),C3,B3)</f>
        <v>0</v>
      </c>
      <c r="E3" s="416" cm="1">
        <f t="array" ref="E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 P3)*
(NOT(ISBLANK(Table_Main[Ngày xuất nhập])))*
(Table_Main[Ngày xuất nhập] &lt; K3)
)),0),
IFERROR(
SUM(_xlfn._xlws.FILTER(Table_Main[Số lượng],
(Table_Main[Loại] = "Nhập")*
(Table_Main[Mã Nguyên liệu] =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 K3)
)),0))</f>
        <v>0</v>
      </c>
      <c r="F3" s="416" cm="1">
        <f t="array" ref="F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=P3)*
(NOT(ISBLANK(Table_Main[Ngày xuất nhập])))*
(Table_Main[Ngày xuất nhập] &lt;=K3)
)),0),
IFERROR(
SUM(_xlfn._xlws.FILTER(Table_Main[Số lượng],
(Table_Main[Loại] = "Nhập")*
(Table_Main[Mã Nguyên liệu]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&lt;=K3)
)),0))</f>
        <v>0</v>
      </c>
      <c r="G3" s="416" cm="1">
        <f t="array" ref="G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&lt;K3)
)),0)
- IFERROR(
SUM(_xlfn._xlws.FILTER(Table_Main[Giá trị hàng nhập],
(Table_Main[Loại] = "Xuất")*
(Table_Main[Mã Nguyên liệu] = C3)*
(Table_Main[Mã Nguyên liệu] &lt;&gt; "")*
(NOT(ISBLANK(C3)))*
(Table_Main[Kho] = P3)*
(NOT(ISBLANK(Table_Main[Ngày xuất nhập])))*
(Table_Main[Ngày xuất nhập] &lt;K3)
)),0))</f>
        <v>0</v>
      </c>
      <c r="H3" s="416" cm="1">
        <f t="array" ref="H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 K3)
)),0)
- IFERROR(
SUM(_xlfn._xlws.FILTER(Table_Main[Giá trị hàng nhập],
(Table_Main[Loại] = "Xuất")*
(Table_Main[Mã Nguyên liệu] = C3)*
(Table_Main[Mã Nguyên liệu] &lt;&gt; "")*
(NOT(ISBLANK(C3)))*
(Table_Main[Kho] = P3)*
(NOT(ISBLANK(Table_Main[Ngày xuất nhập])))*
(Table_Main[Ngày xuất nhập] &lt;= K3)
)),0))</f>
        <v>0</v>
      </c>
      <c r="I3" s="416">
        <f>IFERROR(G3/E3,0)</f>
        <v>0</v>
      </c>
      <c r="J3" s="416">
        <f>IFERROR(H3/F3,0)</f>
        <v>0</v>
      </c>
      <c r="K3" s="411"/>
      <c r="L3" s="47">
        <f xml:space="preserve">
IFERROR(
IFERROR(
VLOOKUP(R3,Table_DonMua[[Mã Đơn mua]:[Add]],COUNTA(Table_DonMua[[#Headers],[Mã Đơn mua]:[Ngày lập]]),0),
VLOOKUP(X3,Table_DonBan[[Mã Đơn bán]:[Add]], COUNTA(Table_DonBan[[#Headers],[Mã Đơn bán]:[Ngày lập]]),0)),0)</f>
        <v>0</v>
      </c>
      <c r="M3" s="51">
        <f>IFERROR(MONTH(L3),0)</f>
        <v>1</v>
      </c>
      <c r="N3" s="51" t="str">
        <f>IF(L3=0,"",K3-L3)</f>
        <v/>
      </c>
      <c r="O3" s="230"/>
      <c r="P3" s="230"/>
      <c r="Q3" s="391"/>
      <c r="R3" s="238"/>
      <c r="S3" s="531">
        <f>IFERROR(VLOOKUP(R3,Table_DonMua[[Mã Đơn mua]:[Add]],COUNTA(Table_DonMua[[#Headers],[Mã Đơn mua]:[Mã Đối tác]]),0),0)</f>
        <v>0</v>
      </c>
      <c r="T3" s="405"/>
      <c r="U3" s="48">
        <f xml:space="preserve">
IF(NOT(ISBLANK(R3)),Q3*T3,Q3*I3)</f>
        <v>0</v>
      </c>
      <c r="V3" s="64">
        <f>IF(R3="", 0,
IFERROR(
VLOOKUP(C3,Table_NguyenLieu[[Mã Nguyên liệu]:[Tỷ suất VAT]],COUNTA(Table_NguyenLieu[[#Headers],[Mã Nguyên liệu]:[Tỷ suất VAT]]),0),
IFERROR(
VLOOKUP(B3,Table_SKU[[Mã SKU]:[Tỷ suất VAT]],COUNTA(Table_NguyenLieu[[#Headers],[Mã Nguyên liệu]:[Tỷ suất VAT]]),0),0)))</f>
        <v>0</v>
      </c>
      <c r="W3" s="48">
        <f>IF(R3="", 0,IFERROR(V3*(U3/(1+V3)),0))</f>
        <v>0</v>
      </c>
      <c r="X3" s="235"/>
      <c r="Y3" s="226">
        <f>IFERROR(VLOOKUP(X3,Table_DonBan[[Mã Đơn bán]:[Add]],COUNTA(Table_DonBan[[#Headers],[Mã Đơn bán]:[Mã Khách]]),0),0)</f>
        <v>0</v>
      </c>
      <c r="Z3" s="48">
        <f>IF(ISBLANK(X3),0,
VLOOKUP(B3,Table_SKU[[Mã SKU]:[Giá bán]],COUNTA(Table_SKU[[#Headers],[Mã SKU]:[Giá bán]]),0))</f>
        <v>0</v>
      </c>
      <c r="AA3" s="48">
        <f>IF(ISBLANK(X3),0,
IF(O3 = "Xuất",Z3*Q3,-Z3*Q3))</f>
        <v>0</v>
      </c>
      <c r="AB3" s="230"/>
      <c r="AC3" s="65">
        <f>IF(X3="", 0,
IFERROR(
IF(
ISBLANK(
VLOOKUP(AB3,Table_ChuongTrinh[[Mã Chương trình]:[Tỷ lệ CK]],COUNTA(Table_ChuongTrinh[[#Headers],[Mã Chương trình]:[Tỷ lệ CK]]),0)),0,
VLOOKUP(AB3,Table_ChuongTrinh[[Mã Chương trình]:[Tỷ lệ CK]],COUNTA(Table_ChuongTrinh[[#Headers],[Mã Chương trình]:[Tỷ lệ CK]]),0)),
0))</f>
        <v>0</v>
      </c>
      <c r="AD3" s="120" t="e">
        <f xml:space="preserve">
(AA3/ABS(AA3)) *
IF(ISBLANK(X3),0,
IFERROR(
IF(
ISBLANK(
VLOOKUP(AB3,Table_ChuongTrinh[[Mã Chương trình]:[Tỷ lệ CK]],COUNTA(Table_ChuongTrinh[[#Headers],[Mã Chương trình]:[Tỷ lệ CK]]),0)),
VLOOKUP(AB3,Table_ChuongTrinh[[Mã Chương trình]:[Giá trị CK]],COUNTA(Table_ChuongTrinh[[#Headers],[Mã Chương trình]:[Giá trị CK]]),0),Z3*Q3*AC3),0))</f>
        <v>#DIV/0!</v>
      </c>
      <c r="AE3" s="48">
        <f>IF(ISBLANK(X3),0,
IF(O3 = "Xuất",Z3*Q3-AD3,-Z3*Q3+AD3))</f>
        <v>0</v>
      </c>
      <c r="AF3" s="64">
        <f>IFERROR(
VLOOKUP(B3,Table_SKU[[Mã SKU]:[Tỷ suất VAT]],COUNTA(Table_SKU[[#Headers],[Mã SKU]:[Tỷ suất VAT]]),0),0)</f>
        <v>0</v>
      </c>
      <c r="AG3" s="48">
        <f xml:space="preserve">
IF(X3="", 0,AF3*AE3)</f>
        <v>0</v>
      </c>
      <c r="AH3" s="226">
        <f>IFERROR(VLOOKUP(X3,Table_DonBan[[Mã Đơn bán]:[Add]],COUNTA(Table_DonBan[[#Headers],[Mã Đơn bán]:[Mã NV]]),0),0)</f>
        <v>0</v>
      </c>
      <c r="AI3" s="66" cm="1">
        <f t="array" ref="AI3">IF(ISBLANK(X3),0,
IFERROR(
IFERROR(
IFERROR(
MAX(_xlfn._xlws.FILTER(Table_HoaHong[Tỷ lệ],
(Table_HoaHong[Đối tượng] = "Nhân viên") *
(NOT(ISBLANK(Table_HoaHong[SKU] )))*
(Table_HoaHong[SKU] = B3) *
(NOT(ISBLANK(Table_HoaHong[Mã Nhân viên] )))*
(Table_HoaHong[Mã Nhân viên] = AH3)
)),
MAX(_xlfn._xlws.FILTER(Table_HoaHong[Tỷ lệ],
(Table_HoaHong[Đối tượng] = "Nhân viên") *
(NOT(ISBLANK(Table_HoaHong[SKU] )))*
(Table_HoaHong[SKU] = B3) *
(ISBLANK(Table_HoaHong[Mã Nhân viên] ))
))),
MAX(_xlfn._xlws.FILTER(Table_HoaHong[Tỷ lệ],
(Table_HoaHong[Đối tượng] = "Nhân viên") *
(ISBLANK(Table_HoaHong[SKU] ))*
(NOT(ISBLANK(Table_HoaHong[Mã Nhân viên] )))*
(Table_HoaHong[Mã Nhân viên] = AH3)
))
),0))</f>
        <v>0</v>
      </c>
      <c r="AJ3" s="48">
        <f>IFERROR(AI3*AE3,"")</f>
        <v>0</v>
      </c>
      <c r="AK3" s="48">
        <f>IFERROR(VLOOKUP(X3,Table_DonBan[[Mã Đơn bán]:[Add]],COUNTA(Table_DonBan[[#Headers],[Mã Đơn bán]:[Kênh]]),0),0)</f>
        <v>0</v>
      </c>
      <c r="AL3" s="64" cm="1">
        <f t="array" ref="AL3">IF(ISBLANK(X3),0,
IFERROR(
IFERROR(
IFERROR(
MAX(_xlfn._xlws.FILTER(Table_HoaHong[Tỷ lệ],
(Table_HoaHong[Đối tượng] = "Kênh") *
(NOT(ISBLANK(Table_HoaHong[SKU] )))*
(Table_HoaHong[SKU] = B3) *
(NOT(ISBLANK(Table_HoaHong[Mã Kênh] )))*
(Table_HoaHong[Mã Kênh] =AK3)
)),
MAX(_xlfn._xlws.FILTER(Table_HoaHong[Tỷ lệ],
(Table_HoaHong[Đối tượng] = "Kênh") *
(NOT(ISBLANK(Table_HoaHong[SKU] )))*
(Table_HoaHong[SKU] = B3) *
(ISBLANK(Table_HoaHong[Mã Kênh] ))
))),
MAX(_xlfn._xlws.FILTER(Table_HoaHong[Tỷ lệ],
(Table_HoaHong[Đối tượng] = "Kênh") *
(ISBLANK(Table_HoaHong[SKU] ))*
(NOT(ISBLANK(Table_HoaHong[Mã Kênh] )))*
(Table_HoaHong[Mã Kênh] = AK3)
))
),0))</f>
        <v>0</v>
      </c>
      <c r="AM3" s="48">
        <f>IFERROR(AE3*AL3,"")</f>
        <v>0</v>
      </c>
      <c r="AN3" s="235"/>
      <c r="AO3" s="232"/>
      <c r="AP3" s="21">
        <f>AQ3*AR3*AS3*AT3*AU3*AV3</f>
        <v>1</v>
      </c>
      <c r="AQ3" s="21">
        <f xml:space="preserve">
IF(ISBLANK( $AB$3),1,
IF(VLOOKUP( $AB$3,Table_ChuongTrinh[[Mã Chương trình]:[Đối tượng CK]],Sheet_ChuongTrinh!$C$1,0) = "Sản phẩm",1,0))</f>
        <v>1</v>
      </c>
      <c r="AR3" s="21">
        <f>IF(ISBLANK( $AB$3),
1,
IF(ISBLANK(VLOOKUP( $AB$3,Table_ChuongTrinh[],Sheet_ChuongTrinh!$E$1,0)),
1,
IF($L$3  &gt;= VLOOKUP( $AB$3,Table_ChuongTrinh[],Sheet_ChuongTrinh!$E$1,0),1,
0)))
*IF(ISBLANK( $AB$3),
1,
IF(ISBLANK(VLOOKUP( $AB$3,Table_ChuongTrinh[],Sheet_ChuongTrinh!$F$1,0)),
1,
IF($L$3  &lt; VLOOKUP( $AB$3,Table_ChuongTrinh[],Sheet_ChuongTrinh!$F$1,0),
1,
0)))</f>
        <v>1</v>
      </c>
      <c r="AS3" s="21">
        <f>IF(ISBLANK( $AB$3),
1,
IF(ISBLANK(VLOOKUP( $AB$3,Table_ChuongTrinh[],Sheet_ChuongTrinh!$J$1,0)),
1,
IF(AE3&gt;= VLOOKUP( $AB$3,Table_ChuongTrinh[],Sheet_ChuongTrinh!$J$1,0),
1,
0)))</f>
        <v>1</v>
      </c>
      <c r="AT3" s="21">
        <f>IF(ISBLANK( $AB$3),
1,
IF(ISBLANK(VLOOKUP( $AB$3,Table_ChuongTrinh[],Sheet_ChuongTrinh!$I$1,0)),
1,
IF(COUNTIF(Table_Main[Chương trình], $AB$3)+1
&lt;= VLOOKUP( $AB$3,Table_ChuongTrinh[],Sheet_ChuongTrinh!$I$1,0),
1,
0)))</f>
        <v>1</v>
      </c>
      <c r="AU3" s="21">
        <f>IF(ISBLANK( $AB$3), 1,
IF(ISBLANK(VLOOKUP( $AB$3,Table_ChuongTrinh[],COUNTA(Table_ChuongTrinh[[#Headers],[Mã Chương trình]:[Sinh nhật]]),0)), 1,
IF(VLOOKUP( $AB$3,Table_ChuongTrinh[],COUNTA(Table_ChuongTrinh[[#Headers],[Mã Chương trình]:[Sinh nhật]]),0) = "Ngày sinh",
IF( AND(
DAY(VLOOKUP( $Y$3, Table_KhachHang[], COUNTA(Table_KhachHang[[#Headers],[Mã KH]:[Ngày sinh]]),0)) = DAY($L$3),
MONTH(VLOOKUP( $Y$3, Table_KhachHang[], COUNTA(Table_KhachHang[[#Headers],[Mã KH]:[Ngày sinh]]),0)) = MONTH(  $L$3)
),1,0),
IF(MONTH(VLOOKUP( $Y$3, Table_KhachHang[], COUNTA(Table_KhachHang[[#Headers],[Mã KH]:[Ngày sinh]]),0)) = MONTH(  $L$3),1,0)
)))</f>
        <v>1</v>
      </c>
      <c r="AV3" s="21" cm="1">
        <f t="array" ref="AV3">IF(ISBLANK( $AB$3), 1,
IF(ISBLANK(VLOOKUP( $AB$3,Table_ChuongTrinh[],COUNTA(Table_ChuongTrinh[[#Headers],[Mã Chương trình]:[Ngày mua cuối]]),0)), 1,
IF(VLOOKUP( $AB$3,Table_ChuongTrinh[],COUNTA(Table_ChuongTrinh[[#Headers],[Mã Chương trình]:[Ngày mua cuối]]),0)&lt;=
IFERROR($L$3  -
MAX(_xlfn._xlws.FILTER(Table_DonBan[Ngày lập],
(Table_DonBan[Mã Khách] = $Y$3 )*
(Table_DonBan[Ngày lập] &lt;= $L$3 )
)),0),1,0)))</f>
        <v>1</v>
      </c>
    </row>
    <row r="4" spans="1:48" ht="18" customHeight="1" x14ac:dyDescent="0.3">
      <c r="B4" s="46" t="s">
        <v>31</v>
      </c>
      <c r="C4" s="46" t="s">
        <v>674</v>
      </c>
      <c r="D4" s="46" t="s">
        <v>876</v>
      </c>
      <c r="E4" s="46" t="s">
        <v>1011</v>
      </c>
      <c r="F4" s="46" t="s">
        <v>1012</v>
      </c>
      <c r="G4" s="46" t="s">
        <v>1013</v>
      </c>
      <c r="H4" s="46" t="s">
        <v>1014</v>
      </c>
      <c r="I4" s="46" t="s">
        <v>1015</v>
      </c>
      <c r="J4" s="46" t="s">
        <v>1016</v>
      </c>
      <c r="K4" s="46" t="s">
        <v>675</v>
      </c>
      <c r="L4" s="46" t="s">
        <v>543</v>
      </c>
      <c r="M4" s="46" t="s">
        <v>676</v>
      </c>
      <c r="N4" s="46" t="s">
        <v>1239</v>
      </c>
      <c r="O4" s="46" t="s">
        <v>32</v>
      </c>
      <c r="P4" s="46" t="s">
        <v>578</v>
      </c>
      <c r="Q4" s="46" t="s">
        <v>30</v>
      </c>
      <c r="R4" s="46" t="s">
        <v>677</v>
      </c>
      <c r="S4" s="46" t="s">
        <v>1235</v>
      </c>
      <c r="T4" s="46" t="s">
        <v>678</v>
      </c>
      <c r="U4" s="46" t="s">
        <v>679</v>
      </c>
      <c r="V4" s="46" t="s">
        <v>680</v>
      </c>
      <c r="W4" s="46" t="s">
        <v>681</v>
      </c>
      <c r="X4" s="46" t="s">
        <v>682</v>
      </c>
      <c r="Y4" s="46" t="s">
        <v>172</v>
      </c>
      <c r="Z4" s="46" t="s">
        <v>683</v>
      </c>
      <c r="AA4" s="46" t="s">
        <v>684</v>
      </c>
      <c r="AB4" s="46" t="s">
        <v>236</v>
      </c>
      <c r="AC4" s="46" t="s">
        <v>685</v>
      </c>
      <c r="AD4" s="46" t="s">
        <v>686</v>
      </c>
      <c r="AE4" s="46" t="s">
        <v>687</v>
      </c>
      <c r="AF4" s="46" t="s">
        <v>705</v>
      </c>
      <c r="AG4" s="46" t="s">
        <v>688</v>
      </c>
      <c r="AH4" s="46" t="s">
        <v>689</v>
      </c>
      <c r="AI4" s="46" t="s">
        <v>690</v>
      </c>
      <c r="AJ4" s="46" t="s">
        <v>140</v>
      </c>
      <c r="AK4" s="46" t="s">
        <v>38</v>
      </c>
      <c r="AL4" s="46" t="s">
        <v>735</v>
      </c>
      <c r="AM4" s="46" t="s">
        <v>877</v>
      </c>
      <c r="AN4" s="46" t="s">
        <v>691</v>
      </c>
      <c r="AO4" s="46" t="s">
        <v>873</v>
      </c>
      <c r="AP4" s="7" t="s">
        <v>724</v>
      </c>
      <c r="AQ4" s="7" t="s">
        <v>725</v>
      </c>
      <c r="AR4" s="7" t="s">
        <v>726</v>
      </c>
      <c r="AS4" s="7" t="s">
        <v>727</v>
      </c>
      <c r="AT4" s="7" t="s">
        <v>728</v>
      </c>
      <c r="AU4" s="46" t="s">
        <v>920</v>
      </c>
      <c r="AV4" s="46" t="s">
        <v>921</v>
      </c>
    </row>
    <row r="5" spans="1:48" ht="18" customHeight="1" x14ac:dyDescent="0.3">
      <c r="B5" s="516" t="s">
        <v>1151</v>
      </c>
      <c r="C5" s="516"/>
      <c r="D5" s="530" t="str">
        <f>IF(ISBLANK(Table_Main[[#This Row],[Mã SKU]]),Table_Main[[#This Row],[Mã Nguyên liệu]],Table_Main[[#This Row],[Mã SKU]])</f>
        <v>TP2</v>
      </c>
      <c r="E5" s="416" cm="1">
        <f t="array" ref="E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v>
      </c>
      <c r="F5" s="416" cm="1">
        <f t="array" ref="F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5" s="416" cm="1">
        <f t="array" ref="G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 s="416" cm="1">
        <f t="array" ref="H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 s="416">
        <f>IFERROR(Table_Main[[#This Row],[Giá trị tồn đầu ngày]]/Table_Main[[#This Row],[Tồn kho đầu ngày]],0)</f>
        <v>0</v>
      </c>
      <c r="J5" s="416">
        <f>IFERROR(Table_Main[[#This Row],[Giá trị tồn cuối ngày]]/Table_Main[[#This Row],[Tồn kho cuối ngày]],0)</f>
        <v>0</v>
      </c>
      <c r="K5" s="411">
        <v>45808</v>
      </c>
      <c r="L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 s="29">
        <f>IFERROR(MONTH(Table_Main[[#This Row],[Ngày lên đơn]]),0)</f>
        <v>1</v>
      </c>
      <c r="N5" s="51" t="str">
        <f>IF(Table_Main[[#This Row],[Ngày lên đơn]]=0,"",Table_Main[[#This Row],[Ngày xuất nhập]]-Table_Main[[#This Row],[Ngày lên đơn]])</f>
        <v/>
      </c>
      <c r="O5" s="230" t="s">
        <v>1154</v>
      </c>
      <c r="P5" s="230" t="s">
        <v>1155</v>
      </c>
      <c r="Q5" s="404">
        <v>23</v>
      </c>
      <c r="R5" s="516"/>
      <c r="S5" s="530">
        <f>IFERROR(VLOOKUP(Table_Main[[#This Row],[Đơn Mua]],Table_DonMua[[Mã Đơn mua]:[Add]],COUNTA(Table_DonMua[[#Headers],[Mã Đơn mua]:[Mã Đối tác]]),0),0)</f>
        <v>0</v>
      </c>
      <c r="T5" s="405"/>
      <c r="U5" s="48">
        <f xml:space="preserve">
IF(NOT(ISBLANK(Table_Main[[#This Row],[Đơn Mua]])),Table_Main[[#This Row],[Số lượng]]*Table_Main[[#This Row],[Giá nhập]],Table_Main[[#This Row],[Số lượng]]*Table_Main[[#This Row],[Giá trị bình quân đầu ngày]])</f>
        <v>0</v>
      </c>
      <c r="V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 s="48">
        <f>IF(Table_Main[[#This Row],[Đơn Mua]]="", 0,IFERROR(Table_Main[[#This Row],[Tỷ suất VAT khấu trừ]]*(Table_Main[[#This Row],[Giá trị hàng nhập]]/(1+Table_Main[[#This Row],[Tỷ suất VAT khấu trừ]])),0))</f>
        <v>0</v>
      </c>
      <c r="X5" s="516"/>
      <c r="Y5" s="28">
        <f>IFERROR(VLOOKUP(Table_Main[[#This Row],[Đơn bán]],Table_DonBan[[Mã Đơn bán]:[Add]],COUNTA(Table_DonBan[[#Headers],[Mã Đơn bán]:[Mã Khách]]),0),0)</f>
        <v>0</v>
      </c>
      <c r="Z5" s="48">
        <f>IF(ISBLANK(Table_Main[[#This Row],[Đơn bán]]),0,
VLOOKUP(Table_Main[[#This Row],[Mã SKU]],Table_SKU[[Mã SKU]:[Giá bán]],COUNTA(Table_SKU[[#Headers],[Mã SKU]:[Giá bán]]),0))</f>
        <v>0</v>
      </c>
      <c r="AA5" s="48">
        <f>IF(ISBLANK(Table_Main[[#This Row],[Đơn bán]]),0,
IF(Table_Main[[#This Row],[Loại]] = "Xuất",Table_Main[[#This Row],[Giá bán niêm yết]]*Table_Main[[#This Row],[Số lượng]],-Table_Main[[#This Row],[Giá bán niêm yết]]*Table_Main[[#This Row],[Số lượng]]))</f>
        <v>0</v>
      </c>
      <c r="AB5" s="230"/>
      <c r="AC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 s="66">
        <f>IFERROR(
VLOOKUP(Table_Main[[#This Row],[Mã SKU]],Table_SKU[[Mã SKU]:[Tỷ suất VAT]],COUNTA(Table_SKU[[#Headers],[Mã SKU]:[Tỷ suất VAT]]),0),0)</f>
        <v>0</v>
      </c>
      <c r="AG5" s="48">
        <f xml:space="preserve">
IF(Table_Main[[#This Row],[Đơn bán]]="", 0,Table_Main[[#This Row],[Tỷ suất VAT]]*Table_Main[[#This Row],[Giá trị bán trước VAT]])</f>
        <v>0</v>
      </c>
      <c r="AH5" s="51">
        <f>IFERROR(VLOOKUP(Table_Main[[#This Row],[Đơn bán]],Table_DonBan[[Mã Đơn bán]:[Add]],COUNTA(Table_DonBan[[#Headers],[Mã Đơn bán]:[Mã NV]]),0),0)</f>
        <v>0</v>
      </c>
      <c r="AI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 s="48">
        <f>IFERROR(Table_Main[[#This Row],[Giá trị bán trước VAT]]*Table_Main[[#This Row],[Tỷ lệ hoa hồng]],"")</f>
        <v>0</v>
      </c>
      <c r="AK5" s="48">
        <f>IFERROR(VLOOKUP(Table_Main[[#This Row],[Đơn bán]],Table_DonBan[[Mã Đơn bán]:[Add]],COUNTA(Table_DonBan[[#Headers],[Mã Đơn bán]:[Kênh]]),0),0)</f>
        <v>0</v>
      </c>
      <c r="AL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 s="48">
        <f>IFERROR(Table_Main[[#This Row],[Giá trị bán trước VAT]]*Table_Main[[#This Row],[Tỷ lệ CK kênh]],"")</f>
        <v>0</v>
      </c>
      <c r="AN5" s="230"/>
      <c r="AO5" s="232"/>
      <c r="AP5" s="226">
        <f>Table_Main[[#This Row],[ĐK - Phân loại]]*Table_Main[[#This Row],[ĐK - Thời gian]]*Table_Main[[#This Row],[ĐK - Giá trị]]*Table_Main[[#This Row],[ĐK - Số lượng]]*Table_Main[[#This Row],[ĐK - Sinh nhật]]*Table_Main[[#This Row],[ĐK - Ngày mua cuối]]</f>
        <v>1</v>
      </c>
      <c r="AQ5" s="226">
        <f xml:space="preserve">
IF(ISBLANK(Table_Main[[#This Row],[Chương trình]]),1,
IF(VLOOKUP(Table_Main[[#This Row],[Chương trình]],Table_ChuongTrinh[[Mã Chương trình]:[Đối tượng CK]],Sheet_ChuongTrinh!$C$1,0) = "Sản phẩm",1,0))</f>
        <v>1</v>
      </c>
      <c r="AR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 spans="1:48" ht="18" customHeight="1" x14ac:dyDescent="0.3">
      <c r="B6" s="516" t="s">
        <v>1150</v>
      </c>
      <c r="C6" s="516"/>
      <c r="D6" s="530" t="str">
        <f>IF(ISBLANK(Table_Main[[#This Row],[Mã SKU]]),Table_Main[[#This Row],[Mã Nguyên liệu]],Table_Main[[#This Row],[Mã SKU]])</f>
        <v>TP1</v>
      </c>
      <c r="E6" s="416" cm="1">
        <f t="array" ref="E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85</v>
      </c>
      <c r="F6" s="416" cm="1">
        <f t="array" ref="F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 s="416" cm="1">
        <f t="array" ref="G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 s="416" cm="1">
        <f t="array" ref="H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 s="416">
        <f>IFERROR(Table_Main[[#This Row],[Giá trị tồn đầu ngày]]/Table_Main[[#This Row],[Tồn kho đầu ngày]],0)</f>
        <v>0</v>
      </c>
      <c r="J6" s="416">
        <f>IFERROR(Table_Main[[#This Row],[Giá trị tồn cuối ngày]]/Table_Main[[#This Row],[Tồn kho cuối ngày]],0)</f>
        <v>0</v>
      </c>
      <c r="K6" s="411">
        <v>45808</v>
      </c>
      <c r="L6" s="47">
        <f xml:space="preserve">
IFERROR(
IFERROR(
VLOOKUP(Table_Main[[#This Row],[Đơn Mua]],Table_DonMua[[Mã Đơn mua]:[Add]],COUNTA(Table_DonMua[[#Headers],[Mã Đơn mua]:[Ngày lập]]),0),
VLOOKUP(Table_Main[[#This Row],[Đơn bán]],Table_DonBan[[Mã Đơn bán]:[Add]], COUNTA(Table_DonBan[[#Headers],[Mã Đơn bán]:[Ngày lập]]),0)),0)</f>
        <v>45808</v>
      </c>
      <c r="M6" s="29">
        <f>IFERROR(MONTH(Table_Main[[#This Row],[Ngày lên đơn]]),0)</f>
        <v>5</v>
      </c>
      <c r="N6" s="51">
        <f>IF(Table_Main[[#This Row],[Ngày lên đơn]]=0,"",Table_Main[[#This Row],[Ngày xuất nhập]]-Table_Main[[#This Row],[Ngày lên đơn]])</f>
        <v>0</v>
      </c>
      <c r="O6" s="230" t="s">
        <v>53</v>
      </c>
      <c r="P6" s="230" t="s">
        <v>1155</v>
      </c>
      <c r="Q6" s="404">
        <v>19</v>
      </c>
      <c r="R6" s="516"/>
      <c r="S6" s="530">
        <f>IFERROR(VLOOKUP(Table_Main[[#This Row],[Đơn Mua]],Table_DonMua[[Mã Đơn mua]:[Add]],COUNTA(Table_DonMua[[#Headers],[Mã Đơn mua]:[Mã Đối tác]]),0),0)</f>
        <v>0</v>
      </c>
      <c r="T6" s="405"/>
      <c r="U6" s="48">
        <f xml:space="preserve">
IF(NOT(ISBLANK(Table_Main[[#This Row],[Đơn Mua]])),Table_Main[[#This Row],[Số lượng]]*Table_Main[[#This Row],[Giá nhập]],Table_Main[[#This Row],[Số lượng]]*Table_Main[[#This Row],[Giá trị bình quân đầu ngày]])</f>
        <v>0</v>
      </c>
      <c r="V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 s="48">
        <f>IF(Table_Main[[#This Row],[Đơn Mua]]="", 0,IFERROR(Table_Main[[#This Row],[Tỷ suất VAT khấu trừ]]*(Table_Main[[#This Row],[Giá trị hàng nhập]]/(1+Table_Main[[#This Row],[Tỷ suất VAT khấu trừ]])),0))</f>
        <v>0</v>
      </c>
      <c r="X6" s="516" t="s">
        <v>1221</v>
      </c>
      <c r="Y6" s="28" t="str">
        <f>IFERROR(VLOOKUP(Table_Main[[#This Row],[Đơn bán]],Table_DonBan[[Mã Đơn bán]:[Add]],COUNTA(Table_DonBan[[#Headers],[Mã Đơn bán]:[Mã Khách]]),0),0)</f>
        <v>KH3</v>
      </c>
      <c r="Z6" s="48">
        <f>IF(ISBLANK(Table_Main[[#This Row],[Đơn bán]]),0,
VLOOKUP(Table_Main[[#This Row],[Mã SKU]],Table_SKU[[Mã SKU]:[Giá bán]],COUNTA(Table_SKU[[#Headers],[Mã SKU]:[Giá bán]]),0))</f>
        <v>300000</v>
      </c>
      <c r="AA6" s="48">
        <f>IF(ISBLANK(Table_Main[[#This Row],[Đơn bán]]),0,
IF(Table_Main[[#This Row],[Loại]] = "Xuất",Table_Main[[#This Row],[Giá bán niêm yết]]*Table_Main[[#This Row],[Số lượng]],-Table_Main[[#This Row],[Giá bán niêm yết]]*Table_Main[[#This Row],[Số lượng]]))</f>
        <v>5700000</v>
      </c>
      <c r="AB6" s="230"/>
      <c r="AC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5700000</v>
      </c>
      <c r="AF6" s="66">
        <f>IFERROR(
VLOOKUP(Table_Main[[#This Row],[Mã SKU]],Table_SKU[[Mã SKU]:[Tỷ suất VAT]],COUNTA(Table_SKU[[#Headers],[Mã SKU]:[Tỷ suất VAT]]),0),0)</f>
        <v>0</v>
      </c>
      <c r="AG6" s="48">
        <f xml:space="preserve">
IF(Table_Main[[#This Row],[Đơn bán]]="", 0,Table_Main[[#This Row],[Tỷ suất VAT]]*Table_Main[[#This Row],[Giá trị bán trước VAT]])</f>
        <v>0</v>
      </c>
      <c r="AH6" s="51">
        <f>IFERROR(VLOOKUP(Table_Main[[#This Row],[Đơn bán]],Table_DonBan[[Mã Đơn bán]:[Add]],COUNTA(Table_DonBan[[#Headers],[Mã Đơn bán]:[Mã NV]]),0),0)</f>
        <v>0</v>
      </c>
      <c r="AI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 s="48">
        <f>IFERROR(Table_Main[[#This Row],[Giá trị bán trước VAT]]*Table_Main[[#This Row],[Tỷ lệ hoa hồng]],"")</f>
        <v>0</v>
      </c>
      <c r="AK6" s="48">
        <f>IFERROR(VLOOKUP(Table_Main[[#This Row],[Đơn bán]],Table_DonBan[[Mã Đơn bán]:[Add]],COUNTA(Table_DonBan[[#Headers],[Mã Đơn bán]:[Kênh]]),0),0)</f>
        <v>0</v>
      </c>
      <c r="AL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 s="48">
        <f>IFERROR(Table_Main[[#This Row],[Giá trị bán trước VAT]]*Table_Main[[#This Row],[Tỷ lệ CK kênh]],"")</f>
        <v>0</v>
      </c>
      <c r="AN6" s="230"/>
      <c r="AO6" s="232"/>
      <c r="AP6" s="226">
        <f>Table_Main[[#This Row],[ĐK - Phân loại]]*Table_Main[[#This Row],[ĐK - Thời gian]]*Table_Main[[#This Row],[ĐK - Giá trị]]*Table_Main[[#This Row],[ĐK - Số lượng]]*Table_Main[[#This Row],[ĐK - Sinh nhật]]*Table_Main[[#This Row],[ĐK - Ngày mua cuối]]</f>
        <v>1</v>
      </c>
      <c r="AQ6" s="226">
        <f xml:space="preserve">
IF(ISBLANK(Table_Main[[#This Row],[Chương trình]]),1,
IF(VLOOKUP(Table_Main[[#This Row],[Chương trình]],Table_ChuongTrinh[[Mã Chương trình]:[Đối tượng CK]],Sheet_ChuongTrinh!$C$1,0) = "Sản phẩm",1,0))</f>
        <v>1</v>
      </c>
      <c r="AR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 spans="1:48" ht="18" customHeight="1" x14ac:dyDescent="0.3">
      <c r="B7" s="523"/>
      <c r="C7" s="238" t="s">
        <v>1153</v>
      </c>
      <c r="D7" s="531" t="str">
        <f>IF(ISBLANK(Table_Main[[#This Row],[Mã SKU]]),Table_Main[[#This Row],[Mã Nguyên liệu]],Table_Main[[#This Row],[Mã SKU]])</f>
        <v>NL1</v>
      </c>
      <c r="E7" s="416" cm="1">
        <f t="array" ref="E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176</v>
      </c>
      <c r="F7" s="416" cm="1">
        <f t="array" ref="F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169</v>
      </c>
      <c r="G7" s="416" cm="1">
        <f t="array" ref="G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18693607.469611529</v>
      </c>
      <c r="H7" s="416" cm="1">
        <f t="array" ref="H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17950111.717979252</v>
      </c>
      <c r="I7" s="416">
        <f>IFERROR(Table_Main[[#This Row],[Giá trị tồn đầu ngày]]/Table_Main[[#This Row],[Tồn kho đầu ngày]],0)</f>
        <v>106213.67880461096</v>
      </c>
      <c r="J7" s="416">
        <f>IFERROR(Table_Main[[#This Row],[Giá trị tồn cuối ngày]]/Table_Main[[#This Row],[Tồn kho cuối ngày]],0)</f>
        <v>106213.67880461096</v>
      </c>
      <c r="K7" s="411">
        <v>45807</v>
      </c>
      <c r="L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 s="29">
        <f>IFERROR(MONTH(Table_Main[[#This Row],[Ngày lên đơn]]),0)</f>
        <v>1</v>
      </c>
      <c r="N7" s="51" t="str">
        <f>IF(Table_Main[[#This Row],[Ngày lên đơn]]=0,"",Table_Main[[#This Row],[Ngày xuất nhập]]-Table_Main[[#This Row],[Ngày lên đơn]])</f>
        <v/>
      </c>
      <c r="O7" s="230" t="s">
        <v>53</v>
      </c>
      <c r="P7" s="230" t="s">
        <v>1155</v>
      </c>
      <c r="Q7" s="404">
        <v>7</v>
      </c>
      <c r="R7" s="516"/>
      <c r="S7" s="530">
        <f>IFERROR(VLOOKUP(Table_Main[[#This Row],[Đơn Mua]],Table_DonMua[[Mã Đơn mua]:[Add]],COUNTA(Table_DonMua[[#Headers],[Mã Đơn mua]:[Mã Đối tác]]),0),0)</f>
        <v>0</v>
      </c>
      <c r="T7" s="405"/>
      <c r="U7" s="48">
        <f xml:space="preserve">
IF(NOT(ISBLANK(Table_Main[[#This Row],[Đơn Mua]])),Table_Main[[#This Row],[Số lượng]]*Table_Main[[#This Row],[Giá nhập]],Table_Main[[#This Row],[Số lượng]]*Table_Main[[#This Row],[Giá trị bình quân đầu ngày]])</f>
        <v>743495.75163227669</v>
      </c>
      <c r="V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 s="48">
        <f>IF(Table_Main[[#This Row],[Đơn Mua]]="", 0,IFERROR(Table_Main[[#This Row],[Tỷ suất VAT khấu trừ]]*(Table_Main[[#This Row],[Giá trị hàng nhập]]/(1+Table_Main[[#This Row],[Tỷ suất VAT khấu trừ]])),0))</f>
        <v>0</v>
      </c>
      <c r="X7" s="516"/>
      <c r="Y7" s="28">
        <f>IFERROR(VLOOKUP(Table_Main[[#This Row],[Đơn bán]],Table_DonBan[[Mã Đơn bán]:[Add]],COUNTA(Table_DonBan[[#Headers],[Mã Đơn bán]:[Mã Khách]]),0),0)</f>
        <v>0</v>
      </c>
      <c r="Z7" s="48">
        <f>IF(ISBLANK(Table_Main[[#This Row],[Đơn bán]]),0,
VLOOKUP(Table_Main[[#This Row],[Mã SKU]],Table_SKU[[Mã SKU]:[Giá bán]],COUNTA(Table_SKU[[#Headers],[Mã SKU]:[Giá bán]]),0))</f>
        <v>0</v>
      </c>
      <c r="AA7" s="48">
        <f>IF(ISBLANK(Table_Main[[#This Row],[Đơn bán]]),0,
IF(Table_Main[[#This Row],[Loại]] = "Xuất",Table_Main[[#This Row],[Giá bán niêm yết]]*Table_Main[[#This Row],[Số lượng]],-Table_Main[[#This Row],[Giá bán niêm yết]]*Table_Main[[#This Row],[Số lượng]]))</f>
        <v>0</v>
      </c>
      <c r="AB7" s="230"/>
      <c r="AC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 s="66">
        <f>IFERROR(
VLOOKUP(Table_Main[[#This Row],[Mã SKU]],Table_SKU[[Mã SKU]:[Tỷ suất VAT]],COUNTA(Table_SKU[[#Headers],[Mã SKU]:[Tỷ suất VAT]]),0),0)</f>
        <v>0</v>
      </c>
      <c r="AG7" s="48">
        <f xml:space="preserve">
IF(Table_Main[[#This Row],[Đơn bán]]="", 0,Table_Main[[#This Row],[Tỷ suất VAT]]*Table_Main[[#This Row],[Giá trị bán trước VAT]])</f>
        <v>0</v>
      </c>
      <c r="AH7" s="51">
        <f>IFERROR(VLOOKUP(Table_Main[[#This Row],[Đơn bán]],Table_DonBan[[Mã Đơn bán]:[Add]],COUNTA(Table_DonBan[[#Headers],[Mã Đơn bán]:[Mã NV]]),0),0)</f>
        <v>0</v>
      </c>
      <c r="AI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 s="48">
        <f>IFERROR(Table_Main[[#This Row],[Giá trị bán trước VAT]]*Table_Main[[#This Row],[Tỷ lệ hoa hồng]],"")</f>
        <v>0</v>
      </c>
      <c r="AK7" s="48">
        <f>IFERROR(VLOOKUP(Table_Main[[#This Row],[Đơn bán]],Table_DonBan[[Mã Đơn bán]:[Add]],COUNTA(Table_DonBan[[#Headers],[Mã Đơn bán]:[Kênh]]),0),0)</f>
        <v>0</v>
      </c>
      <c r="AL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 s="48">
        <f>IFERROR(Table_Main[[#This Row],[Giá trị bán trước VAT]]*Table_Main[[#This Row],[Tỷ lệ CK kênh]],"")</f>
        <v>0</v>
      </c>
      <c r="AN7" s="230"/>
      <c r="AO7" s="232"/>
      <c r="AP7" s="226">
        <f>Table_Main[[#This Row],[ĐK - Phân loại]]*Table_Main[[#This Row],[ĐK - Thời gian]]*Table_Main[[#This Row],[ĐK - Giá trị]]*Table_Main[[#This Row],[ĐK - Số lượng]]*Table_Main[[#This Row],[ĐK - Sinh nhật]]*Table_Main[[#This Row],[ĐK - Ngày mua cuối]]</f>
        <v>1</v>
      </c>
      <c r="AQ7" s="226">
        <f xml:space="preserve">
IF(ISBLANK(Table_Main[[#This Row],[Chương trình]]),1,
IF(VLOOKUP(Table_Main[[#This Row],[Chương trình]],Table_ChuongTrinh[[Mã Chương trình]:[Đối tượng CK]],Sheet_ChuongTrinh!$C$1,0) = "Sản phẩm",1,0))</f>
        <v>1</v>
      </c>
      <c r="AR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 spans="1:48" ht="18" customHeight="1" x14ac:dyDescent="0.3">
      <c r="B8" s="516" t="s">
        <v>1150</v>
      </c>
      <c r="C8" s="516"/>
      <c r="D8" s="530" t="str">
        <f>IF(ISBLANK(Table_Main[[#This Row],[Mã SKU]]),Table_Main[[#This Row],[Mã Nguyên liệu]],Table_Main[[#This Row],[Mã SKU]])</f>
        <v>TP1</v>
      </c>
      <c r="E8" s="416" cm="1">
        <f t="array" ref="E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8" s="416" cm="1">
        <f t="array" ref="F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85</v>
      </c>
      <c r="G8" s="416" cm="1">
        <f t="array" ref="G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 s="416" cm="1">
        <f t="array" ref="H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 s="416">
        <f>IFERROR(Table_Main[[#This Row],[Giá trị tồn đầu ngày]]/Table_Main[[#This Row],[Tồn kho đầu ngày]],0)</f>
        <v>0</v>
      </c>
      <c r="J8" s="416">
        <f>IFERROR(Table_Main[[#This Row],[Giá trị tồn cuối ngày]]/Table_Main[[#This Row],[Tồn kho cuối ngày]],0)</f>
        <v>0</v>
      </c>
      <c r="K8" s="411">
        <v>45806</v>
      </c>
      <c r="L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 s="29">
        <f>IFERROR(MONTH(Table_Main[[#This Row],[Ngày lên đơn]]),0)</f>
        <v>1</v>
      </c>
      <c r="N8" s="51" t="str">
        <f>IF(Table_Main[[#This Row],[Ngày lên đơn]]=0,"",Table_Main[[#This Row],[Ngày xuất nhập]]-Table_Main[[#This Row],[Ngày lên đơn]])</f>
        <v/>
      </c>
      <c r="O8" s="230" t="s">
        <v>1154</v>
      </c>
      <c r="P8" s="230" t="s">
        <v>1155</v>
      </c>
      <c r="Q8" s="404">
        <v>6</v>
      </c>
      <c r="R8" s="516"/>
      <c r="S8" s="530">
        <f>IFERROR(VLOOKUP(Table_Main[[#This Row],[Đơn Mua]],Table_DonMua[[Mã Đơn mua]:[Add]],COUNTA(Table_DonMua[[#Headers],[Mã Đơn mua]:[Mã Đối tác]]),0),0)</f>
        <v>0</v>
      </c>
      <c r="T8" s="405"/>
      <c r="U8" s="48">
        <f xml:space="preserve">
IF(NOT(ISBLANK(Table_Main[[#This Row],[Đơn Mua]])),Table_Main[[#This Row],[Số lượng]]*Table_Main[[#This Row],[Giá nhập]],Table_Main[[#This Row],[Số lượng]]*Table_Main[[#This Row],[Giá trị bình quân đầu ngày]])</f>
        <v>0</v>
      </c>
      <c r="V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 s="48">
        <f>IF(Table_Main[[#This Row],[Đơn Mua]]="", 0,IFERROR(Table_Main[[#This Row],[Tỷ suất VAT khấu trừ]]*(Table_Main[[#This Row],[Giá trị hàng nhập]]/(1+Table_Main[[#This Row],[Tỷ suất VAT khấu trừ]])),0))</f>
        <v>0</v>
      </c>
      <c r="X8" s="516"/>
      <c r="Y8" s="28">
        <f>IFERROR(VLOOKUP(Table_Main[[#This Row],[Đơn bán]],Table_DonBan[[Mã Đơn bán]:[Add]],COUNTA(Table_DonBan[[#Headers],[Mã Đơn bán]:[Mã Khách]]),0),0)</f>
        <v>0</v>
      </c>
      <c r="Z8" s="48">
        <f>IF(ISBLANK(Table_Main[[#This Row],[Đơn bán]]),0,
VLOOKUP(Table_Main[[#This Row],[Mã SKU]],Table_SKU[[Mã SKU]:[Giá bán]],COUNTA(Table_SKU[[#Headers],[Mã SKU]:[Giá bán]]),0))</f>
        <v>0</v>
      </c>
      <c r="AA8" s="48">
        <f>IF(ISBLANK(Table_Main[[#This Row],[Đơn bán]]),0,
IF(Table_Main[[#This Row],[Loại]] = "Xuất",Table_Main[[#This Row],[Giá bán niêm yết]]*Table_Main[[#This Row],[Số lượng]],-Table_Main[[#This Row],[Giá bán niêm yết]]*Table_Main[[#This Row],[Số lượng]]))</f>
        <v>0</v>
      </c>
      <c r="AB8" s="230"/>
      <c r="AC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 s="66">
        <f>IFERROR(
VLOOKUP(Table_Main[[#This Row],[Mã SKU]],Table_SKU[[Mã SKU]:[Tỷ suất VAT]],COUNTA(Table_SKU[[#Headers],[Mã SKU]:[Tỷ suất VAT]]),0),0)</f>
        <v>0</v>
      </c>
      <c r="AG8" s="48">
        <f xml:space="preserve">
IF(Table_Main[[#This Row],[Đơn bán]]="", 0,Table_Main[[#This Row],[Tỷ suất VAT]]*Table_Main[[#This Row],[Giá trị bán trước VAT]])</f>
        <v>0</v>
      </c>
      <c r="AH8" s="51">
        <f>IFERROR(VLOOKUP(Table_Main[[#This Row],[Đơn bán]],Table_DonBan[[Mã Đơn bán]:[Add]],COUNTA(Table_DonBan[[#Headers],[Mã Đơn bán]:[Mã NV]]),0),0)</f>
        <v>0</v>
      </c>
      <c r="AI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8" s="48">
        <f>IFERROR(Table_Main[[#This Row],[Giá trị bán trước VAT]]*Table_Main[[#This Row],[Tỷ lệ hoa hồng]],"")</f>
        <v>0</v>
      </c>
      <c r="AK8" s="48">
        <f>IFERROR(VLOOKUP(Table_Main[[#This Row],[Đơn bán]],Table_DonBan[[Mã Đơn bán]:[Add]],COUNTA(Table_DonBan[[#Headers],[Mã Đơn bán]:[Kênh]]),0),0)</f>
        <v>0</v>
      </c>
      <c r="AL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8" s="48">
        <f>IFERROR(Table_Main[[#This Row],[Giá trị bán trước VAT]]*Table_Main[[#This Row],[Tỷ lệ CK kênh]],"")</f>
        <v>0</v>
      </c>
      <c r="AN8" s="230"/>
      <c r="AO8" s="232"/>
      <c r="AP8" s="226">
        <f>Table_Main[[#This Row],[ĐK - Phân loại]]*Table_Main[[#This Row],[ĐK - Thời gian]]*Table_Main[[#This Row],[ĐK - Giá trị]]*Table_Main[[#This Row],[ĐK - Số lượng]]*Table_Main[[#This Row],[ĐK - Sinh nhật]]*Table_Main[[#This Row],[ĐK - Ngày mua cuối]]</f>
        <v>1</v>
      </c>
      <c r="AQ8" s="226">
        <f xml:space="preserve">
IF(ISBLANK(Table_Main[[#This Row],[Chương trình]]),1,
IF(VLOOKUP(Table_Main[[#This Row],[Chương trình]],Table_ChuongTrinh[[Mã Chương trình]:[Đối tượng CK]],Sheet_ChuongTrinh!$C$1,0) = "Sản phẩm",1,0))</f>
        <v>1</v>
      </c>
      <c r="AR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9" spans="1:48" ht="18" customHeight="1" x14ac:dyDescent="0.3">
      <c r="B9" s="523"/>
      <c r="C9" s="238" t="s">
        <v>1152</v>
      </c>
      <c r="D9" s="531" t="str">
        <f>IF(ISBLANK(Table_Main[[#This Row],[Mã SKU]]),Table_Main[[#This Row],[Mã Nguyên liệu]],Table_Main[[#This Row],[Mã SKU]])</f>
        <v>NL2</v>
      </c>
      <c r="E9" s="416" cm="1">
        <f t="array" ref="E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9" s="416" cm="1">
        <f t="array" ref="F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60</v>
      </c>
      <c r="G9" s="416" cm="1">
        <f t="array" ref="G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9523808.4343535677</v>
      </c>
      <c r="H9" s="416" cm="1">
        <f t="array" ref="H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7142856.3257651776</v>
      </c>
      <c r="I9" s="416">
        <f>IFERROR(Table_Main[[#This Row],[Giá trị tồn đầu ngày]]/Table_Main[[#This Row],[Tồn kho đầu ngày]],0)</f>
        <v>119047.60542941959</v>
      </c>
      <c r="J9" s="416">
        <f>IFERROR(Table_Main[[#This Row],[Giá trị tồn cuối ngày]]/Table_Main[[#This Row],[Tồn kho cuối ngày]],0)</f>
        <v>119047.60542941962</v>
      </c>
      <c r="K9" s="411">
        <v>45805</v>
      </c>
      <c r="L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9" s="29">
        <f>IFERROR(MONTH(Table_Main[[#This Row],[Ngày lên đơn]]),0)</f>
        <v>1</v>
      </c>
      <c r="N9" s="51" t="str">
        <f>IF(Table_Main[[#This Row],[Ngày lên đơn]]=0,"",Table_Main[[#This Row],[Ngày xuất nhập]]-Table_Main[[#This Row],[Ngày lên đơn]])</f>
        <v/>
      </c>
      <c r="O9" s="230" t="s">
        <v>53</v>
      </c>
      <c r="P9" s="230" t="s">
        <v>1155</v>
      </c>
      <c r="Q9" s="404">
        <v>20</v>
      </c>
      <c r="R9" s="516"/>
      <c r="S9" s="530">
        <f>IFERROR(VLOOKUP(Table_Main[[#This Row],[Đơn Mua]],Table_DonMua[[Mã Đơn mua]:[Add]],COUNTA(Table_DonMua[[#Headers],[Mã Đơn mua]:[Mã Đối tác]]),0),0)</f>
        <v>0</v>
      </c>
      <c r="T9" s="405"/>
      <c r="U9" s="48">
        <f xml:space="preserve">
IF(NOT(ISBLANK(Table_Main[[#This Row],[Đơn Mua]])),Table_Main[[#This Row],[Số lượng]]*Table_Main[[#This Row],[Giá nhập]],Table_Main[[#This Row],[Số lượng]]*Table_Main[[#This Row],[Giá trị bình quân đầu ngày]])</f>
        <v>2380952.1085883919</v>
      </c>
      <c r="V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9" s="48">
        <f>IF(Table_Main[[#This Row],[Đơn Mua]]="", 0,IFERROR(Table_Main[[#This Row],[Tỷ suất VAT khấu trừ]]*(Table_Main[[#This Row],[Giá trị hàng nhập]]/(1+Table_Main[[#This Row],[Tỷ suất VAT khấu trừ]])),0))</f>
        <v>0</v>
      </c>
      <c r="X9" s="516"/>
      <c r="Y9" s="28">
        <f>IFERROR(VLOOKUP(Table_Main[[#This Row],[Đơn bán]],Table_DonBan[[Mã Đơn bán]:[Add]],COUNTA(Table_DonBan[[#Headers],[Mã Đơn bán]:[Mã Khách]]),0),0)</f>
        <v>0</v>
      </c>
      <c r="Z9" s="48">
        <f>IF(ISBLANK(Table_Main[[#This Row],[Đơn bán]]),0,
VLOOKUP(Table_Main[[#This Row],[Mã SKU]],Table_SKU[[Mã SKU]:[Giá bán]],COUNTA(Table_SKU[[#Headers],[Mã SKU]:[Giá bán]]),0))</f>
        <v>0</v>
      </c>
      <c r="AA9" s="48">
        <f>IF(ISBLANK(Table_Main[[#This Row],[Đơn bán]]),0,
IF(Table_Main[[#This Row],[Loại]] = "Xuất",Table_Main[[#This Row],[Giá bán niêm yết]]*Table_Main[[#This Row],[Số lượng]],-Table_Main[[#This Row],[Giá bán niêm yết]]*Table_Main[[#This Row],[Số lượng]]))</f>
        <v>0</v>
      </c>
      <c r="AB9" s="230"/>
      <c r="AC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9" s="66">
        <f>IFERROR(
VLOOKUP(Table_Main[[#This Row],[Mã SKU]],Table_SKU[[Mã SKU]:[Tỷ suất VAT]],COUNTA(Table_SKU[[#Headers],[Mã SKU]:[Tỷ suất VAT]]),0),0)</f>
        <v>0</v>
      </c>
      <c r="AG9" s="48">
        <f xml:space="preserve">
IF(Table_Main[[#This Row],[Đơn bán]]="", 0,Table_Main[[#This Row],[Tỷ suất VAT]]*Table_Main[[#This Row],[Giá trị bán trước VAT]])</f>
        <v>0</v>
      </c>
      <c r="AH9" s="51">
        <f>IFERROR(VLOOKUP(Table_Main[[#This Row],[Đơn bán]],Table_DonBan[[Mã Đơn bán]:[Add]],COUNTA(Table_DonBan[[#Headers],[Mã Đơn bán]:[Mã NV]]),0),0)</f>
        <v>0</v>
      </c>
      <c r="AI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9" s="48">
        <f>IFERROR(Table_Main[[#This Row],[Giá trị bán trước VAT]]*Table_Main[[#This Row],[Tỷ lệ hoa hồng]],"")</f>
        <v>0</v>
      </c>
      <c r="AK9" s="48">
        <f>IFERROR(VLOOKUP(Table_Main[[#This Row],[Đơn bán]],Table_DonBan[[Mã Đơn bán]:[Add]],COUNTA(Table_DonBan[[#Headers],[Mã Đơn bán]:[Kênh]]),0),0)</f>
        <v>0</v>
      </c>
      <c r="AL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9" s="48">
        <f>IFERROR(Table_Main[[#This Row],[Giá trị bán trước VAT]]*Table_Main[[#This Row],[Tỷ lệ CK kênh]],"")</f>
        <v>0</v>
      </c>
      <c r="AN9" s="230"/>
      <c r="AO9" s="232"/>
      <c r="AP9" s="226">
        <f>Table_Main[[#This Row],[ĐK - Phân loại]]*Table_Main[[#This Row],[ĐK - Thời gian]]*Table_Main[[#This Row],[ĐK - Giá trị]]*Table_Main[[#This Row],[ĐK - Số lượng]]*Table_Main[[#This Row],[ĐK - Sinh nhật]]*Table_Main[[#This Row],[ĐK - Ngày mua cuối]]</f>
        <v>1</v>
      </c>
      <c r="AQ9" s="226">
        <f xml:space="preserve">
IF(ISBLANK(Table_Main[[#This Row],[Chương trình]]),1,
IF(VLOOKUP(Table_Main[[#This Row],[Chương trình]],Table_ChuongTrinh[[Mã Chương trình]:[Đối tượng CK]],Sheet_ChuongTrinh!$C$1,0) = "Sản phẩm",1,0))</f>
        <v>1</v>
      </c>
      <c r="AR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0" spans="1:48" ht="18" customHeight="1" x14ac:dyDescent="0.3">
      <c r="B10" s="523"/>
      <c r="C10" s="238" t="s">
        <v>1152</v>
      </c>
      <c r="D10" s="531" t="str">
        <f>IF(ISBLANK(Table_Main[[#This Row],[Mã SKU]]),Table_Main[[#This Row],[Mã Nguyên liệu]],Table_Main[[#This Row],[Mã SKU]])</f>
        <v>NL2</v>
      </c>
      <c r="E10" s="416" cm="1">
        <f t="array" ref="E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v>
      </c>
      <c r="F10" s="416" cm="1">
        <f t="array" ref="F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10" s="416" cm="1">
        <f t="array" ref="G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7142856.3257651776</v>
      </c>
      <c r="H10" s="416" cm="1">
        <f t="array" ref="H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11334764.325765178</v>
      </c>
      <c r="I10" s="416">
        <f>IFERROR(Table_Main[[#This Row],[Giá trị tồn đầu ngày]]/Table_Main[[#This Row],[Tồn kho đầu ngày]],0)</f>
        <v>119047.60542941962</v>
      </c>
      <c r="J10" s="416">
        <f>IFERROR(Table_Main[[#This Row],[Giá trị tồn cuối ngày]]/Table_Main[[#This Row],[Tồn kho cuối ngày]],0)</f>
        <v>128804.14006551338</v>
      </c>
      <c r="K10" s="411">
        <v>45807</v>
      </c>
      <c r="L10" s="47">
        <f xml:space="preserve">
IFERROR(
IFERROR(
VLOOKUP(Table_Main[[#This Row],[Đơn Mua]],Table_DonMua[[Mã Đơn mua]:[Add]],COUNTA(Table_DonMua[[#Headers],[Mã Đơn mua]:[Ngày lập]]),0),
VLOOKUP(Table_Main[[#This Row],[Đơn bán]],Table_DonBan[[Mã Đơn bán]:[Add]], COUNTA(Table_DonBan[[#Headers],[Mã Đơn bán]:[Ngày lập]]),0)),0)</f>
        <v>45805</v>
      </c>
      <c r="M10" s="29">
        <f>IFERROR(MONTH(Table_Main[[#This Row],[Ngày lên đơn]]),0)</f>
        <v>5</v>
      </c>
      <c r="N10" s="51">
        <f>IF(Table_Main[[#This Row],[Ngày lên đơn]]=0,"",Table_Main[[#This Row],[Ngày xuất nhập]]-Table_Main[[#This Row],[Ngày lên đơn]])</f>
        <v>2</v>
      </c>
      <c r="O10" s="230" t="s">
        <v>1154</v>
      </c>
      <c r="P10" s="230" t="s">
        <v>1155</v>
      </c>
      <c r="Q10" s="404">
        <v>28</v>
      </c>
      <c r="R10" s="516" t="s">
        <v>1179</v>
      </c>
      <c r="S10" s="530" t="str">
        <f>IFERROR(VLOOKUP(Table_Main[[#This Row],[Đơn Mua]],Table_DonMua[[Mã Đơn mua]:[Add]],COUNTA(Table_DonMua[[#Headers],[Mã Đơn mua]:[Mã Đối tác]]),0),0)</f>
        <v>NCC1</v>
      </c>
      <c r="T10" s="405">
        <v>149711</v>
      </c>
      <c r="U10" s="48">
        <f xml:space="preserve">
IF(NOT(ISBLANK(Table_Main[[#This Row],[Đơn Mua]])),Table_Main[[#This Row],[Số lượng]]*Table_Main[[#This Row],[Giá nhập]],Table_Main[[#This Row],[Số lượng]]*Table_Main[[#This Row],[Giá trị bình quân đầu ngày]])</f>
        <v>4191908</v>
      </c>
      <c r="V1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0" s="48">
        <f>IF(Table_Main[[#This Row],[Đơn Mua]]="", 0,IFERROR(Table_Main[[#This Row],[Tỷ suất VAT khấu trừ]]*(Table_Main[[#This Row],[Giá trị hàng nhập]]/(1+Table_Main[[#This Row],[Tỷ suất VAT khấu trừ]])),0))</f>
        <v>0</v>
      </c>
      <c r="X10" s="516"/>
      <c r="Y10" s="28">
        <f>IFERROR(VLOOKUP(Table_Main[[#This Row],[Đơn bán]],Table_DonBan[[Mã Đơn bán]:[Add]],COUNTA(Table_DonBan[[#Headers],[Mã Đơn bán]:[Mã Khách]]),0),0)</f>
        <v>0</v>
      </c>
      <c r="Z10" s="48">
        <f>IF(ISBLANK(Table_Main[[#This Row],[Đơn bán]]),0,
VLOOKUP(Table_Main[[#This Row],[Mã SKU]],Table_SKU[[Mã SKU]:[Giá bán]],COUNTA(Table_SKU[[#Headers],[Mã SKU]:[Giá bán]]),0))</f>
        <v>0</v>
      </c>
      <c r="AA10" s="48">
        <f>IF(ISBLANK(Table_Main[[#This Row],[Đơn bán]]),0,
IF(Table_Main[[#This Row],[Loại]] = "Xuất",Table_Main[[#This Row],[Giá bán niêm yết]]*Table_Main[[#This Row],[Số lượng]],-Table_Main[[#This Row],[Giá bán niêm yết]]*Table_Main[[#This Row],[Số lượng]]))</f>
        <v>0</v>
      </c>
      <c r="AB10" s="230"/>
      <c r="AC1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0" s="66">
        <f>IFERROR(
VLOOKUP(Table_Main[[#This Row],[Mã SKU]],Table_SKU[[Mã SKU]:[Tỷ suất VAT]],COUNTA(Table_SKU[[#Headers],[Mã SKU]:[Tỷ suất VAT]]),0),0)</f>
        <v>0</v>
      </c>
      <c r="AG10" s="48">
        <f xml:space="preserve">
IF(Table_Main[[#This Row],[Đơn bán]]="", 0,Table_Main[[#This Row],[Tỷ suất VAT]]*Table_Main[[#This Row],[Giá trị bán trước VAT]])</f>
        <v>0</v>
      </c>
      <c r="AH10" s="51">
        <f>IFERROR(VLOOKUP(Table_Main[[#This Row],[Đơn bán]],Table_DonBan[[Mã Đơn bán]:[Add]],COUNTA(Table_DonBan[[#Headers],[Mã Đơn bán]:[Mã NV]]),0),0)</f>
        <v>0</v>
      </c>
      <c r="AI1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0" s="48">
        <f>IFERROR(Table_Main[[#This Row],[Giá trị bán trước VAT]]*Table_Main[[#This Row],[Tỷ lệ hoa hồng]],"")</f>
        <v>0</v>
      </c>
      <c r="AK10" s="48">
        <f>IFERROR(VLOOKUP(Table_Main[[#This Row],[Đơn bán]],Table_DonBan[[Mã Đơn bán]:[Add]],COUNTA(Table_DonBan[[#Headers],[Mã Đơn bán]:[Kênh]]),0),0)</f>
        <v>0</v>
      </c>
      <c r="AL1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0" s="48">
        <f>IFERROR(Table_Main[[#This Row],[Giá trị bán trước VAT]]*Table_Main[[#This Row],[Tỷ lệ CK kênh]],"")</f>
        <v>0</v>
      </c>
      <c r="AN10" s="230"/>
      <c r="AO10" s="232"/>
      <c r="AP10" s="226">
        <f>Table_Main[[#This Row],[ĐK - Phân loại]]*Table_Main[[#This Row],[ĐK - Thời gian]]*Table_Main[[#This Row],[ĐK - Giá trị]]*Table_Main[[#This Row],[ĐK - Số lượng]]*Table_Main[[#This Row],[ĐK - Sinh nhật]]*Table_Main[[#This Row],[ĐK - Ngày mua cuối]]</f>
        <v>1</v>
      </c>
      <c r="AQ10" s="226">
        <f xml:space="preserve">
IF(ISBLANK(Table_Main[[#This Row],[Chương trình]]),1,
IF(VLOOKUP(Table_Main[[#This Row],[Chương trình]],Table_ChuongTrinh[[Mã Chương trình]:[Đối tượng CK]],Sheet_ChuongTrinh!$C$1,0) = "Sản phẩm",1,0))</f>
        <v>1</v>
      </c>
      <c r="AR1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1" spans="1:48" ht="18" customHeight="1" x14ac:dyDescent="0.3">
      <c r="B11" s="516" t="s">
        <v>1149</v>
      </c>
      <c r="C11" s="516"/>
      <c r="D11" s="530" t="str">
        <f>IF(ISBLANK(Table_Main[[#This Row],[Mã SKU]]),Table_Main[[#This Row],[Mã Nguyên liệu]],Table_Main[[#This Row],[Mã SKU]])</f>
        <v>HH1</v>
      </c>
      <c r="E11" s="416" cm="1">
        <f t="array" ref="E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37</v>
      </c>
      <c r="F11" s="416" cm="1">
        <f t="array" ref="F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v>
      </c>
      <c r="G11" s="416" cm="1">
        <f t="array" ref="G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2752212.7462686561</v>
      </c>
      <c r="H11" s="416" cm="1">
        <f t="array" ref="H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6022420.7462686561</v>
      </c>
      <c r="I11" s="416">
        <f>IFERROR(Table_Main[[#This Row],[Giá trị tồn đầu ngày]]/Table_Main[[#This Row],[Tồn kho đầu ngày]],0)</f>
        <v>74384.128277531243</v>
      </c>
      <c r="J11" s="416">
        <f>IFERROR(Table_Main[[#This Row],[Giá trị tồn cuối ngày]]/Table_Main[[#This Row],[Tồn kho cuối ngày]],0)</f>
        <v>87281.460090850087</v>
      </c>
      <c r="K11" s="411">
        <v>45805</v>
      </c>
      <c r="L11" s="47">
        <f xml:space="preserve">
IFERROR(
IFERROR(
VLOOKUP(Table_Main[[#This Row],[Đơn Mua]],Table_DonMua[[Mã Đơn mua]:[Add]],COUNTA(Table_DonMua[[#Headers],[Mã Đơn mua]:[Ngày lập]]),0),
VLOOKUP(Table_Main[[#This Row],[Đơn bán]],Table_DonBan[[Mã Đơn bán]:[Add]], COUNTA(Table_DonBan[[#Headers],[Mã Đơn bán]:[Ngày lập]]),0)),0)</f>
        <v>45804</v>
      </c>
      <c r="M11" s="29">
        <f>IFERROR(MONTH(Table_Main[[#This Row],[Ngày lên đơn]]),0)</f>
        <v>5</v>
      </c>
      <c r="N11" s="51">
        <f>IF(Table_Main[[#This Row],[Ngày lên đơn]]=0,"",Table_Main[[#This Row],[Ngày xuất nhập]]-Table_Main[[#This Row],[Ngày lên đơn]])</f>
        <v>1</v>
      </c>
      <c r="O11" s="230" t="s">
        <v>1154</v>
      </c>
      <c r="P11" s="230" t="s">
        <v>1155</v>
      </c>
      <c r="Q11" s="404">
        <v>32</v>
      </c>
      <c r="R11" s="516" t="s">
        <v>1178</v>
      </c>
      <c r="S11" s="530" t="str">
        <f>IFERROR(VLOOKUP(Table_Main[[#This Row],[Đơn Mua]],Table_DonMua[[Mã Đơn mua]:[Add]],COUNTA(Table_DonMua[[#Headers],[Mã Đơn mua]:[Mã Đối tác]]),0),0)</f>
        <v>NCC2</v>
      </c>
      <c r="T11" s="405">
        <v>102194</v>
      </c>
      <c r="U11" s="48">
        <f xml:space="preserve">
IF(NOT(ISBLANK(Table_Main[[#This Row],[Đơn Mua]])),Table_Main[[#This Row],[Số lượng]]*Table_Main[[#This Row],[Giá nhập]],Table_Main[[#This Row],[Số lượng]]*Table_Main[[#This Row],[Giá trị bình quân đầu ngày]])</f>
        <v>3270208</v>
      </c>
      <c r="V1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1" s="48">
        <f>IF(Table_Main[[#This Row],[Đơn Mua]]="", 0,IFERROR(Table_Main[[#This Row],[Tỷ suất VAT khấu trừ]]*(Table_Main[[#This Row],[Giá trị hàng nhập]]/(1+Table_Main[[#This Row],[Tỷ suất VAT khấu trừ]])),0))</f>
        <v>0</v>
      </c>
      <c r="X11" s="516"/>
      <c r="Y11" s="28">
        <f>IFERROR(VLOOKUP(Table_Main[[#This Row],[Đơn bán]],Table_DonBan[[Mã Đơn bán]:[Add]],COUNTA(Table_DonBan[[#Headers],[Mã Đơn bán]:[Mã Khách]]),0),0)</f>
        <v>0</v>
      </c>
      <c r="Z11" s="48">
        <f>IF(ISBLANK(Table_Main[[#This Row],[Đơn bán]]),0,
VLOOKUP(Table_Main[[#This Row],[Mã SKU]],Table_SKU[[Mã SKU]:[Giá bán]],COUNTA(Table_SKU[[#Headers],[Mã SKU]:[Giá bán]]),0))</f>
        <v>0</v>
      </c>
      <c r="AA11" s="48">
        <f>IF(ISBLANK(Table_Main[[#This Row],[Đơn bán]]),0,
IF(Table_Main[[#This Row],[Loại]] = "Xuất",Table_Main[[#This Row],[Giá bán niêm yết]]*Table_Main[[#This Row],[Số lượng]],-Table_Main[[#This Row],[Giá bán niêm yết]]*Table_Main[[#This Row],[Số lượng]]))</f>
        <v>0</v>
      </c>
      <c r="AB11" s="230"/>
      <c r="AC1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1" s="66">
        <f>IFERROR(
VLOOKUP(Table_Main[[#This Row],[Mã SKU]],Table_SKU[[Mã SKU]:[Tỷ suất VAT]],COUNTA(Table_SKU[[#Headers],[Mã SKU]:[Tỷ suất VAT]]),0),0)</f>
        <v>0</v>
      </c>
      <c r="AG11" s="48">
        <f xml:space="preserve">
IF(Table_Main[[#This Row],[Đơn bán]]="", 0,Table_Main[[#This Row],[Tỷ suất VAT]]*Table_Main[[#This Row],[Giá trị bán trước VAT]])</f>
        <v>0</v>
      </c>
      <c r="AH11" s="51">
        <f>IFERROR(VLOOKUP(Table_Main[[#This Row],[Đơn bán]],Table_DonBan[[Mã Đơn bán]:[Add]],COUNTA(Table_DonBan[[#Headers],[Mã Đơn bán]:[Mã NV]]),0),0)</f>
        <v>0</v>
      </c>
      <c r="AI1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1" s="48">
        <f>IFERROR(Table_Main[[#This Row],[Giá trị bán trước VAT]]*Table_Main[[#This Row],[Tỷ lệ hoa hồng]],"")</f>
        <v>0</v>
      </c>
      <c r="AK11" s="48">
        <f>IFERROR(VLOOKUP(Table_Main[[#This Row],[Đơn bán]],Table_DonBan[[Mã Đơn bán]:[Add]],COUNTA(Table_DonBan[[#Headers],[Mã Đơn bán]:[Kênh]]),0),0)</f>
        <v>0</v>
      </c>
      <c r="AL1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1" s="48">
        <f>IFERROR(Table_Main[[#This Row],[Giá trị bán trước VAT]]*Table_Main[[#This Row],[Tỷ lệ CK kênh]],"")</f>
        <v>0</v>
      </c>
      <c r="AN11" s="230"/>
      <c r="AO11" s="232"/>
      <c r="AP11" s="226">
        <f>Table_Main[[#This Row],[ĐK - Phân loại]]*Table_Main[[#This Row],[ĐK - Thời gian]]*Table_Main[[#This Row],[ĐK - Giá trị]]*Table_Main[[#This Row],[ĐK - Số lượng]]*Table_Main[[#This Row],[ĐK - Sinh nhật]]*Table_Main[[#This Row],[ĐK - Ngày mua cuối]]</f>
        <v>1</v>
      </c>
      <c r="AQ11" s="226">
        <f xml:space="preserve">
IF(ISBLANK(Table_Main[[#This Row],[Chương trình]]),1,
IF(VLOOKUP(Table_Main[[#This Row],[Chương trình]],Table_ChuongTrinh[[Mã Chương trình]:[Đối tượng CK]],Sheet_ChuongTrinh!$C$1,0) = "Sản phẩm",1,0))</f>
        <v>1</v>
      </c>
      <c r="AR1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2" spans="1:48" ht="18" customHeight="1" x14ac:dyDescent="0.3">
      <c r="B12" s="523"/>
      <c r="C12" s="238" t="s">
        <v>1152</v>
      </c>
      <c r="D12" s="531" t="str">
        <f>IF(ISBLANK(Table_Main[[#This Row],[Mã SKU]]),Table_Main[[#This Row],[Mã Nguyên liệu]],Table_Main[[#This Row],[Mã SKU]])</f>
        <v>NL2</v>
      </c>
      <c r="E12" s="416" cm="1">
        <f t="array" ref="E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12" s="416" cm="1">
        <f t="array" ref="F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12" s="416" cm="1">
        <f t="array" ref="G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12261903.35923022</v>
      </c>
      <c r="H12" s="416" cm="1">
        <f t="array" ref="H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9523808.4343535677</v>
      </c>
      <c r="I12" s="416">
        <f>IFERROR(Table_Main[[#This Row],[Giá trị tồn đầu ngày]]/Table_Main[[#This Row],[Tồn kho đầu ngày]],0)</f>
        <v>119047.60542941962</v>
      </c>
      <c r="J12" s="416">
        <f>IFERROR(Table_Main[[#This Row],[Giá trị tồn cuối ngày]]/Table_Main[[#This Row],[Tồn kho cuối ngày]],0)</f>
        <v>119047.60542941959</v>
      </c>
      <c r="K12" s="411">
        <v>45804</v>
      </c>
      <c r="L1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2" s="29">
        <f>IFERROR(MONTH(Table_Main[[#This Row],[Ngày lên đơn]]),0)</f>
        <v>1</v>
      </c>
      <c r="N12" s="51" t="str">
        <f>IF(Table_Main[[#This Row],[Ngày lên đơn]]=0,"",Table_Main[[#This Row],[Ngày xuất nhập]]-Table_Main[[#This Row],[Ngày lên đơn]])</f>
        <v/>
      </c>
      <c r="O12" s="230" t="s">
        <v>53</v>
      </c>
      <c r="P12" s="230" t="s">
        <v>1155</v>
      </c>
      <c r="Q12" s="404">
        <v>23</v>
      </c>
      <c r="R12" s="516"/>
      <c r="S12" s="530">
        <f>IFERROR(VLOOKUP(Table_Main[[#This Row],[Đơn Mua]],Table_DonMua[[Mã Đơn mua]:[Add]],COUNTA(Table_DonMua[[#Headers],[Mã Đơn mua]:[Mã Đối tác]]),0),0)</f>
        <v>0</v>
      </c>
      <c r="T12" s="405"/>
      <c r="U12" s="48">
        <f xml:space="preserve">
IF(NOT(ISBLANK(Table_Main[[#This Row],[Đơn Mua]])),Table_Main[[#This Row],[Số lượng]]*Table_Main[[#This Row],[Giá nhập]],Table_Main[[#This Row],[Số lượng]]*Table_Main[[#This Row],[Giá trị bình quân đầu ngày]])</f>
        <v>2738094.9248766513</v>
      </c>
      <c r="V1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2" s="48">
        <f>IF(Table_Main[[#This Row],[Đơn Mua]]="", 0,IFERROR(Table_Main[[#This Row],[Tỷ suất VAT khấu trừ]]*(Table_Main[[#This Row],[Giá trị hàng nhập]]/(1+Table_Main[[#This Row],[Tỷ suất VAT khấu trừ]])),0))</f>
        <v>0</v>
      </c>
      <c r="X12" s="516"/>
      <c r="Y12" s="28">
        <f>IFERROR(VLOOKUP(Table_Main[[#This Row],[Đơn bán]],Table_DonBan[[Mã Đơn bán]:[Add]],COUNTA(Table_DonBan[[#Headers],[Mã Đơn bán]:[Mã Khách]]),0),0)</f>
        <v>0</v>
      </c>
      <c r="Z12" s="48">
        <f>IF(ISBLANK(Table_Main[[#This Row],[Đơn bán]]),0,
VLOOKUP(Table_Main[[#This Row],[Mã SKU]],Table_SKU[[Mã SKU]:[Giá bán]],COUNTA(Table_SKU[[#Headers],[Mã SKU]:[Giá bán]]),0))</f>
        <v>0</v>
      </c>
      <c r="AA12" s="48">
        <f>IF(ISBLANK(Table_Main[[#This Row],[Đơn bán]]),0,
IF(Table_Main[[#This Row],[Loại]] = "Xuất",Table_Main[[#This Row],[Giá bán niêm yết]]*Table_Main[[#This Row],[Số lượng]],-Table_Main[[#This Row],[Giá bán niêm yết]]*Table_Main[[#This Row],[Số lượng]]))</f>
        <v>0</v>
      </c>
      <c r="AB12" s="230"/>
      <c r="AC1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2" s="66">
        <f>IFERROR(
VLOOKUP(Table_Main[[#This Row],[Mã SKU]],Table_SKU[[Mã SKU]:[Tỷ suất VAT]],COUNTA(Table_SKU[[#Headers],[Mã SKU]:[Tỷ suất VAT]]),0),0)</f>
        <v>0</v>
      </c>
      <c r="AG12" s="48">
        <f xml:space="preserve">
IF(Table_Main[[#This Row],[Đơn bán]]="", 0,Table_Main[[#This Row],[Tỷ suất VAT]]*Table_Main[[#This Row],[Giá trị bán trước VAT]])</f>
        <v>0</v>
      </c>
      <c r="AH12" s="51">
        <f>IFERROR(VLOOKUP(Table_Main[[#This Row],[Đơn bán]],Table_DonBan[[Mã Đơn bán]:[Add]],COUNTA(Table_DonBan[[#Headers],[Mã Đơn bán]:[Mã NV]]),0),0)</f>
        <v>0</v>
      </c>
      <c r="AI1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2" s="48">
        <f>IFERROR(Table_Main[[#This Row],[Giá trị bán trước VAT]]*Table_Main[[#This Row],[Tỷ lệ hoa hồng]],"")</f>
        <v>0</v>
      </c>
      <c r="AK12" s="48">
        <f>IFERROR(VLOOKUP(Table_Main[[#This Row],[Đơn bán]],Table_DonBan[[Mã Đơn bán]:[Add]],COUNTA(Table_DonBan[[#Headers],[Mã Đơn bán]:[Kênh]]),0),0)</f>
        <v>0</v>
      </c>
      <c r="AL1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2" s="48">
        <f>IFERROR(Table_Main[[#This Row],[Giá trị bán trước VAT]]*Table_Main[[#This Row],[Tỷ lệ CK kênh]],"")</f>
        <v>0</v>
      </c>
      <c r="AN12" s="230"/>
      <c r="AO12" s="232"/>
      <c r="AP12" s="226">
        <f>Table_Main[[#This Row],[ĐK - Phân loại]]*Table_Main[[#This Row],[ĐK - Thời gian]]*Table_Main[[#This Row],[ĐK - Giá trị]]*Table_Main[[#This Row],[ĐK - Số lượng]]*Table_Main[[#This Row],[ĐK - Sinh nhật]]*Table_Main[[#This Row],[ĐK - Ngày mua cuối]]</f>
        <v>1</v>
      </c>
      <c r="AQ12" s="226">
        <f xml:space="preserve">
IF(ISBLANK(Table_Main[[#This Row],[Chương trình]]),1,
IF(VLOOKUP(Table_Main[[#This Row],[Chương trình]],Table_ChuongTrinh[[Mã Chương trình]:[Đối tượng CK]],Sheet_ChuongTrinh!$C$1,0) = "Sản phẩm",1,0))</f>
        <v>1</v>
      </c>
      <c r="AR1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3" spans="1:48" ht="18" customHeight="1" x14ac:dyDescent="0.3">
      <c r="B13" s="516" t="s">
        <v>1149</v>
      </c>
      <c r="C13" s="516"/>
      <c r="D13" s="530" t="str">
        <f>IF(ISBLANK(Table_Main[[#This Row],[Mã SKU]]),Table_Main[[#This Row],[Mã Nguyên liệu]],Table_Main[[#This Row],[Mã SKU]])</f>
        <v>HH1</v>
      </c>
      <c r="E13" s="416" cm="1">
        <f t="array" ref="E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24</v>
      </c>
      <c r="F13" s="416" cm="1">
        <f t="array" ref="F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37</v>
      </c>
      <c r="G13" s="416" cm="1">
        <f t="array" ref="G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1425692.7462686561</v>
      </c>
      <c r="H13" s="416" cm="1">
        <f t="array" ref="H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2752212.7462686561</v>
      </c>
      <c r="I13" s="416">
        <f>IFERROR(Table_Main[[#This Row],[Giá trị tồn đầu ngày]]/Table_Main[[#This Row],[Tồn kho đầu ngày]],0)</f>
        <v>59403.864427860673</v>
      </c>
      <c r="J13" s="416">
        <f>IFERROR(Table_Main[[#This Row],[Giá trị tồn cuối ngày]]/Table_Main[[#This Row],[Tồn kho cuối ngày]],0)</f>
        <v>74384.128277531243</v>
      </c>
      <c r="K13" s="411">
        <v>45802</v>
      </c>
      <c r="L13" s="47">
        <f xml:space="preserve">
IFERROR(
IFERROR(
VLOOKUP(Table_Main[[#This Row],[Đơn Mua]],Table_DonMua[[Mã Đơn mua]:[Add]],COUNTA(Table_DonMua[[#Headers],[Mã Đơn mua]:[Ngày lập]]),0),
VLOOKUP(Table_Main[[#This Row],[Đơn bán]],Table_DonBan[[Mã Đơn bán]:[Add]], COUNTA(Table_DonBan[[#Headers],[Mã Đơn bán]:[Ngày lập]]),0)),0)</f>
        <v>45802</v>
      </c>
      <c r="M13" s="29">
        <f>IFERROR(MONTH(Table_Main[[#This Row],[Ngày lên đơn]]),0)</f>
        <v>5</v>
      </c>
      <c r="N13" s="51">
        <f>IF(Table_Main[[#This Row],[Ngày lên đơn]]=0,"",Table_Main[[#This Row],[Ngày xuất nhập]]-Table_Main[[#This Row],[Ngày lên đơn]])</f>
        <v>0</v>
      </c>
      <c r="O13" s="230" t="s">
        <v>1154</v>
      </c>
      <c r="P13" s="230" t="s">
        <v>1155</v>
      </c>
      <c r="Q13" s="404">
        <v>13</v>
      </c>
      <c r="R13" s="516" t="s">
        <v>1177</v>
      </c>
      <c r="S13" s="530" t="str">
        <f>IFERROR(VLOOKUP(Table_Main[[#This Row],[Đơn Mua]],Table_DonMua[[Mã Đơn mua]:[Add]],COUNTA(Table_DonMua[[#Headers],[Mã Đơn mua]:[Mã Đối tác]]),0),0)</f>
        <v>NCC3</v>
      </c>
      <c r="T13" s="405">
        <v>102040</v>
      </c>
      <c r="U13" s="48">
        <f xml:space="preserve">
IF(NOT(ISBLANK(Table_Main[[#This Row],[Đơn Mua]])),Table_Main[[#This Row],[Số lượng]]*Table_Main[[#This Row],[Giá nhập]],Table_Main[[#This Row],[Số lượng]]*Table_Main[[#This Row],[Giá trị bình quân đầu ngày]])</f>
        <v>1326520</v>
      </c>
      <c r="V1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3" s="48">
        <f>IF(Table_Main[[#This Row],[Đơn Mua]]="", 0,IFERROR(Table_Main[[#This Row],[Tỷ suất VAT khấu trừ]]*(Table_Main[[#This Row],[Giá trị hàng nhập]]/(1+Table_Main[[#This Row],[Tỷ suất VAT khấu trừ]])),0))</f>
        <v>0</v>
      </c>
      <c r="X13" s="516"/>
      <c r="Y13" s="28">
        <f>IFERROR(VLOOKUP(Table_Main[[#This Row],[Đơn bán]],Table_DonBan[[Mã Đơn bán]:[Add]],COUNTA(Table_DonBan[[#Headers],[Mã Đơn bán]:[Mã Khách]]),0),0)</f>
        <v>0</v>
      </c>
      <c r="Z13" s="48">
        <f>IF(ISBLANK(Table_Main[[#This Row],[Đơn bán]]),0,
VLOOKUP(Table_Main[[#This Row],[Mã SKU]],Table_SKU[[Mã SKU]:[Giá bán]],COUNTA(Table_SKU[[#Headers],[Mã SKU]:[Giá bán]]),0))</f>
        <v>0</v>
      </c>
      <c r="AA13" s="48">
        <f>IF(ISBLANK(Table_Main[[#This Row],[Đơn bán]]),0,
IF(Table_Main[[#This Row],[Loại]] = "Xuất",Table_Main[[#This Row],[Giá bán niêm yết]]*Table_Main[[#This Row],[Số lượng]],-Table_Main[[#This Row],[Giá bán niêm yết]]*Table_Main[[#This Row],[Số lượng]]))</f>
        <v>0</v>
      </c>
      <c r="AB13" s="230"/>
      <c r="AC1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3" s="66">
        <f>IFERROR(
VLOOKUP(Table_Main[[#This Row],[Mã SKU]],Table_SKU[[Mã SKU]:[Tỷ suất VAT]],COUNTA(Table_SKU[[#Headers],[Mã SKU]:[Tỷ suất VAT]]),0),0)</f>
        <v>0</v>
      </c>
      <c r="AG13" s="48">
        <f xml:space="preserve">
IF(Table_Main[[#This Row],[Đơn bán]]="", 0,Table_Main[[#This Row],[Tỷ suất VAT]]*Table_Main[[#This Row],[Giá trị bán trước VAT]])</f>
        <v>0</v>
      </c>
      <c r="AH13" s="51">
        <f>IFERROR(VLOOKUP(Table_Main[[#This Row],[Đơn bán]],Table_DonBan[[Mã Đơn bán]:[Add]],COUNTA(Table_DonBan[[#Headers],[Mã Đơn bán]:[Mã NV]]),0),0)</f>
        <v>0</v>
      </c>
      <c r="AI1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3" s="48">
        <f>IFERROR(Table_Main[[#This Row],[Giá trị bán trước VAT]]*Table_Main[[#This Row],[Tỷ lệ hoa hồng]],"")</f>
        <v>0</v>
      </c>
      <c r="AK13" s="48">
        <f>IFERROR(VLOOKUP(Table_Main[[#This Row],[Đơn bán]],Table_DonBan[[Mã Đơn bán]:[Add]],COUNTA(Table_DonBan[[#Headers],[Mã Đơn bán]:[Kênh]]),0),0)</f>
        <v>0</v>
      </c>
      <c r="AL1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3" s="48">
        <f>IFERROR(Table_Main[[#This Row],[Giá trị bán trước VAT]]*Table_Main[[#This Row],[Tỷ lệ CK kênh]],"")</f>
        <v>0</v>
      </c>
      <c r="AN13" s="230"/>
      <c r="AO13" s="232"/>
      <c r="AP13" s="226">
        <f>Table_Main[[#This Row],[ĐK - Phân loại]]*Table_Main[[#This Row],[ĐK - Thời gian]]*Table_Main[[#This Row],[ĐK - Giá trị]]*Table_Main[[#This Row],[ĐK - Số lượng]]*Table_Main[[#This Row],[ĐK - Sinh nhật]]*Table_Main[[#This Row],[ĐK - Ngày mua cuối]]</f>
        <v>1</v>
      </c>
      <c r="AQ13" s="226">
        <f xml:space="preserve">
IF(ISBLANK(Table_Main[[#This Row],[Chương trình]]),1,
IF(VLOOKUP(Table_Main[[#This Row],[Chương trình]],Table_ChuongTrinh[[Mã Chương trình]:[Đối tượng CK]],Sheet_ChuongTrinh!$C$1,0) = "Sản phẩm",1,0))</f>
        <v>1</v>
      </c>
      <c r="AR1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4" spans="1:48" ht="18" customHeight="1" x14ac:dyDescent="0.3">
      <c r="B14" s="523"/>
      <c r="C14" s="238" t="s">
        <v>1152</v>
      </c>
      <c r="D14" s="531" t="str">
        <f>IF(ISBLANK(Table_Main[[#This Row],[Mã SKU]]),Table_Main[[#This Row],[Mã Nguyên liệu]],Table_Main[[#This Row],[Mã SKU]])</f>
        <v>NL2</v>
      </c>
      <c r="E14" s="416" cm="1">
        <f t="array" ref="E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14" s="416" cm="1">
        <f t="array" ref="F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14" s="416" cm="1">
        <f t="array" ref="G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9873231.3592302203</v>
      </c>
      <c r="H14" s="416" cm="1">
        <f t="array" ref="H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12261903.35923022</v>
      </c>
      <c r="I14" s="416">
        <f>IFERROR(Table_Main[[#This Row],[Giá trị tồn đầu ngày]]/Table_Main[[#This Row],[Tồn kho đầu ngày]],0)</f>
        <v>124977.61214215468</v>
      </c>
      <c r="J14" s="416">
        <f>IFERROR(Table_Main[[#This Row],[Giá trị tồn cuối ngày]]/Table_Main[[#This Row],[Tồn kho cuối ngày]],0)</f>
        <v>119047.60542941962</v>
      </c>
      <c r="K14" s="411">
        <v>45802</v>
      </c>
      <c r="L14" s="47">
        <f xml:space="preserve">
IFERROR(
IFERROR(
VLOOKUP(Table_Main[[#This Row],[Đơn Mua]],Table_DonMua[[Mã Đơn mua]:[Add]],COUNTA(Table_DonMua[[#Headers],[Mã Đơn mua]:[Ngày lập]]),0),
VLOOKUP(Table_Main[[#This Row],[Đơn bán]],Table_DonBan[[Mã Đơn bán]:[Add]], COUNTA(Table_DonBan[[#Headers],[Mã Đơn bán]:[Ngày lập]]),0)),0)</f>
        <v>45800</v>
      </c>
      <c r="M14" s="29">
        <f>IFERROR(MONTH(Table_Main[[#This Row],[Ngày lên đơn]]),0)</f>
        <v>5</v>
      </c>
      <c r="N14" s="51">
        <f>IF(Table_Main[[#This Row],[Ngày lên đơn]]=0,"",Table_Main[[#This Row],[Ngày xuất nhập]]-Table_Main[[#This Row],[Ngày lên đơn]])</f>
        <v>2</v>
      </c>
      <c r="O14" s="230" t="s">
        <v>1154</v>
      </c>
      <c r="P14" s="230" t="s">
        <v>1155</v>
      </c>
      <c r="Q14" s="404">
        <v>24</v>
      </c>
      <c r="R14" s="516" t="s">
        <v>1176</v>
      </c>
      <c r="S14" s="530" t="str">
        <f>IFERROR(VLOOKUP(Table_Main[[#This Row],[Đơn Mua]],Table_DonMua[[Mã Đơn mua]:[Add]],COUNTA(Table_DonMua[[#Headers],[Mã Đơn mua]:[Mã Đối tác]]),0),0)</f>
        <v>NCC2</v>
      </c>
      <c r="T14" s="405">
        <v>99528</v>
      </c>
      <c r="U14" s="48">
        <f xml:space="preserve">
IF(NOT(ISBLANK(Table_Main[[#This Row],[Đơn Mua]])),Table_Main[[#This Row],[Số lượng]]*Table_Main[[#This Row],[Giá nhập]],Table_Main[[#This Row],[Số lượng]]*Table_Main[[#This Row],[Giá trị bình quân đầu ngày]])</f>
        <v>2388672</v>
      </c>
      <c r="V1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4" s="48">
        <f>IF(Table_Main[[#This Row],[Đơn Mua]]="", 0,IFERROR(Table_Main[[#This Row],[Tỷ suất VAT khấu trừ]]*(Table_Main[[#This Row],[Giá trị hàng nhập]]/(1+Table_Main[[#This Row],[Tỷ suất VAT khấu trừ]])),0))</f>
        <v>0</v>
      </c>
      <c r="X14" s="516"/>
      <c r="Y14" s="28">
        <f>IFERROR(VLOOKUP(Table_Main[[#This Row],[Đơn bán]],Table_DonBan[[Mã Đơn bán]:[Add]],COUNTA(Table_DonBan[[#Headers],[Mã Đơn bán]:[Mã Khách]]),0),0)</f>
        <v>0</v>
      </c>
      <c r="Z14" s="48">
        <f>IF(ISBLANK(Table_Main[[#This Row],[Đơn bán]]),0,
VLOOKUP(Table_Main[[#This Row],[Mã SKU]],Table_SKU[[Mã SKU]:[Giá bán]],COUNTA(Table_SKU[[#Headers],[Mã SKU]:[Giá bán]]),0))</f>
        <v>0</v>
      </c>
      <c r="AA14" s="48">
        <f>IF(ISBLANK(Table_Main[[#This Row],[Đơn bán]]),0,
IF(Table_Main[[#This Row],[Loại]] = "Xuất",Table_Main[[#This Row],[Giá bán niêm yết]]*Table_Main[[#This Row],[Số lượng]],-Table_Main[[#This Row],[Giá bán niêm yết]]*Table_Main[[#This Row],[Số lượng]]))</f>
        <v>0</v>
      </c>
      <c r="AB14" s="230"/>
      <c r="AC1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4" s="66">
        <f>IFERROR(
VLOOKUP(Table_Main[[#This Row],[Mã SKU]],Table_SKU[[Mã SKU]:[Tỷ suất VAT]],COUNTA(Table_SKU[[#Headers],[Mã SKU]:[Tỷ suất VAT]]),0),0)</f>
        <v>0</v>
      </c>
      <c r="AG14" s="48">
        <f xml:space="preserve">
IF(Table_Main[[#This Row],[Đơn bán]]="", 0,Table_Main[[#This Row],[Tỷ suất VAT]]*Table_Main[[#This Row],[Giá trị bán trước VAT]])</f>
        <v>0</v>
      </c>
      <c r="AH14" s="51">
        <f>IFERROR(VLOOKUP(Table_Main[[#This Row],[Đơn bán]],Table_DonBan[[Mã Đơn bán]:[Add]],COUNTA(Table_DonBan[[#Headers],[Mã Đơn bán]:[Mã NV]]),0),0)</f>
        <v>0</v>
      </c>
      <c r="AI1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4" s="48">
        <f>IFERROR(Table_Main[[#This Row],[Giá trị bán trước VAT]]*Table_Main[[#This Row],[Tỷ lệ hoa hồng]],"")</f>
        <v>0</v>
      </c>
      <c r="AK14" s="48">
        <f>IFERROR(VLOOKUP(Table_Main[[#This Row],[Đơn bán]],Table_DonBan[[Mã Đơn bán]:[Add]],COUNTA(Table_DonBan[[#Headers],[Mã Đơn bán]:[Kênh]]),0),0)</f>
        <v>0</v>
      </c>
      <c r="AL1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4" s="48">
        <f>IFERROR(Table_Main[[#This Row],[Giá trị bán trước VAT]]*Table_Main[[#This Row],[Tỷ lệ CK kênh]],"")</f>
        <v>0</v>
      </c>
      <c r="AN14" s="230"/>
      <c r="AO14" s="232"/>
      <c r="AP14" s="226">
        <f>Table_Main[[#This Row],[ĐK - Phân loại]]*Table_Main[[#This Row],[ĐK - Thời gian]]*Table_Main[[#This Row],[ĐK - Giá trị]]*Table_Main[[#This Row],[ĐK - Số lượng]]*Table_Main[[#This Row],[ĐK - Sinh nhật]]*Table_Main[[#This Row],[ĐK - Ngày mua cuối]]</f>
        <v>1</v>
      </c>
      <c r="AQ14" s="226">
        <f xml:space="preserve">
IF(ISBLANK(Table_Main[[#This Row],[Chương trình]]),1,
IF(VLOOKUP(Table_Main[[#This Row],[Chương trình]],Table_ChuongTrinh[[Mã Chương trình]:[Đối tượng CK]],Sheet_ChuongTrinh!$C$1,0) = "Sản phẩm",1,0))</f>
        <v>1</v>
      </c>
      <c r="AR1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5" spans="1:48" ht="18" customHeight="1" x14ac:dyDescent="0.3">
      <c r="B15" s="523"/>
      <c r="C15" s="238" t="s">
        <v>1153</v>
      </c>
      <c r="D15" s="531" t="str">
        <f>IF(ISBLANK(Table_Main[[#This Row],[Mã SKU]]),Table_Main[[#This Row],[Mã Nguyên liệu]],Table_Main[[#This Row],[Mã SKU]])</f>
        <v>NL1</v>
      </c>
      <c r="E15" s="416" cm="1">
        <f t="array" ref="E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141</v>
      </c>
      <c r="F15" s="416" cm="1">
        <f t="array" ref="F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176</v>
      </c>
      <c r="G15" s="416" cm="1">
        <f t="array" ref="G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13713177.469611529</v>
      </c>
      <c r="H15" s="416" cm="1">
        <f t="array" ref="H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18693607.469611529</v>
      </c>
      <c r="I15" s="416">
        <f>IFERROR(Table_Main[[#This Row],[Giá trị tồn đầu ngày]]/Table_Main[[#This Row],[Tồn kho đầu ngày]],0)</f>
        <v>97256.577798663333</v>
      </c>
      <c r="J15" s="416">
        <f>IFERROR(Table_Main[[#This Row],[Giá trị tồn cuối ngày]]/Table_Main[[#This Row],[Tồn kho cuối ngày]],0)</f>
        <v>106213.67880461096</v>
      </c>
      <c r="K15" s="411">
        <v>45799</v>
      </c>
      <c r="L15" s="47">
        <f xml:space="preserve">
IFERROR(
IFERROR(
VLOOKUP(Table_Main[[#This Row],[Đơn Mua]],Table_DonMua[[Mã Đơn mua]:[Add]],COUNTA(Table_DonMua[[#Headers],[Mã Đơn mua]:[Ngày lập]]),0),
VLOOKUP(Table_Main[[#This Row],[Đơn bán]],Table_DonBan[[Mã Đơn bán]:[Add]], COUNTA(Table_DonBan[[#Headers],[Mã Đơn bán]:[Ngày lập]]),0)),0)</f>
        <v>45797</v>
      </c>
      <c r="M15" s="29">
        <f>IFERROR(MONTH(Table_Main[[#This Row],[Ngày lên đơn]]),0)</f>
        <v>5</v>
      </c>
      <c r="N15" s="51">
        <f>IF(Table_Main[[#This Row],[Ngày lên đơn]]=0,"",Table_Main[[#This Row],[Ngày xuất nhập]]-Table_Main[[#This Row],[Ngày lên đơn]])</f>
        <v>2</v>
      </c>
      <c r="O15" s="230" t="s">
        <v>1154</v>
      </c>
      <c r="P15" s="230" t="s">
        <v>1155</v>
      </c>
      <c r="Q15" s="404">
        <v>35</v>
      </c>
      <c r="R15" s="516" t="s">
        <v>1175</v>
      </c>
      <c r="S15" s="530" t="str">
        <f>IFERROR(VLOOKUP(Table_Main[[#This Row],[Đơn Mua]],Table_DonMua[[Mã Đơn mua]:[Add]],COUNTA(Table_DonMua[[#Headers],[Mã Đơn mua]:[Mã Đối tác]]),0),0)</f>
        <v>NCC2</v>
      </c>
      <c r="T15" s="405">
        <v>142298</v>
      </c>
      <c r="U15" s="48">
        <f xml:space="preserve">
IF(NOT(ISBLANK(Table_Main[[#This Row],[Đơn Mua]])),Table_Main[[#This Row],[Số lượng]]*Table_Main[[#This Row],[Giá nhập]],Table_Main[[#This Row],[Số lượng]]*Table_Main[[#This Row],[Giá trị bình quân đầu ngày]])</f>
        <v>4980430</v>
      </c>
      <c r="V1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5" s="48">
        <f>IF(Table_Main[[#This Row],[Đơn Mua]]="", 0,IFERROR(Table_Main[[#This Row],[Tỷ suất VAT khấu trừ]]*(Table_Main[[#This Row],[Giá trị hàng nhập]]/(1+Table_Main[[#This Row],[Tỷ suất VAT khấu trừ]])),0))</f>
        <v>0</v>
      </c>
      <c r="X15" s="516"/>
      <c r="Y15" s="28">
        <f>IFERROR(VLOOKUP(Table_Main[[#This Row],[Đơn bán]],Table_DonBan[[Mã Đơn bán]:[Add]],COUNTA(Table_DonBan[[#Headers],[Mã Đơn bán]:[Mã Khách]]),0),0)</f>
        <v>0</v>
      </c>
      <c r="Z15" s="48">
        <f>IF(ISBLANK(Table_Main[[#This Row],[Đơn bán]]),0,
VLOOKUP(Table_Main[[#This Row],[Mã SKU]],Table_SKU[[Mã SKU]:[Giá bán]],COUNTA(Table_SKU[[#Headers],[Mã SKU]:[Giá bán]]),0))</f>
        <v>0</v>
      </c>
      <c r="AA15" s="48">
        <f>IF(ISBLANK(Table_Main[[#This Row],[Đơn bán]]),0,
IF(Table_Main[[#This Row],[Loại]] = "Xuất",Table_Main[[#This Row],[Giá bán niêm yết]]*Table_Main[[#This Row],[Số lượng]],-Table_Main[[#This Row],[Giá bán niêm yết]]*Table_Main[[#This Row],[Số lượng]]))</f>
        <v>0</v>
      </c>
      <c r="AB15" s="230"/>
      <c r="AC1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5" s="66">
        <f>IFERROR(
VLOOKUP(Table_Main[[#This Row],[Mã SKU]],Table_SKU[[Mã SKU]:[Tỷ suất VAT]],COUNTA(Table_SKU[[#Headers],[Mã SKU]:[Tỷ suất VAT]]),0),0)</f>
        <v>0</v>
      </c>
      <c r="AG15" s="48">
        <f xml:space="preserve">
IF(Table_Main[[#This Row],[Đơn bán]]="", 0,Table_Main[[#This Row],[Tỷ suất VAT]]*Table_Main[[#This Row],[Giá trị bán trước VAT]])</f>
        <v>0</v>
      </c>
      <c r="AH15" s="51">
        <f>IFERROR(VLOOKUP(Table_Main[[#This Row],[Đơn bán]],Table_DonBan[[Mã Đơn bán]:[Add]],COUNTA(Table_DonBan[[#Headers],[Mã Đơn bán]:[Mã NV]]),0),0)</f>
        <v>0</v>
      </c>
      <c r="AI1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5" s="48">
        <f>IFERROR(Table_Main[[#This Row],[Giá trị bán trước VAT]]*Table_Main[[#This Row],[Tỷ lệ hoa hồng]],"")</f>
        <v>0</v>
      </c>
      <c r="AK15" s="48">
        <f>IFERROR(VLOOKUP(Table_Main[[#This Row],[Đơn bán]],Table_DonBan[[Mã Đơn bán]:[Add]],COUNTA(Table_DonBan[[#Headers],[Mã Đơn bán]:[Kênh]]),0),0)</f>
        <v>0</v>
      </c>
      <c r="AL1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5" s="48">
        <f>IFERROR(Table_Main[[#This Row],[Giá trị bán trước VAT]]*Table_Main[[#This Row],[Tỷ lệ CK kênh]],"")</f>
        <v>0</v>
      </c>
      <c r="AN15" s="230"/>
      <c r="AO15" s="232"/>
      <c r="AP15" s="226">
        <f>Table_Main[[#This Row],[ĐK - Phân loại]]*Table_Main[[#This Row],[ĐK - Thời gian]]*Table_Main[[#This Row],[ĐK - Giá trị]]*Table_Main[[#This Row],[ĐK - Số lượng]]*Table_Main[[#This Row],[ĐK - Sinh nhật]]*Table_Main[[#This Row],[ĐK - Ngày mua cuối]]</f>
        <v>1</v>
      </c>
      <c r="AQ15" s="226">
        <f xml:space="preserve">
IF(ISBLANK(Table_Main[[#This Row],[Chương trình]]),1,
IF(VLOOKUP(Table_Main[[#This Row],[Chương trình]],Table_ChuongTrinh[[Mã Chương trình]:[Đối tượng CK]],Sheet_ChuongTrinh!$C$1,0) = "Sản phẩm",1,0))</f>
        <v>1</v>
      </c>
      <c r="AR1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6" spans="1:48" ht="18" customHeight="1" x14ac:dyDescent="0.3">
      <c r="B16" s="516" t="s">
        <v>1150</v>
      </c>
      <c r="C16" s="516"/>
      <c r="D16" s="530" t="str">
        <f>IF(ISBLANK(Table_Main[[#This Row],[Mã SKU]]),Table_Main[[#This Row],[Mã Nguyên liệu]],Table_Main[[#This Row],[Mã SKU]])</f>
        <v>TP1</v>
      </c>
      <c r="E16" s="416" cm="1">
        <f t="array" ref="E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v>
      </c>
      <c r="F16" s="416" cm="1">
        <f t="array" ref="F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16" s="416" cm="1">
        <f t="array" ref="G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6" s="416" cm="1">
        <f t="array" ref="H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6" s="416">
        <f>IFERROR(Table_Main[[#This Row],[Giá trị tồn đầu ngày]]/Table_Main[[#This Row],[Tồn kho đầu ngày]],0)</f>
        <v>0</v>
      </c>
      <c r="J16" s="416">
        <f>IFERROR(Table_Main[[#This Row],[Giá trị tồn cuối ngày]]/Table_Main[[#This Row],[Tồn kho cuối ngày]],0)</f>
        <v>0</v>
      </c>
      <c r="K16" s="411">
        <v>45796</v>
      </c>
      <c r="L16" s="47">
        <f xml:space="preserve">
IFERROR(
IFERROR(
VLOOKUP(Table_Main[[#This Row],[Đơn Mua]],Table_DonMua[[Mã Đơn mua]:[Add]],COUNTA(Table_DonMua[[#Headers],[Mã Đơn mua]:[Ngày lập]]),0),
VLOOKUP(Table_Main[[#This Row],[Đơn bán]],Table_DonBan[[Mã Đơn bán]:[Add]], COUNTA(Table_DonBan[[#Headers],[Mã Đơn bán]:[Ngày lập]]),0)),0)</f>
        <v>45796</v>
      </c>
      <c r="M16" s="29">
        <f>IFERROR(MONTH(Table_Main[[#This Row],[Ngày lên đơn]]),0)</f>
        <v>5</v>
      </c>
      <c r="N16" s="51">
        <f>IF(Table_Main[[#This Row],[Ngày lên đơn]]=0,"",Table_Main[[#This Row],[Ngày xuất nhập]]-Table_Main[[#This Row],[Ngày lên đơn]])</f>
        <v>0</v>
      </c>
      <c r="O16" s="230" t="s">
        <v>53</v>
      </c>
      <c r="P16" s="230" t="s">
        <v>1155</v>
      </c>
      <c r="Q16" s="404">
        <v>34</v>
      </c>
      <c r="R16" s="516"/>
      <c r="S16" s="530">
        <f>IFERROR(VLOOKUP(Table_Main[[#This Row],[Đơn Mua]],Table_DonMua[[Mã Đơn mua]:[Add]],COUNTA(Table_DonMua[[#Headers],[Mã Đơn mua]:[Mã Đối tác]]),0),0)</f>
        <v>0</v>
      </c>
      <c r="T16" s="405"/>
      <c r="U16" s="48">
        <f xml:space="preserve">
IF(NOT(ISBLANK(Table_Main[[#This Row],[Đơn Mua]])),Table_Main[[#This Row],[Số lượng]]*Table_Main[[#This Row],[Giá nhập]],Table_Main[[#This Row],[Số lượng]]*Table_Main[[#This Row],[Giá trị bình quân đầu ngày]])</f>
        <v>0</v>
      </c>
      <c r="V1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6" s="48">
        <f>IF(Table_Main[[#This Row],[Đơn Mua]]="", 0,IFERROR(Table_Main[[#This Row],[Tỷ suất VAT khấu trừ]]*(Table_Main[[#This Row],[Giá trị hàng nhập]]/(1+Table_Main[[#This Row],[Tỷ suất VAT khấu trừ]])),0))</f>
        <v>0</v>
      </c>
      <c r="X16" s="516" t="s">
        <v>1220</v>
      </c>
      <c r="Y16" s="28" t="str">
        <f>IFERROR(VLOOKUP(Table_Main[[#This Row],[Đơn bán]],Table_DonBan[[Mã Đơn bán]:[Add]],COUNTA(Table_DonBan[[#Headers],[Mã Đơn bán]:[Mã Khách]]),0),0)</f>
        <v>KH1</v>
      </c>
      <c r="Z16" s="48">
        <f>IF(ISBLANK(Table_Main[[#This Row],[Đơn bán]]),0,
VLOOKUP(Table_Main[[#This Row],[Mã SKU]],Table_SKU[[Mã SKU]:[Giá bán]],COUNTA(Table_SKU[[#Headers],[Mã SKU]:[Giá bán]]),0))</f>
        <v>300000</v>
      </c>
      <c r="AA16" s="48">
        <f>IF(ISBLANK(Table_Main[[#This Row],[Đơn bán]]),0,
IF(Table_Main[[#This Row],[Loại]] = "Xuất",Table_Main[[#This Row],[Giá bán niêm yết]]*Table_Main[[#This Row],[Số lượng]],-Table_Main[[#This Row],[Giá bán niêm yết]]*Table_Main[[#This Row],[Số lượng]]))</f>
        <v>10200000</v>
      </c>
      <c r="AB16" s="230"/>
      <c r="AC1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10200000</v>
      </c>
      <c r="AF16" s="66">
        <f>IFERROR(
VLOOKUP(Table_Main[[#This Row],[Mã SKU]],Table_SKU[[Mã SKU]:[Tỷ suất VAT]],COUNTA(Table_SKU[[#Headers],[Mã SKU]:[Tỷ suất VAT]]),0),0)</f>
        <v>0</v>
      </c>
      <c r="AG16" s="48">
        <f xml:space="preserve">
IF(Table_Main[[#This Row],[Đơn bán]]="", 0,Table_Main[[#This Row],[Tỷ suất VAT]]*Table_Main[[#This Row],[Giá trị bán trước VAT]])</f>
        <v>0</v>
      </c>
      <c r="AH16" s="51">
        <f>IFERROR(VLOOKUP(Table_Main[[#This Row],[Đơn bán]],Table_DonBan[[Mã Đơn bán]:[Add]],COUNTA(Table_DonBan[[#Headers],[Mã Đơn bán]:[Mã NV]]),0),0)</f>
        <v>0</v>
      </c>
      <c r="AI1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6" s="48">
        <f>IFERROR(Table_Main[[#This Row],[Giá trị bán trước VAT]]*Table_Main[[#This Row],[Tỷ lệ hoa hồng]],"")</f>
        <v>0</v>
      </c>
      <c r="AK16" s="48">
        <f>IFERROR(VLOOKUP(Table_Main[[#This Row],[Đơn bán]],Table_DonBan[[Mã Đơn bán]:[Add]],COUNTA(Table_DonBan[[#Headers],[Mã Đơn bán]:[Kênh]]),0),0)</f>
        <v>0</v>
      </c>
      <c r="AL1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6" s="48">
        <f>IFERROR(Table_Main[[#This Row],[Giá trị bán trước VAT]]*Table_Main[[#This Row],[Tỷ lệ CK kênh]],"")</f>
        <v>0</v>
      </c>
      <c r="AN16" s="230"/>
      <c r="AO16" s="232"/>
      <c r="AP16" s="226">
        <f>Table_Main[[#This Row],[ĐK - Phân loại]]*Table_Main[[#This Row],[ĐK - Thời gian]]*Table_Main[[#This Row],[ĐK - Giá trị]]*Table_Main[[#This Row],[ĐK - Số lượng]]*Table_Main[[#This Row],[ĐK - Sinh nhật]]*Table_Main[[#This Row],[ĐK - Ngày mua cuối]]</f>
        <v>1</v>
      </c>
      <c r="AQ16" s="226">
        <f xml:space="preserve">
IF(ISBLANK(Table_Main[[#This Row],[Chương trình]]),1,
IF(VLOOKUP(Table_Main[[#This Row],[Chương trình]],Table_ChuongTrinh[[Mã Chương trình]:[Đối tượng CK]],Sheet_ChuongTrinh!$C$1,0) = "Sản phẩm",1,0))</f>
        <v>1</v>
      </c>
      <c r="AR1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7" spans="2:48" ht="18" customHeight="1" x14ac:dyDescent="0.3">
      <c r="B17" s="516" t="s">
        <v>1149</v>
      </c>
      <c r="C17" s="516"/>
      <c r="D17" s="530" t="str">
        <f>IF(ISBLANK(Table_Main[[#This Row],[Mã SKU]]),Table_Main[[#This Row],[Mã Nguyên liệu]],Table_Main[[#This Row],[Mã SKU]])</f>
        <v>HH1</v>
      </c>
      <c r="E17" s="416" cm="1">
        <f t="array" ref="E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46</v>
      </c>
      <c r="F17" s="416" cm="1">
        <f t="array" ref="F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24</v>
      </c>
      <c r="G17" s="416" cm="1">
        <f t="array" ref="G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2732577.7636815924</v>
      </c>
      <c r="H17" s="416" cm="1">
        <f t="array" ref="H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1425692.7462686561</v>
      </c>
      <c r="I17" s="416">
        <f>IFERROR(Table_Main[[#This Row],[Giá trị tồn đầu ngày]]/Table_Main[[#This Row],[Tồn kho đầu ngày]],0)</f>
        <v>59403.864427860703</v>
      </c>
      <c r="J17" s="416">
        <f>IFERROR(Table_Main[[#This Row],[Giá trị tồn cuối ngày]]/Table_Main[[#This Row],[Tồn kho cuối ngày]],0)</f>
        <v>59403.864427860673</v>
      </c>
      <c r="K17" s="411">
        <v>45793</v>
      </c>
      <c r="L17" s="47">
        <f xml:space="preserve">
IFERROR(
IFERROR(
VLOOKUP(Table_Main[[#This Row],[Đơn Mua]],Table_DonMua[[Mã Đơn mua]:[Add]],COUNTA(Table_DonMua[[#Headers],[Mã Đơn mua]:[Ngày lập]]),0),
VLOOKUP(Table_Main[[#This Row],[Đơn bán]],Table_DonBan[[Mã Đơn bán]:[Add]], COUNTA(Table_DonBan[[#Headers],[Mã Đơn bán]:[Ngày lập]]),0)),0)</f>
        <v>45793</v>
      </c>
      <c r="M17" s="29">
        <f>IFERROR(MONTH(Table_Main[[#This Row],[Ngày lên đơn]]),0)</f>
        <v>5</v>
      </c>
      <c r="N17" s="51">
        <f>IF(Table_Main[[#This Row],[Ngày lên đơn]]=0,"",Table_Main[[#This Row],[Ngày xuất nhập]]-Table_Main[[#This Row],[Ngày lên đơn]])</f>
        <v>0</v>
      </c>
      <c r="O17" s="230" t="s">
        <v>53</v>
      </c>
      <c r="P17" s="230" t="s">
        <v>1155</v>
      </c>
      <c r="Q17" s="404">
        <v>22</v>
      </c>
      <c r="R17" s="516"/>
      <c r="S17" s="530">
        <f>IFERROR(VLOOKUP(Table_Main[[#This Row],[Đơn Mua]],Table_DonMua[[Mã Đơn mua]:[Add]],COUNTA(Table_DonMua[[#Headers],[Mã Đơn mua]:[Mã Đối tác]]),0),0)</f>
        <v>0</v>
      </c>
      <c r="T17" s="405"/>
      <c r="U17" s="48">
        <f xml:space="preserve">
IF(NOT(ISBLANK(Table_Main[[#This Row],[Đơn Mua]])),Table_Main[[#This Row],[Số lượng]]*Table_Main[[#This Row],[Giá nhập]],Table_Main[[#This Row],[Số lượng]]*Table_Main[[#This Row],[Giá trị bình quân đầu ngày]])</f>
        <v>1306885.0174129354</v>
      </c>
      <c r="V1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7" s="48">
        <f>IF(Table_Main[[#This Row],[Đơn Mua]]="", 0,IFERROR(Table_Main[[#This Row],[Tỷ suất VAT khấu trừ]]*(Table_Main[[#This Row],[Giá trị hàng nhập]]/(1+Table_Main[[#This Row],[Tỷ suất VAT khấu trừ]])),0))</f>
        <v>0</v>
      </c>
      <c r="X17" s="516" t="s">
        <v>1219</v>
      </c>
      <c r="Y17" s="28" t="str">
        <f>IFERROR(VLOOKUP(Table_Main[[#This Row],[Đơn bán]],Table_DonBan[[Mã Đơn bán]:[Add]],COUNTA(Table_DonBan[[#Headers],[Mã Đơn bán]:[Mã Khách]]),0),0)</f>
        <v>KH1</v>
      </c>
      <c r="Z17" s="48">
        <f>IF(ISBLANK(Table_Main[[#This Row],[Đơn bán]]),0,
VLOOKUP(Table_Main[[#This Row],[Mã SKU]],Table_SKU[[Mã SKU]:[Giá bán]],COUNTA(Table_SKU[[#Headers],[Mã SKU]:[Giá bán]]),0))</f>
        <v>100000</v>
      </c>
      <c r="AA17" s="48">
        <f>IF(ISBLANK(Table_Main[[#This Row],[Đơn bán]]),0,
IF(Table_Main[[#This Row],[Loại]] = "Xuất",Table_Main[[#This Row],[Giá bán niêm yết]]*Table_Main[[#This Row],[Số lượng]],-Table_Main[[#This Row],[Giá bán niêm yết]]*Table_Main[[#This Row],[Số lượng]]))</f>
        <v>2200000</v>
      </c>
      <c r="AB17" s="230"/>
      <c r="AC1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2200000</v>
      </c>
      <c r="AF17" s="66">
        <f>IFERROR(
VLOOKUP(Table_Main[[#This Row],[Mã SKU]],Table_SKU[[Mã SKU]:[Tỷ suất VAT]],COUNTA(Table_SKU[[#Headers],[Mã SKU]:[Tỷ suất VAT]]),0),0)</f>
        <v>0</v>
      </c>
      <c r="AG17" s="48">
        <f xml:space="preserve">
IF(Table_Main[[#This Row],[Đơn bán]]="", 0,Table_Main[[#This Row],[Tỷ suất VAT]]*Table_Main[[#This Row],[Giá trị bán trước VAT]])</f>
        <v>0</v>
      </c>
      <c r="AH17" s="51">
        <f>IFERROR(VLOOKUP(Table_Main[[#This Row],[Đơn bán]],Table_DonBan[[Mã Đơn bán]:[Add]],COUNTA(Table_DonBan[[#Headers],[Mã Đơn bán]:[Mã NV]]),0),0)</f>
        <v>0</v>
      </c>
      <c r="AI1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7" s="48">
        <f>IFERROR(Table_Main[[#This Row],[Giá trị bán trước VAT]]*Table_Main[[#This Row],[Tỷ lệ hoa hồng]],"")</f>
        <v>0</v>
      </c>
      <c r="AK17" s="48">
        <f>IFERROR(VLOOKUP(Table_Main[[#This Row],[Đơn bán]],Table_DonBan[[Mã Đơn bán]:[Add]],COUNTA(Table_DonBan[[#Headers],[Mã Đơn bán]:[Kênh]]),0),0)</f>
        <v>0</v>
      </c>
      <c r="AL1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7" s="48">
        <f>IFERROR(Table_Main[[#This Row],[Giá trị bán trước VAT]]*Table_Main[[#This Row],[Tỷ lệ CK kênh]],"")</f>
        <v>0</v>
      </c>
      <c r="AN17" s="230"/>
      <c r="AO17" s="232"/>
      <c r="AP17" s="226">
        <f>Table_Main[[#This Row],[ĐK - Phân loại]]*Table_Main[[#This Row],[ĐK - Thời gian]]*Table_Main[[#This Row],[ĐK - Giá trị]]*Table_Main[[#This Row],[ĐK - Số lượng]]*Table_Main[[#This Row],[ĐK - Sinh nhật]]*Table_Main[[#This Row],[ĐK - Ngày mua cuối]]</f>
        <v>1</v>
      </c>
      <c r="AQ17" s="226">
        <f xml:space="preserve">
IF(ISBLANK(Table_Main[[#This Row],[Chương trình]]),1,
IF(VLOOKUP(Table_Main[[#This Row],[Chương trình]],Table_ChuongTrinh[[Mã Chương trình]:[Đối tượng CK]],Sheet_ChuongTrinh!$C$1,0) = "Sản phẩm",1,0))</f>
        <v>1</v>
      </c>
      <c r="AR1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8" spans="2:48" ht="18" customHeight="1" x14ac:dyDescent="0.3">
      <c r="B18" s="516" t="s">
        <v>1149</v>
      </c>
      <c r="C18" s="516"/>
      <c r="D18" s="530" t="str">
        <f>IF(ISBLANK(Table_Main[[#This Row],[Mã SKU]]),Table_Main[[#This Row],[Mã Nguyên liệu]],Table_Main[[#This Row],[Mã SKU]])</f>
        <v>HH1</v>
      </c>
      <c r="E18" s="416" cm="1">
        <f t="array" ref="E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48</v>
      </c>
      <c r="F18" s="416" cm="1">
        <f t="array" ref="F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46</v>
      </c>
      <c r="G18" s="416" cm="1">
        <f t="array" ref="G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2851385.4925373141</v>
      </c>
      <c r="H18" s="416" cm="1">
        <f t="array" ref="H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2732577.7636815924</v>
      </c>
      <c r="I18" s="416">
        <f>IFERROR(Table_Main[[#This Row],[Giá trị tồn đầu ngày]]/Table_Main[[#This Row],[Tồn kho đầu ngày]],0)</f>
        <v>59403.86442786071</v>
      </c>
      <c r="J18" s="416">
        <f>IFERROR(Table_Main[[#This Row],[Giá trị tồn cuối ngày]]/Table_Main[[#This Row],[Tồn kho cuối ngày]],0)</f>
        <v>59403.864427860703</v>
      </c>
      <c r="K18" s="411">
        <v>45792</v>
      </c>
      <c r="L18" s="47">
        <f xml:space="preserve">
IFERROR(
IFERROR(
VLOOKUP(Table_Main[[#This Row],[Đơn Mua]],Table_DonMua[[Mã Đơn mua]:[Add]],COUNTA(Table_DonMua[[#Headers],[Mã Đơn mua]:[Ngày lập]]),0),
VLOOKUP(Table_Main[[#This Row],[Đơn bán]],Table_DonBan[[Mã Đơn bán]:[Add]], COUNTA(Table_DonBan[[#Headers],[Mã Đơn bán]:[Ngày lập]]),0)),0)</f>
        <v>45792</v>
      </c>
      <c r="M18" s="29">
        <f>IFERROR(MONTH(Table_Main[[#This Row],[Ngày lên đơn]]),0)</f>
        <v>5</v>
      </c>
      <c r="N18" s="51">
        <f>IF(Table_Main[[#This Row],[Ngày lên đơn]]=0,"",Table_Main[[#This Row],[Ngày xuất nhập]]-Table_Main[[#This Row],[Ngày lên đơn]])</f>
        <v>0</v>
      </c>
      <c r="O18" s="230" t="s">
        <v>53</v>
      </c>
      <c r="P18" s="230" t="s">
        <v>1155</v>
      </c>
      <c r="Q18" s="404">
        <v>2</v>
      </c>
      <c r="R18" s="516"/>
      <c r="S18" s="530">
        <f>IFERROR(VLOOKUP(Table_Main[[#This Row],[Đơn Mua]],Table_DonMua[[Mã Đơn mua]:[Add]],COUNTA(Table_DonMua[[#Headers],[Mã Đơn mua]:[Mã Đối tác]]),0),0)</f>
        <v>0</v>
      </c>
      <c r="T18" s="405"/>
      <c r="U18" s="48">
        <f xml:space="preserve">
IF(NOT(ISBLANK(Table_Main[[#This Row],[Đơn Mua]])),Table_Main[[#This Row],[Số lượng]]*Table_Main[[#This Row],[Giá nhập]],Table_Main[[#This Row],[Số lượng]]*Table_Main[[#This Row],[Giá trị bình quân đầu ngày]])</f>
        <v>118807.72885572142</v>
      </c>
      <c r="V1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8" s="48">
        <f>IF(Table_Main[[#This Row],[Đơn Mua]]="", 0,IFERROR(Table_Main[[#This Row],[Tỷ suất VAT khấu trừ]]*(Table_Main[[#This Row],[Giá trị hàng nhập]]/(1+Table_Main[[#This Row],[Tỷ suất VAT khấu trừ]])),0))</f>
        <v>0</v>
      </c>
      <c r="X18" s="516" t="s">
        <v>1218</v>
      </c>
      <c r="Y18" s="28" t="str">
        <f>IFERROR(VLOOKUP(Table_Main[[#This Row],[Đơn bán]],Table_DonBan[[Mã Đơn bán]:[Add]],COUNTA(Table_DonBan[[#Headers],[Mã Đơn bán]:[Mã Khách]]),0),0)</f>
        <v>KH2</v>
      </c>
      <c r="Z18" s="48">
        <f>IF(ISBLANK(Table_Main[[#This Row],[Đơn bán]]),0,
VLOOKUP(Table_Main[[#This Row],[Mã SKU]],Table_SKU[[Mã SKU]:[Giá bán]],COUNTA(Table_SKU[[#Headers],[Mã SKU]:[Giá bán]]),0))</f>
        <v>100000</v>
      </c>
      <c r="AA18" s="48">
        <f>IF(ISBLANK(Table_Main[[#This Row],[Đơn bán]]),0,
IF(Table_Main[[#This Row],[Loại]] = "Xuất",Table_Main[[#This Row],[Giá bán niêm yết]]*Table_Main[[#This Row],[Số lượng]],-Table_Main[[#This Row],[Giá bán niêm yết]]*Table_Main[[#This Row],[Số lượng]]))</f>
        <v>200000</v>
      </c>
      <c r="AB18" s="230"/>
      <c r="AC1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200000</v>
      </c>
      <c r="AF18" s="66">
        <f>IFERROR(
VLOOKUP(Table_Main[[#This Row],[Mã SKU]],Table_SKU[[Mã SKU]:[Tỷ suất VAT]],COUNTA(Table_SKU[[#Headers],[Mã SKU]:[Tỷ suất VAT]]),0),0)</f>
        <v>0</v>
      </c>
      <c r="AG18" s="48">
        <f xml:space="preserve">
IF(Table_Main[[#This Row],[Đơn bán]]="", 0,Table_Main[[#This Row],[Tỷ suất VAT]]*Table_Main[[#This Row],[Giá trị bán trước VAT]])</f>
        <v>0</v>
      </c>
      <c r="AH18" s="51">
        <f>IFERROR(VLOOKUP(Table_Main[[#This Row],[Đơn bán]],Table_DonBan[[Mã Đơn bán]:[Add]],COUNTA(Table_DonBan[[#Headers],[Mã Đơn bán]:[Mã NV]]),0),0)</f>
        <v>0</v>
      </c>
      <c r="AI1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8" s="48">
        <f>IFERROR(Table_Main[[#This Row],[Giá trị bán trước VAT]]*Table_Main[[#This Row],[Tỷ lệ hoa hồng]],"")</f>
        <v>0</v>
      </c>
      <c r="AK18" s="48">
        <f>IFERROR(VLOOKUP(Table_Main[[#This Row],[Đơn bán]],Table_DonBan[[Mã Đơn bán]:[Add]],COUNTA(Table_DonBan[[#Headers],[Mã Đơn bán]:[Kênh]]),0),0)</f>
        <v>0</v>
      </c>
      <c r="AL1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8" s="48">
        <f>IFERROR(Table_Main[[#This Row],[Giá trị bán trước VAT]]*Table_Main[[#This Row],[Tỷ lệ CK kênh]],"")</f>
        <v>0</v>
      </c>
      <c r="AN18" s="230"/>
      <c r="AO18" s="232"/>
      <c r="AP18" s="226">
        <f>Table_Main[[#This Row],[ĐK - Phân loại]]*Table_Main[[#This Row],[ĐK - Thời gian]]*Table_Main[[#This Row],[ĐK - Giá trị]]*Table_Main[[#This Row],[ĐK - Số lượng]]*Table_Main[[#This Row],[ĐK - Sinh nhật]]*Table_Main[[#This Row],[ĐK - Ngày mua cuối]]</f>
        <v>1</v>
      </c>
      <c r="AQ18" s="226">
        <f xml:space="preserve">
IF(ISBLANK(Table_Main[[#This Row],[Chương trình]]),1,
IF(VLOOKUP(Table_Main[[#This Row],[Chương trình]],Table_ChuongTrinh[[Mã Chương trình]:[Đối tượng CK]],Sheet_ChuongTrinh!$C$1,0) = "Sản phẩm",1,0))</f>
        <v>1</v>
      </c>
      <c r="AR1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9" spans="2:48" ht="18" customHeight="1" x14ac:dyDescent="0.3">
      <c r="B19" s="516" t="s">
        <v>1151</v>
      </c>
      <c r="C19" s="516"/>
      <c r="D19" s="530" t="str">
        <f>IF(ISBLANK(Table_Main[[#This Row],[Mã SKU]]),Table_Main[[#This Row],[Mã Nguyên liệu]],Table_Main[[#This Row],[Mã SKU]])</f>
        <v>TP2</v>
      </c>
      <c r="E19" s="416" cm="1">
        <f t="array" ref="E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v>
      </c>
      <c r="F19" s="416" cm="1">
        <f t="array" ref="F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v>
      </c>
      <c r="G19" s="416" cm="1">
        <f t="array" ref="G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9" s="416" cm="1">
        <f t="array" ref="H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9" s="416">
        <f>IFERROR(Table_Main[[#This Row],[Giá trị tồn đầu ngày]]/Table_Main[[#This Row],[Tồn kho đầu ngày]],0)</f>
        <v>0</v>
      </c>
      <c r="J19" s="416">
        <f>IFERROR(Table_Main[[#This Row],[Giá trị tồn cuối ngày]]/Table_Main[[#This Row],[Tồn kho cuối ngày]],0)</f>
        <v>0</v>
      </c>
      <c r="K19" s="411">
        <v>45789</v>
      </c>
      <c r="L1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9" s="29">
        <f>IFERROR(MONTH(Table_Main[[#This Row],[Ngày lên đơn]]),0)</f>
        <v>1</v>
      </c>
      <c r="N19" s="51" t="str">
        <f>IF(Table_Main[[#This Row],[Ngày lên đơn]]=0,"",Table_Main[[#This Row],[Ngày xuất nhập]]-Table_Main[[#This Row],[Ngày lên đơn]])</f>
        <v/>
      </c>
      <c r="O19" s="230" t="s">
        <v>1154</v>
      </c>
      <c r="P19" s="230" t="s">
        <v>1155</v>
      </c>
      <c r="Q19" s="404">
        <v>15</v>
      </c>
      <c r="R19" s="516"/>
      <c r="S19" s="530">
        <f>IFERROR(VLOOKUP(Table_Main[[#This Row],[Đơn Mua]],Table_DonMua[[Mã Đơn mua]:[Add]],COUNTA(Table_DonMua[[#Headers],[Mã Đơn mua]:[Mã Đối tác]]),0),0)</f>
        <v>0</v>
      </c>
      <c r="T19" s="405"/>
      <c r="U19" s="48">
        <f xml:space="preserve">
IF(NOT(ISBLANK(Table_Main[[#This Row],[Đơn Mua]])),Table_Main[[#This Row],[Số lượng]]*Table_Main[[#This Row],[Giá nhập]],Table_Main[[#This Row],[Số lượng]]*Table_Main[[#This Row],[Giá trị bình quân đầu ngày]])</f>
        <v>0</v>
      </c>
      <c r="V1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9" s="48">
        <f>IF(Table_Main[[#This Row],[Đơn Mua]]="", 0,IFERROR(Table_Main[[#This Row],[Tỷ suất VAT khấu trừ]]*(Table_Main[[#This Row],[Giá trị hàng nhập]]/(1+Table_Main[[#This Row],[Tỷ suất VAT khấu trừ]])),0))</f>
        <v>0</v>
      </c>
      <c r="X19" s="516"/>
      <c r="Y19" s="28">
        <f>IFERROR(VLOOKUP(Table_Main[[#This Row],[Đơn bán]],Table_DonBan[[Mã Đơn bán]:[Add]],COUNTA(Table_DonBan[[#Headers],[Mã Đơn bán]:[Mã Khách]]),0),0)</f>
        <v>0</v>
      </c>
      <c r="Z19" s="48">
        <f>IF(ISBLANK(Table_Main[[#This Row],[Đơn bán]]),0,
VLOOKUP(Table_Main[[#This Row],[Mã SKU]],Table_SKU[[Mã SKU]:[Giá bán]],COUNTA(Table_SKU[[#Headers],[Mã SKU]:[Giá bán]]),0))</f>
        <v>0</v>
      </c>
      <c r="AA19" s="48">
        <f>IF(ISBLANK(Table_Main[[#This Row],[Đơn bán]]),0,
IF(Table_Main[[#This Row],[Loại]] = "Xuất",Table_Main[[#This Row],[Giá bán niêm yết]]*Table_Main[[#This Row],[Số lượng]],-Table_Main[[#This Row],[Giá bán niêm yết]]*Table_Main[[#This Row],[Số lượng]]))</f>
        <v>0</v>
      </c>
      <c r="AB19" s="230"/>
      <c r="AC1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9" s="66">
        <f>IFERROR(
VLOOKUP(Table_Main[[#This Row],[Mã SKU]],Table_SKU[[Mã SKU]:[Tỷ suất VAT]],COUNTA(Table_SKU[[#Headers],[Mã SKU]:[Tỷ suất VAT]]),0),0)</f>
        <v>0</v>
      </c>
      <c r="AG19" s="48">
        <f xml:space="preserve">
IF(Table_Main[[#This Row],[Đơn bán]]="", 0,Table_Main[[#This Row],[Tỷ suất VAT]]*Table_Main[[#This Row],[Giá trị bán trước VAT]])</f>
        <v>0</v>
      </c>
      <c r="AH19" s="51">
        <f>IFERROR(VLOOKUP(Table_Main[[#This Row],[Đơn bán]],Table_DonBan[[Mã Đơn bán]:[Add]],COUNTA(Table_DonBan[[#Headers],[Mã Đơn bán]:[Mã NV]]),0),0)</f>
        <v>0</v>
      </c>
      <c r="AI1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9" s="48">
        <f>IFERROR(Table_Main[[#This Row],[Giá trị bán trước VAT]]*Table_Main[[#This Row],[Tỷ lệ hoa hồng]],"")</f>
        <v>0</v>
      </c>
      <c r="AK19" s="48">
        <f>IFERROR(VLOOKUP(Table_Main[[#This Row],[Đơn bán]],Table_DonBan[[Mã Đơn bán]:[Add]],COUNTA(Table_DonBan[[#Headers],[Mã Đơn bán]:[Kênh]]),0),0)</f>
        <v>0</v>
      </c>
      <c r="AL1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9" s="48">
        <f>IFERROR(Table_Main[[#This Row],[Giá trị bán trước VAT]]*Table_Main[[#This Row],[Tỷ lệ CK kênh]],"")</f>
        <v>0</v>
      </c>
      <c r="AN19" s="230"/>
      <c r="AO19" s="232"/>
      <c r="AP19" s="226">
        <f>Table_Main[[#This Row],[ĐK - Phân loại]]*Table_Main[[#This Row],[ĐK - Thời gian]]*Table_Main[[#This Row],[ĐK - Giá trị]]*Table_Main[[#This Row],[ĐK - Số lượng]]*Table_Main[[#This Row],[ĐK - Sinh nhật]]*Table_Main[[#This Row],[ĐK - Ngày mua cuối]]</f>
        <v>1</v>
      </c>
      <c r="AQ19" s="226">
        <f xml:space="preserve">
IF(ISBLANK(Table_Main[[#This Row],[Chương trình]]),1,
IF(VLOOKUP(Table_Main[[#This Row],[Chương trình]],Table_ChuongTrinh[[Mã Chương trình]:[Đối tượng CK]],Sheet_ChuongTrinh!$C$1,0) = "Sản phẩm",1,0))</f>
        <v>1</v>
      </c>
      <c r="AR1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0" spans="2:48" ht="18" customHeight="1" x14ac:dyDescent="0.3">
      <c r="B20" s="523"/>
      <c r="C20" s="238" t="s">
        <v>1153</v>
      </c>
      <c r="D20" s="531" t="str">
        <f>IF(ISBLANK(Table_Main[[#This Row],[Mã SKU]]),Table_Main[[#This Row],[Mã Nguyên liệu]],Table_Main[[#This Row],[Mã SKU]])</f>
        <v>NL1</v>
      </c>
      <c r="E20" s="416" cm="1">
        <f t="array" ref="E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168</v>
      </c>
      <c r="F20" s="416" cm="1">
        <f t="array" ref="F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141</v>
      </c>
      <c r="G20" s="416" cm="1">
        <f t="array" ref="G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16339105.070175439</v>
      </c>
      <c r="H20" s="416" cm="1">
        <f t="array" ref="H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13713177.469611529</v>
      </c>
      <c r="I20" s="416">
        <f>IFERROR(Table_Main[[#This Row],[Giá trị tồn đầu ngày]]/Table_Main[[#This Row],[Tồn kho đầu ngày]],0)</f>
        <v>97256.577798663333</v>
      </c>
      <c r="J20" s="416">
        <f>IFERROR(Table_Main[[#This Row],[Giá trị tồn cuối ngày]]/Table_Main[[#This Row],[Tồn kho cuối ngày]],0)</f>
        <v>97256.577798663333</v>
      </c>
      <c r="K20" s="411">
        <v>45788</v>
      </c>
      <c r="L2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0" s="29">
        <f>IFERROR(MONTH(Table_Main[[#This Row],[Ngày lên đơn]]),0)</f>
        <v>1</v>
      </c>
      <c r="N20" s="51" t="str">
        <f>IF(Table_Main[[#This Row],[Ngày lên đơn]]=0,"",Table_Main[[#This Row],[Ngày xuất nhập]]-Table_Main[[#This Row],[Ngày lên đơn]])</f>
        <v/>
      </c>
      <c r="O20" s="230" t="s">
        <v>53</v>
      </c>
      <c r="P20" s="230" t="s">
        <v>1155</v>
      </c>
      <c r="Q20" s="404">
        <v>27</v>
      </c>
      <c r="R20" s="516"/>
      <c r="S20" s="530">
        <f>IFERROR(VLOOKUP(Table_Main[[#This Row],[Đơn Mua]],Table_DonMua[[Mã Đơn mua]:[Add]],COUNTA(Table_DonMua[[#Headers],[Mã Đơn mua]:[Mã Đối tác]]),0),0)</f>
        <v>0</v>
      </c>
      <c r="T20" s="405"/>
      <c r="U20" s="48">
        <f xml:space="preserve">
IF(NOT(ISBLANK(Table_Main[[#This Row],[Đơn Mua]])),Table_Main[[#This Row],[Số lượng]]*Table_Main[[#This Row],[Giá nhập]],Table_Main[[#This Row],[Số lượng]]*Table_Main[[#This Row],[Giá trị bình quân đầu ngày]])</f>
        <v>2625927.6005639099</v>
      </c>
      <c r="V2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0" s="48">
        <f>IF(Table_Main[[#This Row],[Đơn Mua]]="", 0,IFERROR(Table_Main[[#This Row],[Tỷ suất VAT khấu trừ]]*(Table_Main[[#This Row],[Giá trị hàng nhập]]/(1+Table_Main[[#This Row],[Tỷ suất VAT khấu trừ]])),0))</f>
        <v>0</v>
      </c>
      <c r="X20" s="516"/>
      <c r="Y20" s="28">
        <f>IFERROR(VLOOKUP(Table_Main[[#This Row],[Đơn bán]],Table_DonBan[[Mã Đơn bán]:[Add]],COUNTA(Table_DonBan[[#Headers],[Mã Đơn bán]:[Mã Khách]]),0),0)</f>
        <v>0</v>
      </c>
      <c r="Z20" s="48">
        <f>IF(ISBLANK(Table_Main[[#This Row],[Đơn bán]]),0,
VLOOKUP(Table_Main[[#This Row],[Mã SKU]],Table_SKU[[Mã SKU]:[Giá bán]],COUNTA(Table_SKU[[#Headers],[Mã SKU]:[Giá bán]]),0))</f>
        <v>0</v>
      </c>
      <c r="AA20" s="48">
        <f>IF(ISBLANK(Table_Main[[#This Row],[Đơn bán]]),0,
IF(Table_Main[[#This Row],[Loại]] = "Xuất",Table_Main[[#This Row],[Giá bán niêm yết]]*Table_Main[[#This Row],[Số lượng]],-Table_Main[[#This Row],[Giá bán niêm yết]]*Table_Main[[#This Row],[Số lượng]]))</f>
        <v>0</v>
      </c>
      <c r="AB20" s="230"/>
      <c r="AC2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0" s="66">
        <f>IFERROR(
VLOOKUP(Table_Main[[#This Row],[Mã SKU]],Table_SKU[[Mã SKU]:[Tỷ suất VAT]],COUNTA(Table_SKU[[#Headers],[Mã SKU]:[Tỷ suất VAT]]),0),0)</f>
        <v>0</v>
      </c>
      <c r="AG20" s="48">
        <f xml:space="preserve">
IF(Table_Main[[#This Row],[Đơn bán]]="", 0,Table_Main[[#This Row],[Tỷ suất VAT]]*Table_Main[[#This Row],[Giá trị bán trước VAT]])</f>
        <v>0</v>
      </c>
      <c r="AH20" s="51">
        <f>IFERROR(VLOOKUP(Table_Main[[#This Row],[Đơn bán]],Table_DonBan[[Mã Đơn bán]:[Add]],COUNTA(Table_DonBan[[#Headers],[Mã Đơn bán]:[Mã NV]]),0),0)</f>
        <v>0</v>
      </c>
      <c r="AI2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0" s="48">
        <f>IFERROR(Table_Main[[#This Row],[Giá trị bán trước VAT]]*Table_Main[[#This Row],[Tỷ lệ hoa hồng]],"")</f>
        <v>0</v>
      </c>
      <c r="AK20" s="48">
        <f>IFERROR(VLOOKUP(Table_Main[[#This Row],[Đơn bán]],Table_DonBan[[Mã Đơn bán]:[Add]],COUNTA(Table_DonBan[[#Headers],[Mã Đơn bán]:[Kênh]]),0),0)</f>
        <v>0</v>
      </c>
      <c r="AL2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0" s="48">
        <f>IFERROR(Table_Main[[#This Row],[Giá trị bán trước VAT]]*Table_Main[[#This Row],[Tỷ lệ CK kênh]],"")</f>
        <v>0</v>
      </c>
      <c r="AN20" s="230"/>
      <c r="AO20" s="232"/>
      <c r="AP20" s="226">
        <f>Table_Main[[#This Row],[ĐK - Phân loại]]*Table_Main[[#This Row],[ĐK - Thời gian]]*Table_Main[[#This Row],[ĐK - Giá trị]]*Table_Main[[#This Row],[ĐK - Số lượng]]*Table_Main[[#This Row],[ĐK - Sinh nhật]]*Table_Main[[#This Row],[ĐK - Ngày mua cuối]]</f>
        <v>1</v>
      </c>
      <c r="AQ20" s="226">
        <f xml:space="preserve">
IF(ISBLANK(Table_Main[[#This Row],[Chương trình]]),1,
IF(VLOOKUP(Table_Main[[#This Row],[Chương trình]],Table_ChuongTrinh[[Mã Chương trình]:[Đối tượng CK]],Sheet_ChuongTrinh!$C$1,0) = "Sản phẩm",1,0))</f>
        <v>1</v>
      </c>
      <c r="AR2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1" spans="2:48" ht="18" customHeight="1" x14ac:dyDescent="0.3">
      <c r="B21" s="523"/>
      <c r="C21" s="238" t="s">
        <v>1152</v>
      </c>
      <c r="D21" s="531" t="str">
        <f>IF(ISBLANK(Table_Main[[#This Row],[Mã SKU]]),Table_Main[[#This Row],[Mã Nguyên liệu]],Table_Main[[#This Row],[Mã SKU]])</f>
        <v>NL2</v>
      </c>
      <c r="E21" s="416" cm="1">
        <f t="array" ref="E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v>
      </c>
      <c r="F21" s="416" cm="1">
        <f t="array" ref="F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21" s="416" cm="1">
        <f t="array" ref="G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9332607.3592302203</v>
      </c>
      <c r="H21" s="416" cm="1">
        <f t="array" ref="H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9873231.3592302203</v>
      </c>
      <c r="I21" s="416">
        <f>IFERROR(Table_Main[[#This Row],[Giá trị tồn đầu ngày]]/Table_Main[[#This Row],[Tồn kho đầu ngày]],0)</f>
        <v>124434.76478973628</v>
      </c>
      <c r="J21" s="416">
        <f>IFERROR(Table_Main[[#This Row],[Giá trị tồn cuối ngày]]/Table_Main[[#This Row],[Tồn kho cuối ngày]],0)</f>
        <v>124977.61214215468</v>
      </c>
      <c r="K21" s="411">
        <v>45789</v>
      </c>
      <c r="L21" s="47">
        <f xml:space="preserve">
IFERROR(
IFERROR(
VLOOKUP(Table_Main[[#This Row],[Đơn Mua]],Table_DonMua[[Mã Đơn mua]:[Add]],COUNTA(Table_DonMua[[#Headers],[Mã Đơn mua]:[Ngày lập]]),0),
VLOOKUP(Table_Main[[#This Row],[Đơn bán]],Table_DonBan[[Mã Đơn bán]:[Add]], COUNTA(Table_DonBan[[#Headers],[Mã Đơn bán]:[Ngày lập]]),0)),0)</f>
        <v>45788</v>
      </c>
      <c r="M21" s="29">
        <f>IFERROR(MONTH(Table_Main[[#This Row],[Ngày lên đơn]]),0)</f>
        <v>5</v>
      </c>
      <c r="N21" s="51">
        <f>IF(Table_Main[[#This Row],[Ngày lên đơn]]=0,"",Table_Main[[#This Row],[Ngày xuất nhập]]-Table_Main[[#This Row],[Ngày lên đơn]])</f>
        <v>1</v>
      </c>
      <c r="O21" s="230" t="s">
        <v>1154</v>
      </c>
      <c r="P21" s="230" t="s">
        <v>1155</v>
      </c>
      <c r="Q21" s="404">
        <v>4</v>
      </c>
      <c r="R21" s="516" t="s">
        <v>1174</v>
      </c>
      <c r="S21" s="530" t="str">
        <f>IFERROR(VLOOKUP(Table_Main[[#This Row],[Đơn Mua]],Table_DonMua[[Mã Đơn mua]:[Add]],COUNTA(Table_DonMua[[#Headers],[Mã Đơn mua]:[Mã Đối tác]]),0),0)</f>
        <v>NCC2</v>
      </c>
      <c r="T21" s="405">
        <v>135156</v>
      </c>
      <c r="U21" s="48">
        <f xml:space="preserve">
IF(NOT(ISBLANK(Table_Main[[#This Row],[Đơn Mua]])),Table_Main[[#This Row],[Số lượng]]*Table_Main[[#This Row],[Giá nhập]],Table_Main[[#This Row],[Số lượng]]*Table_Main[[#This Row],[Giá trị bình quân đầu ngày]])</f>
        <v>540624</v>
      </c>
      <c r="V2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1" s="48">
        <f>IF(Table_Main[[#This Row],[Đơn Mua]]="", 0,IFERROR(Table_Main[[#This Row],[Tỷ suất VAT khấu trừ]]*(Table_Main[[#This Row],[Giá trị hàng nhập]]/(1+Table_Main[[#This Row],[Tỷ suất VAT khấu trừ]])),0))</f>
        <v>0</v>
      </c>
      <c r="X21" s="516"/>
      <c r="Y21" s="28">
        <f>IFERROR(VLOOKUP(Table_Main[[#This Row],[Đơn bán]],Table_DonBan[[Mã Đơn bán]:[Add]],COUNTA(Table_DonBan[[#Headers],[Mã Đơn bán]:[Mã Khách]]),0),0)</f>
        <v>0</v>
      </c>
      <c r="Z21" s="48">
        <f>IF(ISBLANK(Table_Main[[#This Row],[Đơn bán]]),0,
VLOOKUP(Table_Main[[#This Row],[Mã SKU]],Table_SKU[[Mã SKU]:[Giá bán]],COUNTA(Table_SKU[[#Headers],[Mã SKU]:[Giá bán]]),0))</f>
        <v>0</v>
      </c>
      <c r="AA21" s="48">
        <f>IF(ISBLANK(Table_Main[[#This Row],[Đơn bán]]),0,
IF(Table_Main[[#This Row],[Loại]] = "Xuất",Table_Main[[#This Row],[Giá bán niêm yết]]*Table_Main[[#This Row],[Số lượng]],-Table_Main[[#This Row],[Giá bán niêm yết]]*Table_Main[[#This Row],[Số lượng]]))</f>
        <v>0</v>
      </c>
      <c r="AB21" s="230"/>
      <c r="AC2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1" s="66">
        <f>IFERROR(
VLOOKUP(Table_Main[[#This Row],[Mã SKU]],Table_SKU[[Mã SKU]:[Tỷ suất VAT]],COUNTA(Table_SKU[[#Headers],[Mã SKU]:[Tỷ suất VAT]]),0),0)</f>
        <v>0</v>
      </c>
      <c r="AG21" s="48">
        <f xml:space="preserve">
IF(Table_Main[[#This Row],[Đơn bán]]="", 0,Table_Main[[#This Row],[Tỷ suất VAT]]*Table_Main[[#This Row],[Giá trị bán trước VAT]])</f>
        <v>0</v>
      </c>
      <c r="AH21" s="51">
        <f>IFERROR(VLOOKUP(Table_Main[[#This Row],[Đơn bán]],Table_DonBan[[Mã Đơn bán]:[Add]],COUNTA(Table_DonBan[[#Headers],[Mã Đơn bán]:[Mã NV]]),0),0)</f>
        <v>0</v>
      </c>
      <c r="AI2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1" s="48">
        <f>IFERROR(Table_Main[[#This Row],[Giá trị bán trước VAT]]*Table_Main[[#This Row],[Tỷ lệ hoa hồng]],"")</f>
        <v>0</v>
      </c>
      <c r="AK21" s="48">
        <f>IFERROR(VLOOKUP(Table_Main[[#This Row],[Đơn bán]],Table_DonBan[[Mã Đơn bán]:[Add]],COUNTA(Table_DonBan[[#Headers],[Mã Đơn bán]:[Kênh]]),0),0)</f>
        <v>0</v>
      </c>
      <c r="AL2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1" s="48">
        <f>IFERROR(Table_Main[[#This Row],[Giá trị bán trước VAT]]*Table_Main[[#This Row],[Tỷ lệ CK kênh]],"")</f>
        <v>0</v>
      </c>
      <c r="AN21" s="230"/>
      <c r="AO21" s="232"/>
      <c r="AP21" s="226">
        <f>Table_Main[[#This Row],[ĐK - Phân loại]]*Table_Main[[#This Row],[ĐK - Thời gian]]*Table_Main[[#This Row],[ĐK - Giá trị]]*Table_Main[[#This Row],[ĐK - Số lượng]]*Table_Main[[#This Row],[ĐK - Sinh nhật]]*Table_Main[[#This Row],[ĐK - Ngày mua cuối]]</f>
        <v>1</v>
      </c>
      <c r="AQ21" s="226">
        <f xml:space="preserve">
IF(ISBLANK(Table_Main[[#This Row],[Chương trình]]),1,
IF(VLOOKUP(Table_Main[[#This Row],[Chương trình]],Table_ChuongTrinh[[Mã Chương trình]:[Đối tượng CK]],Sheet_ChuongTrinh!$C$1,0) = "Sản phẩm",1,0))</f>
        <v>1</v>
      </c>
      <c r="AR2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2" spans="2:48" ht="18" customHeight="1" x14ac:dyDescent="0.3">
      <c r="B22" s="516" t="s">
        <v>1150</v>
      </c>
      <c r="C22" s="516"/>
      <c r="D22" s="530" t="str">
        <f>IF(ISBLANK(Table_Main[[#This Row],[Mã SKU]]),Table_Main[[#This Row],[Mã Nguyên liệu]],Table_Main[[#This Row],[Mã SKU]])</f>
        <v>TP1</v>
      </c>
      <c r="E22" s="416" cm="1">
        <f t="array" ref="E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135</v>
      </c>
      <c r="F22" s="416" cm="1">
        <f t="array" ref="F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113</v>
      </c>
      <c r="G22" s="416" cm="1">
        <f t="array" ref="G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2" s="416" cm="1">
        <f t="array" ref="H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2" s="416">
        <f>IFERROR(Table_Main[[#This Row],[Giá trị tồn đầu ngày]]/Table_Main[[#This Row],[Tồn kho đầu ngày]],0)</f>
        <v>0</v>
      </c>
      <c r="J22" s="416">
        <f>IFERROR(Table_Main[[#This Row],[Giá trị tồn cuối ngày]]/Table_Main[[#This Row],[Tồn kho cuối ngày]],0)</f>
        <v>0</v>
      </c>
      <c r="K22" s="411">
        <v>45786</v>
      </c>
      <c r="L22"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2" s="29">
        <f>IFERROR(MONTH(Table_Main[[#This Row],[Ngày lên đơn]]),0)</f>
        <v>5</v>
      </c>
      <c r="N22" s="51">
        <f>IF(Table_Main[[#This Row],[Ngày lên đơn]]=0,"",Table_Main[[#This Row],[Ngày xuất nhập]]-Table_Main[[#This Row],[Ngày lên đơn]])</f>
        <v>0</v>
      </c>
      <c r="O22" s="230" t="s">
        <v>53</v>
      </c>
      <c r="P22" s="230" t="s">
        <v>1155</v>
      </c>
      <c r="Q22" s="404">
        <v>22</v>
      </c>
      <c r="R22" s="516"/>
      <c r="S22" s="530">
        <f>IFERROR(VLOOKUP(Table_Main[[#This Row],[Đơn Mua]],Table_DonMua[[Mã Đơn mua]:[Add]],COUNTA(Table_DonMua[[#Headers],[Mã Đơn mua]:[Mã Đối tác]]),0),0)</f>
        <v>0</v>
      </c>
      <c r="T22" s="405"/>
      <c r="U22" s="48">
        <f xml:space="preserve">
IF(NOT(ISBLANK(Table_Main[[#This Row],[Đơn Mua]])),Table_Main[[#This Row],[Số lượng]]*Table_Main[[#This Row],[Giá nhập]],Table_Main[[#This Row],[Số lượng]]*Table_Main[[#This Row],[Giá trị bình quân đầu ngày]])</f>
        <v>0</v>
      </c>
      <c r="V2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2" s="48">
        <f>IF(Table_Main[[#This Row],[Đơn Mua]]="", 0,IFERROR(Table_Main[[#This Row],[Tỷ suất VAT khấu trừ]]*(Table_Main[[#This Row],[Giá trị hàng nhập]]/(1+Table_Main[[#This Row],[Tỷ suất VAT khấu trừ]])),0))</f>
        <v>0</v>
      </c>
      <c r="X22" s="516" t="s">
        <v>1217</v>
      </c>
      <c r="Y22" s="28" t="str">
        <f>IFERROR(VLOOKUP(Table_Main[[#This Row],[Đơn bán]],Table_DonBan[[Mã Đơn bán]:[Add]],COUNTA(Table_DonBan[[#Headers],[Mã Đơn bán]:[Mã Khách]]),0),0)</f>
        <v>KH1</v>
      </c>
      <c r="Z22" s="48">
        <f>IF(ISBLANK(Table_Main[[#This Row],[Đơn bán]]),0,
VLOOKUP(Table_Main[[#This Row],[Mã SKU]],Table_SKU[[Mã SKU]:[Giá bán]],COUNTA(Table_SKU[[#Headers],[Mã SKU]:[Giá bán]]),0))</f>
        <v>300000</v>
      </c>
      <c r="AA22" s="48">
        <f>IF(ISBLANK(Table_Main[[#This Row],[Đơn bán]]),0,
IF(Table_Main[[#This Row],[Loại]] = "Xuất",Table_Main[[#This Row],[Giá bán niêm yết]]*Table_Main[[#This Row],[Số lượng]],-Table_Main[[#This Row],[Giá bán niêm yết]]*Table_Main[[#This Row],[Số lượng]]))</f>
        <v>6600000</v>
      </c>
      <c r="AB22" s="230"/>
      <c r="AC2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6600000</v>
      </c>
      <c r="AF22" s="66">
        <f>IFERROR(
VLOOKUP(Table_Main[[#This Row],[Mã SKU]],Table_SKU[[Mã SKU]:[Tỷ suất VAT]],COUNTA(Table_SKU[[#Headers],[Mã SKU]:[Tỷ suất VAT]]),0),0)</f>
        <v>0</v>
      </c>
      <c r="AG22" s="48">
        <f xml:space="preserve">
IF(Table_Main[[#This Row],[Đơn bán]]="", 0,Table_Main[[#This Row],[Tỷ suất VAT]]*Table_Main[[#This Row],[Giá trị bán trước VAT]])</f>
        <v>0</v>
      </c>
      <c r="AH22" s="51">
        <f>IFERROR(VLOOKUP(Table_Main[[#This Row],[Đơn bán]],Table_DonBan[[Mã Đơn bán]:[Add]],COUNTA(Table_DonBan[[#Headers],[Mã Đơn bán]:[Mã NV]]),0),0)</f>
        <v>0</v>
      </c>
      <c r="AI2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2" s="48">
        <f>IFERROR(Table_Main[[#This Row],[Giá trị bán trước VAT]]*Table_Main[[#This Row],[Tỷ lệ hoa hồng]],"")</f>
        <v>0</v>
      </c>
      <c r="AK22" s="48">
        <f>IFERROR(VLOOKUP(Table_Main[[#This Row],[Đơn bán]],Table_DonBan[[Mã Đơn bán]:[Add]],COUNTA(Table_DonBan[[#Headers],[Mã Đơn bán]:[Kênh]]),0),0)</f>
        <v>0</v>
      </c>
      <c r="AL2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2" s="48">
        <f>IFERROR(Table_Main[[#This Row],[Giá trị bán trước VAT]]*Table_Main[[#This Row],[Tỷ lệ CK kênh]],"")</f>
        <v>0</v>
      </c>
      <c r="AN22" s="230"/>
      <c r="AO22" s="232"/>
      <c r="AP22" s="226">
        <f>Table_Main[[#This Row],[ĐK - Phân loại]]*Table_Main[[#This Row],[ĐK - Thời gian]]*Table_Main[[#This Row],[ĐK - Giá trị]]*Table_Main[[#This Row],[ĐK - Số lượng]]*Table_Main[[#This Row],[ĐK - Sinh nhật]]*Table_Main[[#This Row],[ĐK - Ngày mua cuối]]</f>
        <v>1</v>
      </c>
      <c r="AQ22" s="226">
        <f xml:space="preserve">
IF(ISBLANK(Table_Main[[#This Row],[Chương trình]]),1,
IF(VLOOKUP(Table_Main[[#This Row],[Chương trình]],Table_ChuongTrinh[[Mã Chương trình]:[Đối tượng CK]],Sheet_ChuongTrinh!$C$1,0) = "Sản phẩm",1,0))</f>
        <v>1</v>
      </c>
      <c r="AR2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3" spans="2:48" ht="18" customHeight="1" x14ac:dyDescent="0.3">
      <c r="B23" s="516" t="s">
        <v>1151</v>
      </c>
      <c r="C23" s="516"/>
      <c r="D23" s="530" t="str">
        <f>IF(ISBLANK(Table_Main[[#This Row],[Mã SKU]]),Table_Main[[#This Row],[Mã Nguyên liệu]],Table_Main[[#This Row],[Mã SKU]])</f>
        <v>TP2</v>
      </c>
      <c r="E23" s="416" cm="1">
        <f t="array" ref="E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v>
      </c>
      <c r="F23" s="416" cm="1">
        <f t="array" ref="F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v>
      </c>
      <c r="G23" s="416" cm="1">
        <f t="array" ref="G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3" s="416" cm="1">
        <f t="array" ref="H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3" s="416">
        <f>IFERROR(Table_Main[[#This Row],[Giá trị tồn đầu ngày]]/Table_Main[[#This Row],[Tồn kho đầu ngày]],0)</f>
        <v>0</v>
      </c>
      <c r="J23" s="416">
        <f>IFERROR(Table_Main[[#This Row],[Giá trị tồn cuối ngày]]/Table_Main[[#This Row],[Tồn kho cuối ngày]],0)</f>
        <v>0</v>
      </c>
      <c r="K23" s="411">
        <v>45786</v>
      </c>
      <c r="L23"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3" s="29">
        <f>IFERROR(MONTH(Table_Main[[#This Row],[Ngày lên đơn]]),0)</f>
        <v>5</v>
      </c>
      <c r="N23" s="51">
        <f>IF(Table_Main[[#This Row],[Ngày lên đơn]]=0,"",Table_Main[[#This Row],[Ngày xuất nhập]]-Table_Main[[#This Row],[Ngày lên đơn]])</f>
        <v>0</v>
      </c>
      <c r="O23" s="230" t="s">
        <v>53</v>
      </c>
      <c r="P23" s="230" t="s">
        <v>1155</v>
      </c>
      <c r="Q23" s="404">
        <v>8</v>
      </c>
      <c r="R23" s="516"/>
      <c r="S23" s="530">
        <f>IFERROR(VLOOKUP(Table_Main[[#This Row],[Đơn Mua]],Table_DonMua[[Mã Đơn mua]:[Add]],COUNTA(Table_DonMua[[#Headers],[Mã Đơn mua]:[Mã Đối tác]]),0),0)</f>
        <v>0</v>
      </c>
      <c r="T23" s="405"/>
      <c r="U23" s="48">
        <f xml:space="preserve">
IF(NOT(ISBLANK(Table_Main[[#This Row],[Đơn Mua]])),Table_Main[[#This Row],[Số lượng]]*Table_Main[[#This Row],[Giá nhập]],Table_Main[[#This Row],[Số lượng]]*Table_Main[[#This Row],[Giá trị bình quân đầu ngày]])</f>
        <v>0</v>
      </c>
      <c r="V2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3" s="48">
        <f>IF(Table_Main[[#This Row],[Đơn Mua]]="", 0,IFERROR(Table_Main[[#This Row],[Tỷ suất VAT khấu trừ]]*(Table_Main[[#This Row],[Giá trị hàng nhập]]/(1+Table_Main[[#This Row],[Tỷ suất VAT khấu trừ]])),0))</f>
        <v>0</v>
      </c>
      <c r="X23" s="516" t="s">
        <v>1217</v>
      </c>
      <c r="Y23" s="28" t="str">
        <f>IFERROR(VLOOKUP(Table_Main[[#This Row],[Đơn bán]],Table_DonBan[[Mã Đơn bán]:[Add]],COUNTA(Table_DonBan[[#Headers],[Mã Đơn bán]:[Mã Khách]]),0),0)</f>
        <v>KH1</v>
      </c>
      <c r="Z23" s="48">
        <f>IF(ISBLANK(Table_Main[[#This Row],[Đơn bán]]),0,
VLOOKUP(Table_Main[[#This Row],[Mã SKU]],Table_SKU[[Mã SKU]:[Giá bán]],COUNTA(Table_SKU[[#Headers],[Mã SKU]:[Giá bán]]),0))</f>
        <v>500000</v>
      </c>
      <c r="AA23" s="48">
        <f>IF(ISBLANK(Table_Main[[#This Row],[Đơn bán]]),0,
IF(Table_Main[[#This Row],[Loại]] = "Xuất",Table_Main[[#This Row],[Giá bán niêm yết]]*Table_Main[[#This Row],[Số lượng]],-Table_Main[[#This Row],[Giá bán niêm yết]]*Table_Main[[#This Row],[Số lượng]]))</f>
        <v>4000000</v>
      </c>
      <c r="AB23" s="230"/>
      <c r="AC2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4000000</v>
      </c>
      <c r="AF23" s="66">
        <f>IFERROR(
VLOOKUP(Table_Main[[#This Row],[Mã SKU]],Table_SKU[[Mã SKU]:[Tỷ suất VAT]],COUNTA(Table_SKU[[#Headers],[Mã SKU]:[Tỷ suất VAT]]),0),0)</f>
        <v>0</v>
      </c>
      <c r="AG23" s="48">
        <f xml:space="preserve">
IF(Table_Main[[#This Row],[Đơn bán]]="", 0,Table_Main[[#This Row],[Tỷ suất VAT]]*Table_Main[[#This Row],[Giá trị bán trước VAT]])</f>
        <v>0</v>
      </c>
      <c r="AH23" s="51">
        <f>IFERROR(VLOOKUP(Table_Main[[#This Row],[Đơn bán]],Table_DonBan[[Mã Đơn bán]:[Add]],COUNTA(Table_DonBan[[#Headers],[Mã Đơn bán]:[Mã NV]]),0),0)</f>
        <v>0</v>
      </c>
      <c r="AI2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3" s="48">
        <f>IFERROR(Table_Main[[#This Row],[Giá trị bán trước VAT]]*Table_Main[[#This Row],[Tỷ lệ hoa hồng]],"")</f>
        <v>0</v>
      </c>
      <c r="AK23" s="48">
        <f>IFERROR(VLOOKUP(Table_Main[[#This Row],[Đơn bán]],Table_DonBan[[Mã Đơn bán]:[Add]],COUNTA(Table_DonBan[[#Headers],[Mã Đơn bán]:[Kênh]]),0),0)</f>
        <v>0</v>
      </c>
      <c r="AL2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3" s="48">
        <f>IFERROR(Table_Main[[#This Row],[Giá trị bán trước VAT]]*Table_Main[[#This Row],[Tỷ lệ CK kênh]],"")</f>
        <v>0</v>
      </c>
      <c r="AN23" s="230"/>
      <c r="AO23" s="232"/>
      <c r="AP23" s="226">
        <f>Table_Main[[#This Row],[ĐK - Phân loại]]*Table_Main[[#This Row],[ĐK - Thời gian]]*Table_Main[[#This Row],[ĐK - Giá trị]]*Table_Main[[#This Row],[ĐK - Số lượng]]*Table_Main[[#This Row],[ĐK - Sinh nhật]]*Table_Main[[#This Row],[ĐK - Ngày mua cuối]]</f>
        <v>1</v>
      </c>
      <c r="AQ23" s="226">
        <f xml:space="preserve">
IF(ISBLANK(Table_Main[[#This Row],[Chương trình]]),1,
IF(VLOOKUP(Table_Main[[#This Row],[Chương trình]],Table_ChuongTrinh[[Mã Chương trình]:[Đối tượng CK]],Sheet_ChuongTrinh!$C$1,0) = "Sản phẩm",1,0))</f>
        <v>1</v>
      </c>
      <c r="AR2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4" spans="2:48" ht="18" customHeight="1" x14ac:dyDescent="0.3">
      <c r="B24" s="516" t="s">
        <v>1151</v>
      </c>
      <c r="C24" s="516"/>
      <c r="D24" s="530" t="str">
        <f>IF(ISBLANK(Table_Main[[#This Row],[Mã SKU]]),Table_Main[[#This Row],[Mã Nguyên liệu]],Table_Main[[#This Row],[Mã SKU]])</f>
        <v>TP2</v>
      </c>
      <c r="E24" s="416" cm="1">
        <f t="array" ref="E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49</v>
      </c>
      <c r="F24" s="416" cm="1">
        <f t="array" ref="F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v>
      </c>
      <c r="G24" s="416" cm="1">
        <f t="array" ref="G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4" s="416" cm="1">
        <f t="array" ref="H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4" s="416">
        <f>IFERROR(Table_Main[[#This Row],[Giá trị tồn đầu ngày]]/Table_Main[[#This Row],[Tồn kho đầu ngày]],0)</f>
        <v>0</v>
      </c>
      <c r="J24" s="416">
        <f>IFERROR(Table_Main[[#This Row],[Giá trị tồn cuối ngày]]/Table_Main[[#This Row],[Tồn kho cuối ngày]],0)</f>
        <v>0</v>
      </c>
      <c r="K24" s="411">
        <v>45784</v>
      </c>
      <c r="L24" s="47">
        <f xml:space="preserve">
IFERROR(
IFERROR(
VLOOKUP(Table_Main[[#This Row],[Đơn Mua]],Table_DonMua[[Mã Đơn mua]:[Add]],COUNTA(Table_DonMua[[#Headers],[Mã Đơn mua]:[Ngày lập]]),0),
VLOOKUP(Table_Main[[#This Row],[Đơn bán]],Table_DonBan[[Mã Đơn bán]:[Add]], COUNTA(Table_DonBan[[#Headers],[Mã Đơn bán]:[Ngày lập]]),0)),0)</f>
        <v>45784</v>
      </c>
      <c r="M24" s="29">
        <f>IFERROR(MONTH(Table_Main[[#This Row],[Ngày lên đơn]]),0)</f>
        <v>5</v>
      </c>
      <c r="N24" s="51">
        <f>IF(Table_Main[[#This Row],[Ngày lên đơn]]=0,"",Table_Main[[#This Row],[Ngày xuất nhập]]-Table_Main[[#This Row],[Ngày lên đơn]])</f>
        <v>0</v>
      </c>
      <c r="O24" s="230" t="s">
        <v>53</v>
      </c>
      <c r="P24" s="230" t="s">
        <v>1155</v>
      </c>
      <c r="Q24" s="404">
        <v>34</v>
      </c>
      <c r="R24" s="516"/>
      <c r="S24" s="530">
        <f>IFERROR(VLOOKUP(Table_Main[[#This Row],[Đơn Mua]],Table_DonMua[[Mã Đơn mua]:[Add]],COUNTA(Table_DonMua[[#Headers],[Mã Đơn mua]:[Mã Đối tác]]),0),0)</f>
        <v>0</v>
      </c>
      <c r="T24" s="405"/>
      <c r="U24" s="48">
        <f xml:space="preserve">
IF(NOT(ISBLANK(Table_Main[[#This Row],[Đơn Mua]])),Table_Main[[#This Row],[Số lượng]]*Table_Main[[#This Row],[Giá nhập]],Table_Main[[#This Row],[Số lượng]]*Table_Main[[#This Row],[Giá trị bình quân đầu ngày]])</f>
        <v>0</v>
      </c>
      <c r="V2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4" s="48">
        <f>IF(Table_Main[[#This Row],[Đơn Mua]]="", 0,IFERROR(Table_Main[[#This Row],[Tỷ suất VAT khấu trừ]]*(Table_Main[[#This Row],[Giá trị hàng nhập]]/(1+Table_Main[[#This Row],[Tỷ suất VAT khấu trừ]])),0))</f>
        <v>0</v>
      </c>
      <c r="X24" s="516" t="s">
        <v>1216</v>
      </c>
      <c r="Y24" s="28" t="str">
        <f>IFERROR(VLOOKUP(Table_Main[[#This Row],[Đơn bán]],Table_DonBan[[Mã Đơn bán]:[Add]],COUNTA(Table_DonBan[[#Headers],[Mã Đơn bán]:[Mã Khách]]),0),0)</f>
        <v>KH1</v>
      </c>
      <c r="Z24" s="48">
        <f>IF(ISBLANK(Table_Main[[#This Row],[Đơn bán]]),0,
VLOOKUP(Table_Main[[#This Row],[Mã SKU]],Table_SKU[[Mã SKU]:[Giá bán]],COUNTA(Table_SKU[[#Headers],[Mã SKU]:[Giá bán]]),0))</f>
        <v>500000</v>
      </c>
      <c r="AA24" s="48">
        <f>IF(ISBLANK(Table_Main[[#This Row],[Đơn bán]]),0,
IF(Table_Main[[#This Row],[Loại]] = "Xuất",Table_Main[[#This Row],[Giá bán niêm yết]]*Table_Main[[#This Row],[Số lượng]],-Table_Main[[#This Row],[Giá bán niêm yết]]*Table_Main[[#This Row],[Số lượng]]))</f>
        <v>17000000</v>
      </c>
      <c r="AB24" s="230"/>
      <c r="AC2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17000000</v>
      </c>
      <c r="AF24" s="66">
        <f>IFERROR(
VLOOKUP(Table_Main[[#This Row],[Mã SKU]],Table_SKU[[Mã SKU]:[Tỷ suất VAT]],COUNTA(Table_SKU[[#Headers],[Mã SKU]:[Tỷ suất VAT]]),0),0)</f>
        <v>0</v>
      </c>
      <c r="AG24" s="48">
        <f xml:space="preserve">
IF(Table_Main[[#This Row],[Đơn bán]]="", 0,Table_Main[[#This Row],[Tỷ suất VAT]]*Table_Main[[#This Row],[Giá trị bán trước VAT]])</f>
        <v>0</v>
      </c>
      <c r="AH24" s="51">
        <f>IFERROR(VLOOKUP(Table_Main[[#This Row],[Đơn bán]],Table_DonBan[[Mã Đơn bán]:[Add]],COUNTA(Table_DonBan[[#Headers],[Mã Đơn bán]:[Mã NV]]),0),0)</f>
        <v>0</v>
      </c>
      <c r="AI2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4" s="48">
        <f>IFERROR(Table_Main[[#This Row],[Giá trị bán trước VAT]]*Table_Main[[#This Row],[Tỷ lệ hoa hồng]],"")</f>
        <v>0</v>
      </c>
      <c r="AK24" s="48">
        <f>IFERROR(VLOOKUP(Table_Main[[#This Row],[Đơn bán]],Table_DonBan[[Mã Đơn bán]:[Add]],COUNTA(Table_DonBan[[#Headers],[Mã Đơn bán]:[Kênh]]),0),0)</f>
        <v>0</v>
      </c>
      <c r="AL2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4" s="48">
        <f>IFERROR(Table_Main[[#This Row],[Giá trị bán trước VAT]]*Table_Main[[#This Row],[Tỷ lệ CK kênh]],"")</f>
        <v>0</v>
      </c>
      <c r="AN24" s="230"/>
      <c r="AO24" s="232"/>
      <c r="AP24" s="226">
        <f>Table_Main[[#This Row],[ĐK - Phân loại]]*Table_Main[[#This Row],[ĐK - Thời gian]]*Table_Main[[#This Row],[ĐK - Giá trị]]*Table_Main[[#This Row],[ĐK - Số lượng]]*Table_Main[[#This Row],[ĐK - Sinh nhật]]*Table_Main[[#This Row],[ĐK - Ngày mua cuối]]</f>
        <v>1</v>
      </c>
      <c r="AQ24" s="226">
        <f xml:space="preserve">
IF(ISBLANK(Table_Main[[#This Row],[Chương trình]]),1,
IF(VLOOKUP(Table_Main[[#This Row],[Chương trình]],Table_ChuongTrinh[[Mã Chương trình]:[Đối tượng CK]],Sheet_ChuongTrinh!$C$1,0) = "Sản phẩm",1,0))</f>
        <v>1</v>
      </c>
      <c r="AR2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5" spans="2:48" ht="18" customHeight="1" x14ac:dyDescent="0.3">
      <c r="B25" s="516" t="s">
        <v>1149</v>
      </c>
      <c r="C25" s="516"/>
      <c r="D25" s="530" t="str">
        <f>IF(ISBLANK(Table_Main[[#This Row],[Mã SKU]]),Table_Main[[#This Row],[Mã Nguyên liệu]],Table_Main[[#This Row],[Mã SKU]])</f>
        <v>HH1</v>
      </c>
      <c r="E25" s="416" cm="1">
        <f t="array" ref="E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v>
      </c>
      <c r="F25" s="416" cm="1">
        <f t="array" ref="F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48</v>
      </c>
      <c r="G25" s="416" cm="1">
        <f t="array" ref="G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280105.49253731407</v>
      </c>
      <c r="H25" s="416" cm="1">
        <f t="array" ref="H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2851385.4925373141</v>
      </c>
      <c r="I25" s="416">
        <f>IFERROR(Table_Main[[#This Row],[Giá trị tồn đầu ngày]]/Table_Main[[#This Row],[Tồn kho đầu ngày]],0)</f>
        <v>35013.186567164259</v>
      </c>
      <c r="J25" s="416">
        <f>IFERROR(Table_Main[[#This Row],[Giá trị tồn cuối ngày]]/Table_Main[[#This Row],[Tồn kho cuối ngày]],0)</f>
        <v>59403.86442786071</v>
      </c>
      <c r="K25" s="411">
        <v>45784</v>
      </c>
      <c r="L25" s="47">
        <f xml:space="preserve">
IFERROR(
IFERROR(
VLOOKUP(Table_Main[[#This Row],[Đơn Mua]],Table_DonMua[[Mã Đơn mua]:[Add]],COUNTA(Table_DonMua[[#Headers],[Mã Đơn mua]:[Ngày lập]]),0),
VLOOKUP(Table_Main[[#This Row],[Đơn bán]],Table_DonBan[[Mã Đơn bán]:[Add]], COUNTA(Table_DonBan[[#Headers],[Mã Đơn bán]:[Ngày lập]]),0)),0)</f>
        <v>45782</v>
      </c>
      <c r="M25" s="29">
        <f>IFERROR(MONTH(Table_Main[[#This Row],[Ngày lên đơn]]),0)</f>
        <v>5</v>
      </c>
      <c r="N25" s="51">
        <f>IF(Table_Main[[#This Row],[Ngày lên đơn]]=0,"",Table_Main[[#This Row],[Ngày xuất nhập]]-Table_Main[[#This Row],[Ngày lên đơn]])</f>
        <v>2</v>
      </c>
      <c r="O25" s="230" t="s">
        <v>1154</v>
      </c>
      <c r="P25" s="230" t="s">
        <v>1155</v>
      </c>
      <c r="Q25" s="404">
        <v>40</v>
      </c>
      <c r="R25" s="516" t="s">
        <v>1173</v>
      </c>
      <c r="S25" s="530" t="str">
        <f>IFERROR(VLOOKUP(Table_Main[[#This Row],[Đơn Mua]],Table_DonMua[[Mã Đơn mua]:[Add]],COUNTA(Table_DonMua[[#Headers],[Mã Đơn mua]:[Mã Đối tác]]),0),0)</f>
        <v>NCC1</v>
      </c>
      <c r="T25" s="405">
        <v>64282</v>
      </c>
      <c r="U25" s="48">
        <f xml:space="preserve">
IF(NOT(ISBLANK(Table_Main[[#This Row],[Đơn Mua]])),Table_Main[[#This Row],[Số lượng]]*Table_Main[[#This Row],[Giá nhập]],Table_Main[[#This Row],[Số lượng]]*Table_Main[[#This Row],[Giá trị bình quân đầu ngày]])</f>
        <v>2571280</v>
      </c>
      <c r="V2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5" s="48">
        <f>IF(Table_Main[[#This Row],[Đơn Mua]]="", 0,IFERROR(Table_Main[[#This Row],[Tỷ suất VAT khấu trừ]]*(Table_Main[[#This Row],[Giá trị hàng nhập]]/(1+Table_Main[[#This Row],[Tỷ suất VAT khấu trừ]])),0))</f>
        <v>0</v>
      </c>
      <c r="X25" s="516"/>
      <c r="Y25" s="28">
        <f>IFERROR(VLOOKUP(Table_Main[[#This Row],[Đơn bán]],Table_DonBan[[Mã Đơn bán]:[Add]],COUNTA(Table_DonBan[[#Headers],[Mã Đơn bán]:[Mã Khách]]),0),0)</f>
        <v>0</v>
      </c>
      <c r="Z25" s="48">
        <f>IF(ISBLANK(Table_Main[[#This Row],[Đơn bán]]),0,
VLOOKUP(Table_Main[[#This Row],[Mã SKU]],Table_SKU[[Mã SKU]:[Giá bán]],COUNTA(Table_SKU[[#Headers],[Mã SKU]:[Giá bán]]),0))</f>
        <v>0</v>
      </c>
      <c r="AA25" s="48">
        <f>IF(ISBLANK(Table_Main[[#This Row],[Đơn bán]]),0,
IF(Table_Main[[#This Row],[Loại]] = "Xuất",Table_Main[[#This Row],[Giá bán niêm yết]]*Table_Main[[#This Row],[Số lượng]],-Table_Main[[#This Row],[Giá bán niêm yết]]*Table_Main[[#This Row],[Số lượng]]))</f>
        <v>0</v>
      </c>
      <c r="AB25" s="230"/>
      <c r="AC2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5" s="66">
        <f>IFERROR(
VLOOKUP(Table_Main[[#This Row],[Mã SKU]],Table_SKU[[Mã SKU]:[Tỷ suất VAT]],COUNTA(Table_SKU[[#Headers],[Mã SKU]:[Tỷ suất VAT]]),0),0)</f>
        <v>0</v>
      </c>
      <c r="AG25" s="48">
        <f xml:space="preserve">
IF(Table_Main[[#This Row],[Đơn bán]]="", 0,Table_Main[[#This Row],[Tỷ suất VAT]]*Table_Main[[#This Row],[Giá trị bán trước VAT]])</f>
        <v>0</v>
      </c>
      <c r="AH25" s="51">
        <f>IFERROR(VLOOKUP(Table_Main[[#This Row],[Đơn bán]],Table_DonBan[[Mã Đơn bán]:[Add]],COUNTA(Table_DonBan[[#Headers],[Mã Đơn bán]:[Mã NV]]),0),0)</f>
        <v>0</v>
      </c>
      <c r="AI2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5" s="48">
        <f>IFERROR(Table_Main[[#This Row],[Giá trị bán trước VAT]]*Table_Main[[#This Row],[Tỷ lệ hoa hồng]],"")</f>
        <v>0</v>
      </c>
      <c r="AK25" s="48">
        <f>IFERROR(VLOOKUP(Table_Main[[#This Row],[Đơn bán]],Table_DonBan[[Mã Đơn bán]:[Add]],COUNTA(Table_DonBan[[#Headers],[Mã Đơn bán]:[Kênh]]),0),0)</f>
        <v>0</v>
      </c>
      <c r="AL2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5" s="48">
        <f>IFERROR(Table_Main[[#This Row],[Giá trị bán trước VAT]]*Table_Main[[#This Row],[Tỷ lệ CK kênh]],"")</f>
        <v>0</v>
      </c>
      <c r="AN25" s="230"/>
      <c r="AO25" s="232"/>
      <c r="AP25" s="226">
        <f>Table_Main[[#This Row],[ĐK - Phân loại]]*Table_Main[[#This Row],[ĐK - Thời gian]]*Table_Main[[#This Row],[ĐK - Giá trị]]*Table_Main[[#This Row],[ĐK - Số lượng]]*Table_Main[[#This Row],[ĐK - Sinh nhật]]*Table_Main[[#This Row],[ĐK - Ngày mua cuối]]</f>
        <v>1</v>
      </c>
      <c r="AQ25" s="226">
        <f xml:space="preserve">
IF(ISBLANK(Table_Main[[#This Row],[Chương trình]]),1,
IF(VLOOKUP(Table_Main[[#This Row],[Chương trình]],Table_ChuongTrinh[[Mã Chương trình]:[Đối tượng CK]],Sheet_ChuongTrinh!$C$1,0) = "Sản phẩm",1,0))</f>
        <v>1</v>
      </c>
      <c r="AR2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6" spans="2:48" ht="18" customHeight="1" x14ac:dyDescent="0.3">
      <c r="B26" s="516" t="s">
        <v>1150</v>
      </c>
      <c r="C26" s="516"/>
      <c r="D26" s="530" t="str">
        <f>IF(ISBLANK(Table_Main[[#This Row],[Mã SKU]]),Table_Main[[#This Row],[Mã Nguyên liệu]],Table_Main[[#This Row],[Mã SKU]])</f>
        <v>TP1</v>
      </c>
      <c r="E26" s="416" cm="1">
        <f t="array" ref="E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26" s="416" cm="1">
        <f t="array" ref="F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135</v>
      </c>
      <c r="G26" s="416" cm="1">
        <f t="array" ref="G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6" s="416" cm="1">
        <f t="array" ref="H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6" s="416">
        <f>IFERROR(Table_Main[[#This Row],[Giá trị tồn đầu ngày]]/Table_Main[[#This Row],[Tồn kho đầu ngày]],0)</f>
        <v>0</v>
      </c>
      <c r="J26" s="416">
        <f>IFERROR(Table_Main[[#This Row],[Giá trị tồn cuối ngày]]/Table_Main[[#This Row],[Tồn kho cuối ngày]],0)</f>
        <v>0</v>
      </c>
      <c r="K26" s="411">
        <v>45782</v>
      </c>
      <c r="L2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6" s="29">
        <f>IFERROR(MONTH(Table_Main[[#This Row],[Ngày lên đơn]]),0)</f>
        <v>1</v>
      </c>
      <c r="N26" s="51" t="str">
        <f>IF(Table_Main[[#This Row],[Ngày lên đơn]]=0,"",Table_Main[[#This Row],[Ngày xuất nhập]]-Table_Main[[#This Row],[Ngày lên đơn]])</f>
        <v/>
      </c>
      <c r="O26" s="230" t="s">
        <v>1154</v>
      </c>
      <c r="P26" s="230" t="s">
        <v>1155</v>
      </c>
      <c r="Q26" s="404">
        <v>5</v>
      </c>
      <c r="R26" s="516"/>
      <c r="S26" s="530">
        <f>IFERROR(VLOOKUP(Table_Main[[#This Row],[Đơn Mua]],Table_DonMua[[Mã Đơn mua]:[Add]],COUNTA(Table_DonMua[[#Headers],[Mã Đơn mua]:[Mã Đối tác]]),0),0)</f>
        <v>0</v>
      </c>
      <c r="T26" s="405"/>
      <c r="U26" s="48">
        <f xml:space="preserve">
IF(NOT(ISBLANK(Table_Main[[#This Row],[Đơn Mua]])),Table_Main[[#This Row],[Số lượng]]*Table_Main[[#This Row],[Giá nhập]],Table_Main[[#This Row],[Số lượng]]*Table_Main[[#This Row],[Giá trị bình quân đầu ngày]])</f>
        <v>0</v>
      </c>
      <c r="V2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6" s="48">
        <f>IF(Table_Main[[#This Row],[Đơn Mua]]="", 0,IFERROR(Table_Main[[#This Row],[Tỷ suất VAT khấu trừ]]*(Table_Main[[#This Row],[Giá trị hàng nhập]]/(1+Table_Main[[#This Row],[Tỷ suất VAT khấu trừ]])),0))</f>
        <v>0</v>
      </c>
      <c r="X26" s="516"/>
      <c r="Y26" s="28">
        <f>IFERROR(VLOOKUP(Table_Main[[#This Row],[Đơn bán]],Table_DonBan[[Mã Đơn bán]:[Add]],COUNTA(Table_DonBan[[#Headers],[Mã Đơn bán]:[Mã Khách]]),0),0)</f>
        <v>0</v>
      </c>
      <c r="Z26" s="48">
        <f>IF(ISBLANK(Table_Main[[#This Row],[Đơn bán]]),0,
VLOOKUP(Table_Main[[#This Row],[Mã SKU]],Table_SKU[[Mã SKU]:[Giá bán]],COUNTA(Table_SKU[[#Headers],[Mã SKU]:[Giá bán]]),0))</f>
        <v>0</v>
      </c>
      <c r="AA26" s="48">
        <f>IF(ISBLANK(Table_Main[[#This Row],[Đơn bán]]),0,
IF(Table_Main[[#This Row],[Loại]] = "Xuất",Table_Main[[#This Row],[Giá bán niêm yết]]*Table_Main[[#This Row],[Số lượng]],-Table_Main[[#This Row],[Giá bán niêm yết]]*Table_Main[[#This Row],[Số lượng]]))</f>
        <v>0</v>
      </c>
      <c r="AB26" s="230"/>
      <c r="AC2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6" s="66">
        <f>IFERROR(
VLOOKUP(Table_Main[[#This Row],[Mã SKU]],Table_SKU[[Mã SKU]:[Tỷ suất VAT]],COUNTA(Table_SKU[[#Headers],[Mã SKU]:[Tỷ suất VAT]]),0),0)</f>
        <v>0</v>
      </c>
      <c r="AG26" s="48">
        <f xml:space="preserve">
IF(Table_Main[[#This Row],[Đơn bán]]="", 0,Table_Main[[#This Row],[Tỷ suất VAT]]*Table_Main[[#This Row],[Giá trị bán trước VAT]])</f>
        <v>0</v>
      </c>
      <c r="AH26" s="51">
        <f>IFERROR(VLOOKUP(Table_Main[[#This Row],[Đơn bán]],Table_DonBan[[Mã Đơn bán]:[Add]],COUNTA(Table_DonBan[[#Headers],[Mã Đơn bán]:[Mã NV]]),0),0)</f>
        <v>0</v>
      </c>
      <c r="AI2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6" s="48">
        <f>IFERROR(Table_Main[[#This Row],[Giá trị bán trước VAT]]*Table_Main[[#This Row],[Tỷ lệ hoa hồng]],"")</f>
        <v>0</v>
      </c>
      <c r="AK26" s="48">
        <f>IFERROR(VLOOKUP(Table_Main[[#This Row],[Đơn bán]],Table_DonBan[[Mã Đơn bán]:[Add]],COUNTA(Table_DonBan[[#Headers],[Mã Đơn bán]:[Kênh]]),0),0)</f>
        <v>0</v>
      </c>
      <c r="AL2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6" s="48">
        <f>IFERROR(Table_Main[[#This Row],[Giá trị bán trước VAT]]*Table_Main[[#This Row],[Tỷ lệ CK kênh]],"")</f>
        <v>0</v>
      </c>
      <c r="AN26" s="230"/>
      <c r="AO26" s="232"/>
      <c r="AP26" s="226">
        <f>Table_Main[[#This Row],[ĐK - Phân loại]]*Table_Main[[#This Row],[ĐK - Thời gian]]*Table_Main[[#This Row],[ĐK - Giá trị]]*Table_Main[[#This Row],[ĐK - Số lượng]]*Table_Main[[#This Row],[ĐK - Sinh nhật]]*Table_Main[[#This Row],[ĐK - Ngày mua cuối]]</f>
        <v>1</v>
      </c>
      <c r="AQ26" s="226">
        <f xml:space="preserve">
IF(ISBLANK(Table_Main[[#This Row],[Chương trình]]),1,
IF(VLOOKUP(Table_Main[[#This Row],[Chương trình]],Table_ChuongTrinh[[Mã Chương trình]:[Đối tượng CK]],Sheet_ChuongTrinh!$C$1,0) = "Sản phẩm",1,0))</f>
        <v>1</v>
      </c>
      <c r="AR2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7" spans="2:48" ht="18" customHeight="1" x14ac:dyDescent="0.3">
      <c r="B27" s="516" t="s">
        <v>1150</v>
      </c>
      <c r="C27" s="516"/>
      <c r="D27" s="530" t="str">
        <f>IF(ISBLANK(Table_Main[[#This Row],[Mã SKU]]),Table_Main[[#This Row],[Mã Nguyên liệu]],Table_Main[[#This Row],[Mã SKU]])</f>
        <v>TP1</v>
      </c>
      <c r="E27" s="416" cm="1">
        <f t="array" ref="E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146</v>
      </c>
      <c r="F27" s="416" cm="1">
        <f t="array" ref="F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27" s="416" cm="1">
        <f t="array" ref="G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7" s="416" cm="1">
        <f t="array" ref="H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7" s="416">
        <f>IFERROR(Table_Main[[#This Row],[Giá trị tồn đầu ngày]]/Table_Main[[#This Row],[Tồn kho đầu ngày]],0)</f>
        <v>0</v>
      </c>
      <c r="J27" s="416">
        <f>IFERROR(Table_Main[[#This Row],[Giá trị tồn cuối ngày]]/Table_Main[[#This Row],[Tồn kho cuối ngày]],0)</f>
        <v>0</v>
      </c>
      <c r="K27" s="411">
        <v>45779</v>
      </c>
      <c r="L27" s="47">
        <f xml:space="preserve">
IFERROR(
IFERROR(
VLOOKUP(Table_Main[[#This Row],[Đơn Mua]],Table_DonMua[[Mã Đơn mua]:[Add]],COUNTA(Table_DonMua[[#Headers],[Mã Đơn mua]:[Ngày lập]]),0),
VLOOKUP(Table_Main[[#This Row],[Đơn bán]],Table_DonBan[[Mã Đơn bán]:[Add]], COUNTA(Table_DonBan[[#Headers],[Mã Đơn bán]:[Ngày lập]]),0)),0)</f>
        <v>45779</v>
      </c>
      <c r="M27" s="29">
        <f>IFERROR(MONTH(Table_Main[[#This Row],[Ngày lên đơn]]),0)</f>
        <v>5</v>
      </c>
      <c r="N27" s="51">
        <f>IF(Table_Main[[#This Row],[Ngày lên đơn]]=0,"",Table_Main[[#This Row],[Ngày xuất nhập]]-Table_Main[[#This Row],[Ngày lên đơn]])</f>
        <v>0</v>
      </c>
      <c r="O27" s="230" t="s">
        <v>53</v>
      </c>
      <c r="P27" s="230" t="s">
        <v>1155</v>
      </c>
      <c r="Q27" s="404">
        <v>16</v>
      </c>
      <c r="R27" s="516"/>
      <c r="S27" s="530">
        <f>IFERROR(VLOOKUP(Table_Main[[#This Row],[Đơn Mua]],Table_DonMua[[Mã Đơn mua]:[Add]],COUNTA(Table_DonMua[[#Headers],[Mã Đơn mua]:[Mã Đối tác]]),0),0)</f>
        <v>0</v>
      </c>
      <c r="T27" s="405"/>
      <c r="U27" s="48">
        <f xml:space="preserve">
IF(NOT(ISBLANK(Table_Main[[#This Row],[Đơn Mua]])),Table_Main[[#This Row],[Số lượng]]*Table_Main[[#This Row],[Giá nhập]],Table_Main[[#This Row],[Số lượng]]*Table_Main[[#This Row],[Giá trị bình quân đầu ngày]])</f>
        <v>0</v>
      </c>
      <c r="V2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7" s="48">
        <f>IF(Table_Main[[#This Row],[Đơn Mua]]="", 0,IFERROR(Table_Main[[#This Row],[Tỷ suất VAT khấu trừ]]*(Table_Main[[#This Row],[Giá trị hàng nhập]]/(1+Table_Main[[#This Row],[Tỷ suất VAT khấu trừ]])),0))</f>
        <v>0</v>
      </c>
      <c r="X27" s="516" t="s">
        <v>1215</v>
      </c>
      <c r="Y27" s="28" t="str">
        <f>IFERROR(VLOOKUP(Table_Main[[#This Row],[Đơn bán]],Table_DonBan[[Mã Đơn bán]:[Add]],COUNTA(Table_DonBan[[#Headers],[Mã Đơn bán]:[Mã Khách]]),0),0)</f>
        <v>KH2</v>
      </c>
      <c r="Z27" s="48">
        <f>IF(ISBLANK(Table_Main[[#This Row],[Đơn bán]]),0,
VLOOKUP(Table_Main[[#This Row],[Mã SKU]],Table_SKU[[Mã SKU]:[Giá bán]],COUNTA(Table_SKU[[#Headers],[Mã SKU]:[Giá bán]]),0))</f>
        <v>300000</v>
      </c>
      <c r="AA27" s="48">
        <f>IF(ISBLANK(Table_Main[[#This Row],[Đơn bán]]),0,
IF(Table_Main[[#This Row],[Loại]] = "Xuất",Table_Main[[#This Row],[Giá bán niêm yết]]*Table_Main[[#This Row],[Số lượng]],-Table_Main[[#This Row],[Giá bán niêm yết]]*Table_Main[[#This Row],[Số lượng]]))</f>
        <v>4800000</v>
      </c>
      <c r="AB27" s="230"/>
      <c r="AC2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4800000</v>
      </c>
      <c r="AF27" s="66">
        <f>IFERROR(
VLOOKUP(Table_Main[[#This Row],[Mã SKU]],Table_SKU[[Mã SKU]:[Tỷ suất VAT]],COUNTA(Table_SKU[[#Headers],[Mã SKU]:[Tỷ suất VAT]]),0),0)</f>
        <v>0</v>
      </c>
      <c r="AG27" s="48">
        <f xml:space="preserve">
IF(Table_Main[[#This Row],[Đơn bán]]="", 0,Table_Main[[#This Row],[Tỷ suất VAT]]*Table_Main[[#This Row],[Giá trị bán trước VAT]])</f>
        <v>0</v>
      </c>
      <c r="AH27" s="51">
        <f>IFERROR(VLOOKUP(Table_Main[[#This Row],[Đơn bán]],Table_DonBan[[Mã Đơn bán]:[Add]],COUNTA(Table_DonBan[[#Headers],[Mã Đơn bán]:[Mã NV]]),0),0)</f>
        <v>0</v>
      </c>
      <c r="AI2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7" s="48">
        <f>IFERROR(Table_Main[[#This Row],[Giá trị bán trước VAT]]*Table_Main[[#This Row],[Tỷ lệ hoa hồng]],"")</f>
        <v>0</v>
      </c>
      <c r="AK27" s="48">
        <f>IFERROR(VLOOKUP(Table_Main[[#This Row],[Đơn bán]],Table_DonBan[[Mã Đơn bán]:[Add]],COUNTA(Table_DonBan[[#Headers],[Mã Đơn bán]:[Kênh]]),0),0)</f>
        <v>0</v>
      </c>
      <c r="AL2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7" s="48">
        <f>IFERROR(Table_Main[[#This Row],[Giá trị bán trước VAT]]*Table_Main[[#This Row],[Tỷ lệ CK kênh]],"")</f>
        <v>0</v>
      </c>
      <c r="AN27" s="230"/>
      <c r="AO27" s="232"/>
      <c r="AP27" s="226">
        <f>Table_Main[[#This Row],[ĐK - Phân loại]]*Table_Main[[#This Row],[ĐK - Thời gian]]*Table_Main[[#This Row],[ĐK - Giá trị]]*Table_Main[[#This Row],[ĐK - Số lượng]]*Table_Main[[#This Row],[ĐK - Sinh nhật]]*Table_Main[[#This Row],[ĐK - Ngày mua cuối]]</f>
        <v>1</v>
      </c>
      <c r="AQ27" s="226">
        <f xml:space="preserve">
IF(ISBLANK(Table_Main[[#This Row],[Chương trình]]),1,
IF(VLOOKUP(Table_Main[[#This Row],[Chương trình]],Table_ChuongTrinh[[Mã Chương trình]:[Đối tượng CK]],Sheet_ChuongTrinh!$C$1,0) = "Sản phẩm",1,0))</f>
        <v>1</v>
      </c>
      <c r="AR2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8" spans="2:48" ht="18" customHeight="1" x14ac:dyDescent="0.3">
      <c r="B28" s="516" t="s">
        <v>1151</v>
      </c>
      <c r="C28" s="516"/>
      <c r="D28" s="530" t="str">
        <f>IF(ISBLANK(Table_Main[[#This Row],[Mã SKU]]),Table_Main[[#This Row],[Mã Nguyên liệu]],Table_Main[[#This Row],[Mã SKU]])</f>
        <v>TP2</v>
      </c>
      <c r="E28" s="416" cm="1">
        <f t="array" ref="E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v>
      </c>
      <c r="F28" s="416" cm="1">
        <f t="array" ref="F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49</v>
      </c>
      <c r="G28" s="416" cm="1">
        <f t="array" ref="G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8" s="416" cm="1">
        <f t="array" ref="H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8" s="416">
        <f>IFERROR(Table_Main[[#This Row],[Giá trị tồn đầu ngày]]/Table_Main[[#This Row],[Tồn kho đầu ngày]],0)</f>
        <v>0</v>
      </c>
      <c r="J28" s="416">
        <f>IFERROR(Table_Main[[#This Row],[Giá trị tồn cuối ngày]]/Table_Main[[#This Row],[Tồn kho cuối ngày]],0)</f>
        <v>0</v>
      </c>
      <c r="K28" s="411">
        <v>45778</v>
      </c>
      <c r="L2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8" s="29">
        <f>IFERROR(MONTH(Table_Main[[#This Row],[Ngày lên đơn]]),0)</f>
        <v>1</v>
      </c>
      <c r="N28" s="51" t="str">
        <f>IF(Table_Main[[#This Row],[Ngày lên đơn]]=0,"",Table_Main[[#This Row],[Ngày xuất nhập]]-Table_Main[[#This Row],[Ngày lên đơn]])</f>
        <v/>
      </c>
      <c r="O28" s="230" t="s">
        <v>1154</v>
      </c>
      <c r="P28" s="230" t="s">
        <v>1155</v>
      </c>
      <c r="Q28" s="404">
        <v>29</v>
      </c>
      <c r="R28" s="516"/>
      <c r="S28" s="530">
        <f>IFERROR(VLOOKUP(Table_Main[[#This Row],[Đơn Mua]],Table_DonMua[[Mã Đơn mua]:[Add]],COUNTA(Table_DonMua[[#Headers],[Mã Đơn mua]:[Mã Đối tác]]),0),0)</f>
        <v>0</v>
      </c>
      <c r="T28" s="405"/>
      <c r="U28" s="48">
        <f xml:space="preserve">
IF(NOT(ISBLANK(Table_Main[[#This Row],[Đơn Mua]])),Table_Main[[#This Row],[Số lượng]]*Table_Main[[#This Row],[Giá nhập]],Table_Main[[#This Row],[Số lượng]]*Table_Main[[#This Row],[Giá trị bình quân đầu ngày]])</f>
        <v>0</v>
      </c>
      <c r="V2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8" s="48">
        <f>IF(Table_Main[[#This Row],[Đơn Mua]]="", 0,IFERROR(Table_Main[[#This Row],[Tỷ suất VAT khấu trừ]]*(Table_Main[[#This Row],[Giá trị hàng nhập]]/(1+Table_Main[[#This Row],[Tỷ suất VAT khấu trừ]])),0))</f>
        <v>0</v>
      </c>
      <c r="X28" s="516"/>
      <c r="Y28" s="28">
        <f>IFERROR(VLOOKUP(Table_Main[[#This Row],[Đơn bán]],Table_DonBan[[Mã Đơn bán]:[Add]],COUNTA(Table_DonBan[[#Headers],[Mã Đơn bán]:[Mã Khách]]),0),0)</f>
        <v>0</v>
      </c>
      <c r="Z28" s="48">
        <f>IF(ISBLANK(Table_Main[[#This Row],[Đơn bán]]),0,
VLOOKUP(Table_Main[[#This Row],[Mã SKU]],Table_SKU[[Mã SKU]:[Giá bán]],COUNTA(Table_SKU[[#Headers],[Mã SKU]:[Giá bán]]),0))</f>
        <v>0</v>
      </c>
      <c r="AA28" s="48">
        <f>IF(ISBLANK(Table_Main[[#This Row],[Đơn bán]]),0,
IF(Table_Main[[#This Row],[Loại]] = "Xuất",Table_Main[[#This Row],[Giá bán niêm yết]]*Table_Main[[#This Row],[Số lượng]],-Table_Main[[#This Row],[Giá bán niêm yết]]*Table_Main[[#This Row],[Số lượng]]))</f>
        <v>0</v>
      </c>
      <c r="AB28" s="230"/>
      <c r="AC2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8" s="66">
        <f>IFERROR(
VLOOKUP(Table_Main[[#This Row],[Mã SKU]],Table_SKU[[Mã SKU]:[Tỷ suất VAT]],COUNTA(Table_SKU[[#Headers],[Mã SKU]:[Tỷ suất VAT]]),0),0)</f>
        <v>0</v>
      </c>
      <c r="AG28" s="48">
        <f xml:space="preserve">
IF(Table_Main[[#This Row],[Đơn bán]]="", 0,Table_Main[[#This Row],[Tỷ suất VAT]]*Table_Main[[#This Row],[Giá trị bán trước VAT]])</f>
        <v>0</v>
      </c>
      <c r="AH28" s="51">
        <f>IFERROR(VLOOKUP(Table_Main[[#This Row],[Đơn bán]],Table_DonBan[[Mã Đơn bán]:[Add]],COUNTA(Table_DonBan[[#Headers],[Mã Đơn bán]:[Mã NV]]),0),0)</f>
        <v>0</v>
      </c>
      <c r="AI2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8" s="48">
        <f>IFERROR(Table_Main[[#This Row],[Giá trị bán trước VAT]]*Table_Main[[#This Row],[Tỷ lệ hoa hồng]],"")</f>
        <v>0</v>
      </c>
      <c r="AK28" s="48">
        <f>IFERROR(VLOOKUP(Table_Main[[#This Row],[Đơn bán]],Table_DonBan[[Mã Đơn bán]:[Add]],COUNTA(Table_DonBan[[#Headers],[Mã Đơn bán]:[Kênh]]),0),0)</f>
        <v>0</v>
      </c>
      <c r="AL2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8" s="48">
        <f>IFERROR(Table_Main[[#This Row],[Giá trị bán trước VAT]]*Table_Main[[#This Row],[Tỷ lệ CK kênh]],"")</f>
        <v>0</v>
      </c>
      <c r="AN28" s="230"/>
      <c r="AO28" s="232"/>
      <c r="AP28" s="226">
        <f>Table_Main[[#This Row],[ĐK - Phân loại]]*Table_Main[[#This Row],[ĐK - Thời gian]]*Table_Main[[#This Row],[ĐK - Giá trị]]*Table_Main[[#This Row],[ĐK - Số lượng]]*Table_Main[[#This Row],[ĐK - Sinh nhật]]*Table_Main[[#This Row],[ĐK - Ngày mua cuối]]</f>
        <v>1</v>
      </c>
      <c r="AQ28" s="226">
        <f xml:space="preserve">
IF(ISBLANK(Table_Main[[#This Row],[Chương trình]]),1,
IF(VLOOKUP(Table_Main[[#This Row],[Chương trình]],Table_ChuongTrinh[[Mã Chương trình]:[Đối tượng CK]],Sheet_ChuongTrinh!$C$1,0) = "Sản phẩm",1,0))</f>
        <v>1</v>
      </c>
      <c r="AR2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9" spans="2:48" ht="18" customHeight="1" x14ac:dyDescent="0.3">
      <c r="B29" s="523"/>
      <c r="C29" s="238" t="s">
        <v>1153</v>
      </c>
      <c r="D29" s="531" t="str">
        <f>IF(ISBLANK(Table_Main[[#This Row],[Mã SKU]]),Table_Main[[#This Row],[Mã Nguyên liệu]],Table_Main[[#This Row],[Mã SKU]])</f>
        <v>NL1</v>
      </c>
      <c r="E29" s="416" cm="1">
        <f t="array" ref="E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152</v>
      </c>
      <c r="F29" s="416" cm="1">
        <f t="array" ref="F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168</v>
      </c>
      <c r="G29" s="416" cm="1">
        <f t="array" ref="G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14971777.070175439</v>
      </c>
      <c r="H29" s="416" cm="1">
        <f t="array" ref="H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16339105.070175439</v>
      </c>
      <c r="I29" s="416">
        <f>IFERROR(Table_Main[[#This Row],[Giá trị tồn đầu ngày]]/Table_Main[[#This Row],[Tồn kho đầu ngày]],0)</f>
        <v>98498.533356417363</v>
      </c>
      <c r="J29" s="416">
        <f>IFERROR(Table_Main[[#This Row],[Giá trị tồn cuối ngày]]/Table_Main[[#This Row],[Tồn kho cuối ngày]],0)</f>
        <v>97256.577798663333</v>
      </c>
      <c r="K29" s="411">
        <v>45779</v>
      </c>
      <c r="L29" s="47">
        <f xml:space="preserve">
IFERROR(
IFERROR(
VLOOKUP(Table_Main[[#This Row],[Đơn Mua]],Table_DonMua[[Mã Đơn mua]:[Add]],COUNTA(Table_DonMua[[#Headers],[Mã Đơn mua]:[Ngày lập]]),0),
VLOOKUP(Table_Main[[#This Row],[Đơn bán]],Table_DonBan[[Mã Đơn bán]:[Add]], COUNTA(Table_DonBan[[#Headers],[Mã Đơn bán]:[Ngày lập]]),0)),0)</f>
        <v>45778</v>
      </c>
      <c r="M29" s="29">
        <f>IFERROR(MONTH(Table_Main[[#This Row],[Ngày lên đơn]]),0)</f>
        <v>5</v>
      </c>
      <c r="N29" s="51">
        <f>IF(Table_Main[[#This Row],[Ngày lên đơn]]=0,"",Table_Main[[#This Row],[Ngày xuất nhập]]-Table_Main[[#This Row],[Ngày lên đơn]])</f>
        <v>1</v>
      </c>
      <c r="O29" s="230" t="s">
        <v>1154</v>
      </c>
      <c r="P29" s="230" t="s">
        <v>1155</v>
      </c>
      <c r="Q29" s="404">
        <v>16</v>
      </c>
      <c r="R29" s="516" t="s">
        <v>1172</v>
      </c>
      <c r="S29" s="530" t="str">
        <f>IFERROR(VLOOKUP(Table_Main[[#This Row],[Đơn Mua]],Table_DonMua[[Mã Đơn mua]:[Add]],COUNTA(Table_DonMua[[#Headers],[Mã Đơn mua]:[Mã Đối tác]]),0),0)</f>
        <v>NCC2</v>
      </c>
      <c r="T29" s="405">
        <v>85458</v>
      </c>
      <c r="U29" s="48">
        <f xml:space="preserve">
IF(NOT(ISBLANK(Table_Main[[#This Row],[Đơn Mua]])),Table_Main[[#This Row],[Số lượng]]*Table_Main[[#This Row],[Giá nhập]],Table_Main[[#This Row],[Số lượng]]*Table_Main[[#This Row],[Giá trị bình quân đầu ngày]])</f>
        <v>1367328</v>
      </c>
      <c r="V2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9" s="48">
        <f>IF(Table_Main[[#This Row],[Đơn Mua]]="", 0,IFERROR(Table_Main[[#This Row],[Tỷ suất VAT khấu trừ]]*(Table_Main[[#This Row],[Giá trị hàng nhập]]/(1+Table_Main[[#This Row],[Tỷ suất VAT khấu trừ]])),0))</f>
        <v>0</v>
      </c>
      <c r="X29" s="516"/>
      <c r="Y29" s="28">
        <f>IFERROR(VLOOKUP(Table_Main[[#This Row],[Đơn bán]],Table_DonBan[[Mã Đơn bán]:[Add]],COUNTA(Table_DonBan[[#Headers],[Mã Đơn bán]:[Mã Khách]]),0),0)</f>
        <v>0</v>
      </c>
      <c r="Z29" s="48">
        <f>IF(ISBLANK(Table_Main[[#This Row],[Đơn bán]]),0,
VLOOKUP(Table_Main[[#This Row],[Mã SKU]],Table_SKU[[Mã SKU]:[Giá bán]],COUNTA(Table_SKU[[#Headers],[Mã SKU]:[Giá bán]]),0))</f>
        <v>0</v>
      </c>
      <c r="AA29" s="48">
        <f>IF(ISBLANK(Table_Main[[#This Row],[Đơn bán]]),0,
IF(Table_Main[[#This Row],[Loại]] = "Xuất",Table_Main[[#This Row],[Giá bán niêm yết]]*Table_Main[[#This Row],[Số lượng]],-Table_Main[[#This Row],[Giá bán niêm yết]]*Table_Main[[#This Row],[Số lượng]]))</f>
        <v>0</v>
      </c>
      <c r="AB29" s="230"/>
      <c r="AC2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9" s="66">
        <f>IFERROR(
VLOOKUP(Table_Main[[#This Row],[Mã SKU]],Table_SKU[[Mã SKU]:[Tỷ suất VAT]],COUNTA(Table_SKU[[#Headers],[Mã SKU]:[Tỷ suất VAT]]),0),0)</f>
        <v>0</v>
      </c>
      <c r="AG29" s="48">
        <f xml:space="preserve">
IF(Table_Main[[#This Row],[Đơn bán]]="", 0,Table_Main[[#This Row],[Tỷ suất VAT]]*Table_Main[[#This Row],[Giá trị bán trước VAT]])</f>
        <v>0</v>
      </c>
      <c r="AH29" s="51">
        <f>IFERROR(VLOOKUP(Table_Main[[#This Row],[Đơn bán]],Table_DonBan[[Mã Đơn bán]:[Add]],COUNTA(Table_DonBan[[#Headers],[Mã Đơn bán]:[Mã NV]]),0),0)</f>
        <v>0</v>
      </c>
      <c r="AI2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9" s="48">
        <f>IFERROR(Table_Main[[#This Row],[Giá trị bán trước VAT]]*Table_Main[[#This Row],[Tỷ lệ hoa hồng]],"")</f>
        <v>0</v>
      </c>
      <c r="AK29" s="48">
        <f>IFERROR(VLOOKUP(Table_Main[[#This Row],[Đơn bán]],Table_DonBan[[Mã Đơn bán]:[Add]],COUNTA(Table_DonBan[[#Headers],[Mã Đơn bán]:[Kênh]]),0),0)</f>
        <v>0</v>
      </c>
      <c r="AL2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9" s="48">
        <f>IFERROR(Table_Main[[#This Row],[Giá trị bán trước VAT]]*Table_Main[[#This Row],[Tỷ lệ CK kênh]],"")</f>
        <v>0</v>
      </c>
      <c r="AN29" s="230"/>
      <c r="AO29" s="232"/>
      <c r="AP29" s="226">
        <f>Table_Main[[#This Row],[ĐK - Phân loại]]*Table_Main[[#This Row],[ĐK - Thời gian]]*Table_Main[[#This Row],[ĐK - Giá trị]]*Table_Main[[#This Row],[ĐK - Số lượng]]*Table_Main[[#This Row],[ĐK - Sinh nhật]]*Table_Main[[#This Row],[ĐK - Ngày mua cuối]]</f>
        <v>1</v>
      </c>
      <c r="AQ29" s="226">
        <f xml:space="preserve">
IF(ISBLANK(Table_Main[[#This Row],[Chương trình]]),1,
IF(VLOOKUP(Table_Main[[#This Row],[Chương trình]],Table_ChuongTrinh[[Mã Chương trình]:[Đối tượng CK]],Sheet_ChuongTrinh!$C$1,0) = "Sản phẩm",1,0))</f>
        <v>1</v>
      </c>
      <c r="AR2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0" spans="2:48" ht="18" customHeight="1" x14ac:dyDescent="0.3">
      <c r="B30" s="516" t="s">
        <v>1151</v>
      </c>
      <c r="C30" s="516"/>
      <c r="D30" s="530" t="str">
        <f>IF(ISBLANK(Table_Main[[#This Row],[Mã SKU]]),Table_Main[[#This Row],[Mã Nguyên liệu]],Table_Main[[#This Row],[Mã SKU]])</f>
        <v>TP2</v>
      </c>
      <c r="E30" s="416" cm="1">
        <f t="array" ref="E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59</v>
      </c>
      <c r="F30" s="416" cm="1">
        <f t="array" ref="F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v>
      </c>
      <c r="G30" s="416" cm="1">
        <f t="array" ref="G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0" s="416" cm="1">
        <f t="array" ref="H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0" s="416">
        <f>IFERROR(Table_Main[[#This Row],[Giá trị tồn đầu ngày]]/Table_Main[[#This Row],[Tồn kho đầu ngày]],0)</f>
        <v>0</v>
      </c>
      <c r="J30" s="416">
        <f>IFERROR(Table_Main[[#This Row],[Giá trị tồn cuối ngày]]/Table_Main[[#This Row],[Tồn kho cuối ngày]],0)</f>
        <v>0</v>
      </c>
      <c r="K30" s="411">
        <v>45777</v>
      </c>
      <c r="L30" s="47">
        <f xml:space="preserve">
IFERROR(
IFERROR(
VLOOKUP(Table_Main[[#This Row],[Đơn Mua]],Table_DonMua[[Mã Đơn mua]:[Add]],COUNTA(Table_DonMua[[#Headers],[Mã Đơn mua]:[Ngày lập]]),0),
VLOOKUP(Table_Main[[#This Row],[Đơn bán]],Table_DonBan[[Mã Đơn bán]:[Add]], COUNTA(Table_DonBan[[#Headers],[Mã Đơn bán]:[Ngày lập]]),0)),0)</f>
        <v>45777</v>
      </c>
      <c r="M30" s="29">
        <f>IFERROR(MONTH(Table_Main[[#This Row],[Ngày lên đơn]]),0)</f>
        <v>4</v>
      </c>
      <c r="N30" s="51">
        <f>IF(Table_Main[[#This Row],[Ngày lên đơn]]=0,"",Table_Main[[#This Row],[Ngày xuất nhập]]-Table_Main[[#This Row],[Ngày lên đơn]])</f>
        <v>0</v>
      </c>
      <c r="O30" s="230" t="s">
        <v>53</v>
      </c>
      <c r="P30" s="230" t="s">
        <v>1155</v>
      </c>
      <c r="Q30" s="404">
        <v>39</v>
      </c>
      <c r="R30" s="516"/>
      <c r="S30" s="530">
        <f>IFERROR(VLOOKUP(Table_Main[[#This Row],[Đơn Mua]],Table_DonMua[[Mã Đơn mua]:[Add]],COUNTA(Table_DonMua[[#Headers],[Mã Đơn mua]:[Mã Đối tác]]),0),0)</f>
        <v>0</v>
      </c>
      <c r="T30" s="405"/>
      <c r="U30" s="48">
        <f xml:space="preserve">
IF(NOT(ISBLANK(Table_Main[[#This Row],[Đơn Mua]])),Table_Main[[#This Row],[Số lượng]]*Table_Main[[#This Row],[Giá nhập]],Table_Main[[#This Row],[Số lượng]]*Table_Main[[#This Row],[Giá trị bình quân đầu ngày]])</f>
        <v>0</v>
      </c>
      <c r="V3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0" s="48">
        <f>IF(Table_Main[[#This Row],[Đơn Mua]]="", 0,IFERROR(Table_Main[[#This Row],[Tỷ suất VAT khấu trừ]]*(Table_Main[[#This Row],[Giá trị hàng nhập]]/(1+Table_Main[[#This Row],[Tỷ suất VAT khấu trừ]])),0))</f>
        <v>0</v>
      </c>
      <c r="X30" s="516" t="s">
        <v>1214</v>
      </c>
      <c r="Y30" s="28" t="str">
        <f>IFERROR(VLOOKUP(Table_Main[[#This Row],[Đơn bán]],Table_DonBan[[Mã Đơn bán]:[Add]],COUNTA(Table_DonBan[[#Headers],[Mã Đơn bán]:[Mã Khách]]),0),0)</f>
        <v>KH3</v>
      </c>
      <c r="Z30" s="48">
        <f>IF(ISBLANK(Table_Main[[#This Row],[Đơn bán]]),0,
VLOOKUP(Table_Main[[#This Row],[Mã SKU]],Table_SKU[[Mã SKU]:[Giá bán]],COUNTA(Table_SKU[[#Headers],[Mã SKU]:[Giá bán]]),0))</f>
        <v>500000</v>
      </c>
      <c r="AA30" s="48">
        <f>IF(ISBLANK(Table_Main[[#This Row],[Đơn bán]]),0,
IF(Table_Main[[#This Row],[Loại]] = "Xuất",Table_Main[[#This Row],[Giá bán niêm yết]]*Table_Main[[#This Row],[Số lượng]],-Table_Main[[#This Row],[Giá bán niêm yết]]*Table_Main[[#This Row],[Số lượng]]))</f>
        <v>19500000</v>
      </c>
      <c r="AB30" s="230"/>
      <c r="AC3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19500000</v>
      </c>
      <c r="AF30" s="66">
        <f>IFERROR(
VLOOKUP(Table_Main[[#This Row],[Mã SKU]],Table_SKU[[Mã SKU]:[Tỷ suất VAT]],COUNTA(Table_SKU[[#Headers],[Mã SKU]:[Tỷ suất VAT]]),0),0)</f>
        <v>0</v>
      </c>
      <c r="AG30" s="48">
        <f xml:space="preserve">
IF(Table_Main[[#This Row],[Đơn bán]]="", 0,Table_Main[[#This Row],[Tỷ suất VAT]]*Table_Main[[#This Row],[Giá trị bán trước VAT]])</f>
        <v>0</v>
      </c>
      <c r="AH30" s="51">
        <f>IFERROR(VLOOKUP(Table_Main[[#This Row],[Đơn bán]],Table_DonBan[[Mã Đơn bán]:[Add]],COUNTA(Table_DonBan[[#Headers],[Mã Đơn bán]:[Mã NV]]),0),0)</f>
        <v>0</v>
      </c>
      <c r="AI3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0" s="48">
        <f>IFERROR(Table_Main[[#This Row],[Giá trị bán trước VAT]]*Table_Main[[#This Row],[Tỷ lệ hoa hồng]],"")</f>
        <v>0</v>
      </c>
      <c r="AK30" s="48">
        <f>IFERROR(VLOOKUP(Table_Main[[#This Row],[Đơn bán]],Table_DonBan[[Mã Đơn bán]:[Add]],COUNTA(Table_DonBan[[#Headers],[Mã Đơn bán]:[Kênh]]),0),0)</f>
        <v>0</v>
      </c>
      <c r="AL3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0" s="48">
        <f>IFERROR(Table_Main[[#This Row],[Giá trị bán trước VAT]]*Table_Main[[#This Row],[Tỷ lệ CK kênh]],"")</f>
        <v>0</v>
      </c>
      <c r="AN30" s="230"/>
      <c r="AO30" s="232"/>
      <c r="AP30" s="226">
        <f>Table_Main[[#This Row],[ĐK - Phân loại]]*Table_Main[[#This Row],[ĐK - Thời gian]]*Table_Main[[#This Row],[ĐK - Giá trị]]*Table_Main[[#This Row],[ĐK - Số lượng]]*Table_Main[[#This Row],[ĐK - Sinh nhật]]*Table_Main[[#This Row],[ĐK - Ngày mua cuối]]</f>
        <v>1</v>
      </c>
      <c r="AQ30" s="226">
        <f xml:space="preserve">
IF(ISBLANK(Table_Main[[#This Row],[Chương trình]]),1,
IF(VLOOKUP(Table_Main[[#This Row],[Chương trình]],Table_ChuongTrinh[[Mã Chương trình]:[Đối tượng CK]],Sheet_ChuongTrinh!$C$1,0) = "Sản phẩm",1,0))</f>
        <v>1</v>
      </c>
      <c r="AR3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1" spans="2:48" ht="18" customHeight="1" x14ac:dyDescent="0.3">
      <c r="B31" s="516" t="s">
        <v>1151</v>
      </c>
      <c r="C31" s="516"/>
      <c r="D31" s="530" t="str">
        <f>IF(ISBLANK(Table_Main[[#This Row],[Mã SKU]]),Table_Main[[#This Row],[Mã Nguyên liệu]],Table_Main[[#This Row],[Mã SKU]])</f>
        <v>TP2</v>
      </c>
      <c r="E31" s="416" cm="1">
        <f t="array" ref="E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31" s="416" cm="1">
        <f t="array" ref="F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59</v>
      </c>
      <c r="G31" s="416" cm="1">
        <f t="array" ref="G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1" s="416" cm="1">
        <f t="array" ref="H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1" s="416">
        <f>IFERROR(Table_Main[[#This Row],[Giá trị tồn đầu ngày]]/Table_Main[[#This Row],[Tồn kho đầu ngày]],0)</f>
        <v>0</v>
      </c>
      <c r="J31" s="416">
        <f>IFERROR(Table_Main[[#This Row],[Giá trị tồn cuối ngày]]/Table_Main[[#This Row],[Tồn kho cuối ngày]],0)</f>
        <v>0</v>
      </c>
      <c r="K31" s="411">
        <v>45776</v>
      </c>
      <c r="L31" s="47">
        <f xml:space="preserve">
IFERROR(
IFERROR(
VLOOKUP(Table_Main[[#This Row],[Đơn Mua]],Table_DonMua[[Mã Đơn mua]:[Add]],COUNTA(Table_DonMua[[#Headers],[Mã Đơn mua]:[Ngày lập]]),0),
VLOOKUP(Table_Main[[#This Row],[Đơn bán]],Table_DonBan[[Mã Đơn bán]:[Add]], COUNTA(Table_DonBan[[#Headers],[Mã Đơn bán]:[Ngày lập]]),0)),0)</f>
        <v>45776</v>
      </c>
      <c r="M31" s="29">
        <f>IFERROR(MONTH(Table_Main[[#This Row],[Ngày lên đơn]]),0)</f>
        <v>4</v>
      </c>
      <c r="N31" s="51">
        <f>IF(Table_Main[[#This Row],[Ngày lên đơn]]=0,"",Table_Main[[#This Row],[Ngày xuất nhập]]-Table_Main[[#This Row],[Ngày lên đơn]])</f>
        <v>0</v>
      </c>
      <c r="O31" s="230" t="s">
        <v>53</v>
      </c>
      <c r="P31" s="230" t="s">
        <v>1155</v>
      </c>
      <c r="Q31" s="404">
        <v>21</v>
      </c>
      <c r="R31" s="516"/>
      <c r="S31" s="530">
        <f>IFERROR(VLOOKUP(Table_Main[[#This Row],[Đơn Mua]],Table_DonMua[[Mã Đơn mua]:[Add]],COUNTA(Table_DonMua[[#Headers],[Mã Đơn mua]:[Mã Đối tác]]),0),0)</f>
        <v>0</v>
      </c>
      <c r="T31" s="405"/>
      <c r="U31" s="48">
        <f xml:space="preserve">
IF(NOT(ISBLANK(Table_Main[[#This Row],[Đơn Mua]])),Table_Main[[#This Row],[Số lượng]]*Table_Main[[#This Row],[Giá nhập]],Table_Main[[#This Row],[Số lượng]]*Table_Main[[#This Row],[Giá trị bình quân đầu ngày]])</f>
        <v>0</v>
      </c>
      <c r="V3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1" s="48">
        <f>IF(Table_Main[[#This Row],[Đơn Mua]]="", 0,IFERROR(Table_Main[[#This Row],[Tỷ suất VAT khấu trừ]]*(Table_Main[[#This Row],[Giá trị hàng nhập]]/(1+Table_Main[[#This Row],[Tỷ suất VAT khấu trừ]])),0))</f>
        <v>0</v>
      </c>
      <c r="X31" s="516" t="s">
        <v>1213</v>
      </c>
      <c r="Y31" s="28" t="str">
        <f>IFERROR(VLOOKUP(Table_Main[[#This Row],[Đơn bán]],Table_DonBan[[Mã Đơn bán]:[Add]],COUNTA(Table_DonBan[[#Headers],[Mã Đơn bán]:[Mã Khách]]),0),0)</f>
        <v>KH3</v>
      </c>
      <c r="Z31" s="48">
        <f>IF(ISBLANK(Table_Main[[#This Row],[Đơn bán]]),0,
VLOOKUP(Table_Main[[#This Row],[Mã SKU]],Table_SKU[[Mã SKU]:[Giá bán]],COUNTA(Table_SKU[[#Headers],[Mã SKU]:[Giá bán]]),0))</f>
        <v>500000</v>
      </c>
      <c r="AA31" s="48">
        <f>IF(ISBLANK(Table_Main[[#This Row],[Đơn bán]]),0,
IF(Table_Main[[#This Row],[Loại]] = "Xuất",Table_Main[[#This Row],[Giá bán niêm yết]]*Table_Main[[#This Row],[Số lượng]],-Table_Main[[#This Row],[Giá bán niêm yết]]*Table_Main[[#This Row],[Số lượng]]))</f>
        <v>10500000</v>
      </c>
      <c r="AB31" s="230"/>
      <c r="AC3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10500000</v>
      </c>
      <c r="AF31" s="66">
        <f>IFERROR(
VLOOKUP(Table_Main[[#This Row],[Mã SKU]],Table_SKU[[Mã SKU]:[Tỷ suất VAT]],COUNTA(Table_SKU[[#Headers],[Mã SKU]:[Tỷ suất VAT]]),0),0)</f>
        <v>0</v>
      </c>
      <c r="AG31" s="48">
        <f xml:space="preserve">
IF(Table_Main[[#This Row],[Đơn bán]]="", 0,Table_Main[[#This Row],[Tỷ suất VAT]]*Table_Main[[#This Row],[Giá trị bán trước VAT]])</f>
        <v>0</v>
      </c>
      <c r="AH31" s="51">
        <f>IFERROR(VLOOKUP(Table_Main[[#This Row],[Đơn bán]],Table_DonBan[[Mã Đơn bán]:[Add]],COUNTA(Table_DonBan[[#Headers],[Mã Đơn bán]:[Mã NV]]),0),0)</f>
        <v>0</v>
      </c>
      <c r="AI3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1" s="48">
        <f>IFERROR(Table_Main[[#This Row],[Giá trị bán trước VAT]]*Table_Main[[#This Row],[Tỷ lệ hoa hồng]],"")</f>
        <v>0</v>
      </c>
      <c r="AK31" s="48">
        <f>IFERROR(VLOOKUP(Table_Main[[#This Row],[Đơn bán]],Table_DonBan[[Mã Đơn bán]:[Add]],COUNTA(Table_DonBan[[#Headers],[Mã Đơn bán]:[Kênh]]),0),0)</f>
        <v>0</v>
      </c>
      <c r="AL3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1" s="48">
        <f>IFERROR(Table_Main[[#This Row],[Giá trị bán trước VAT]]*Table_Main[[#This Row],[Tỷ lệ CK kênh]],"")</f>
        <v>0</v>
      </c>
      <c r="AN31" s="230"/>
      <c r="AO31" s="232"/>
      <c r="AP31" s="226">
        <f>Table_Main[[#This Row],[ĐK - Phân loại]]*Table_Main[[#This Row],[ĐK - Thời gian]]*Table_Main[[#This Row],[ĐK - Giá trị]]*Table_Main[[#This Row],[ĐK - Số lượng]]*Table_Main[[#This Row],[ĐK - Sinh nhật]]*Table_Main[[#This Row],[ĐK - Ngày mua cuối]]</f>
        <v>1</v>
      </c>
      <c r="AQ31" s="226">
        <f xml:space="preserve">
IF(ISBLANK(Table_Main[[#This Row],[Chương trình]]),1,
IF(VLOOKUP(Table_Main[[#This Row],[Chương trình]],Table_ChuongTrinh[[Mã Chương trình]:[Đối tượng CK]],Sheet_ChuongTrinh!$C$1,0) = "Sản phẩm",1,0))</f>
        <v>1</v>
      </c>
      <c r="AR3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2" spans="2:48" ht="18" customHeight="1" x14ac:dyDescent="0.3">
      <c r="B32" s="523"/>
      <c r="C32" s="238" t="s">
        <v>1153</v>
      </c>
      <c r="D32" s="531" t="str">
        <f>IF(ISBLANK(Table_Main[[#This Row],[Mã SKU]]),Table_Main[[#This Row],[Mã Nguyên liệu]],Table_Main[[#This Row],[Mã SKU]])</f>
        <v>NL1</v>
      </c>
      <c r="E32" s="416" cm="1">
        <f t="array" ref="E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v>
      </c>
      <c r="F32" s="416" cm="1">
        <f t="array" ref="F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152</v>
      </c>
      <c r="G32" s="416" cm="1">
        <f t="array" ref="G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14023642.070175439</v>
      </c>
      <c r="H32" s="416" cm="1">
        <f t="array" ref="H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14971777.070175439</v>
      </c>
      <c r="I32" s="416">
        <f>IFERROR(Table_Main[[#This Row],[Giá trị tồn đầu ngày]]/Table_Main[[#This Row],[Tồn kho đầu ngày]],0)</f>
        <v>102362.35087719299</v>
      </c>
      <c r="J32" s="416">
        <f>IFERROR(Table_Main[[#This Row],[Giá trị tồn cuối ngày]]/Table_Main[[#This Row],[Tồn kho cuối ngày]],0)</f>
        <v>98498.533356417363</v>
      </c>
      <c r="K32" s="411">
        <v>45775</v>
      </c>
      <c r="L32" s="47">
        <f xml:space="preserve">
IFERROR(
IFERROR(
VLOOKUP(Table_Main[[#This Row],[Đơn Mua]],Table_DonMua[[Mã Đơn mua]:[Add]],COUNTA(Table_DonMua[[#Headers],[Mã Đơn mua]:[Ngày lập]]),0),
VLOOKUP(Table_Main[[#This Row],[Đơn bán]],Table_DonBan[[Mã Đơn bán]:[Add]], COUNTA(Table_DonBan[[#Headers],[Mã Đơn bán]:[Ngày lập]]),0)),0)</f>
        <v>45775</v>
      </c>
      <c r="M32" s="29">
        <f>IFERROR(MONTH(Table_Main[[#This Row],[Ngày lên đơn]]),0)</f>
        <v>4</v>
      </c>
      <c r="N32" s="51">
        <f>IF(Table_Main[[#This Row],[Ngày lên đơn]]=0,"",Table_Main[[#This Row],[Ngày xuất nhập]]-Table_Main[[#This Row],[Ngày lên đơn]])</f>
        <v>0</v>
      </c>
      <c r="O32" s="230" t="s">
        <v>1154</v>
      </c>
      <c r="P32" s="230" t="s">
        <v>1155</v>
      </c>
      <c r="Q32" s="404">
        <v>15</v>
      </c>
      <c r="R32" s="516" t="s">
        <v>1171</v>
      </c>
      <c r="S32" s="530" t="str">
        <f>IFERROR(VLOOKUP(Table_Main[[#This Row],[Đơn Mua]],Table_DonMua[[Mã Đơn mua]:[Add]],COUNTA(Table_DonMua[[#Headers],[Mã Đơn mua]:[Mã Đối tác]]),0),0)</f>
        <v>NCC1</v>
      </c>
      <c r="T32" s="405">
        <v>63209</v>
      </c>
      <c r="U32" s="48">
        <f xml:space="preserve">
IF(NOT(ISBLANK(Table_Main[[#This Row],[Đơn Mua]])),Table_Main[[#This Row],[Số lượng]]*Table_Main[[#This Row],[Giá nhập]],Table_Main[[#This Row],[Số lượng]]*Table_Main[[#This Row],[Giá trị bình quân đầu ngày]])</f>
        <v>948135</v>
      </c>
      <c r="V3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2" s="48">
        <f>IF(Table_Main[[#This Row],[Đơn Mua]]="", 0,IFERROR(Table_Main[[#This Row],[Tỷ suất VAT khấu trừ]]*(Table_Main[[#This Row],[Giá trị hàng nhập]]/(1+Table_Main[[#This Row],[Tỷ suất VAT khấu trừ]])),0))</f>
        <v>0</v>
      </c>
      <c r="X32" s="516"/>
      <c r="Y32" s="28">
        <f>IFERROR(VLOOKUP(Table_Main[[#This Row],[Đơn bán]],Table_DonBan[[Mã Đơn bán]:[Add]],COUNTA(Table_DonBan[[#Headers],[Mã Đơn bán]:[Mã Khách]]),0),0)</f>
        <v>0</v>
      </c>
      <c r="Z32" s="48">
        <f>IF(ISBLANK(Table_Main[[#This Row],[Đơn bán]]),0,
VLOOKUP(Table_Main[[#This Row],[Mã SKU]],Table_SKU[[Mã SKU]:[Giá bán]],COUNTA(Table_SKU[[#Headers],[Mã SKU]:[Giá bán]]),0))</f>
        <v>0</v>
      </c>
      <c r="AA32" s="48">
        <f>IF(ISBLANK(Table_Main[[#This Row],[Đơn bán]]),0,
IF(Table_Main[[#This Row],[Loại]] = "Xuất",Table_Main[[#This Row],[Giá bán niêm yết]]*Table_Main[[#This Row],[Số lượng]],-Table_Main[[#This Row],[Giá bán niêm yết]]*Table_Main[[#This Row],[Số lượng]]))</f>
        <v>0</v>
      </c>
      <c r="AB32" s="230"/>
      <c r="AC3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2" s="66">
        <f>IFERROR(
VLOOKUP(Table_Main[[#This Row],[Mã SKU]],Table_SKU[[Mã SKU]:[Tỷ suất VAT]],COUNTA(Table_SKU[[#Headers],[Mã SKU]:[Tỷ suất VAT]]),0),0)</f>
        <v>0</v>
      </c>
      <c r="AG32" s="48">
        <f xml:space="preserve">
IF(Table_Main[[#This Row],[Đơn bán]]="", 0,Table_Main[[#This Row],[Tỷ suất VAT]]*Table_Main[[#This Row],[Giá trị bán trước VAT]])</f>
        <v>0</v>
      </c>
      <c r="AH32" s="51">
        <f>IFERROR(VLOOKUP(Table_Main[[#This Row],[Đơn bán]],Table_DonBan[[Mã Đơn bán]:[Add]],COUNTA(Table_DonBan[[#Headers],[Mã Đơn bán]:[Mã NV]]),0),0)</f>
        <v>0</v>
      </c>
      <c r="AI3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2" s="48">
        <f>IFERROR(Table_Main[[#This Row],[Giá trị bán trước VAT]]*Table_Main[[#This Row],[Tỷ lệ hoa hồng]],"")</f>
        <v>0</v>
      </c>
      <c r="AK32" s="48">
        <f>IFERROR(VLOOKUP(Table_Main[[#This Row],[Đơn bán]],Table_DonBan[[Mã Đơn bán]:[Add]],COUNTA(Table_DonBan[[#Headers],[Mã Đơn bán]:[Kênh]]),0),0)</f>
        <v>0</v>
      </c>
      <c r="AL3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2" s="48">
        <f>IFERROR(Table_Main[[#This Row],[Giá trị bán trước VAT]]*Table_Main[[#This Row],[Tỷ lệ CK kênh]],"")</f>
        <v>0</v>
      </c>
      <c r="AN32" s="230"/>
      <c r="AO32" s="232"/>
      <c r="AP32" s="226">
        <f>Table_Main[[#This Row],[ĐK - Phân loại]]*Table_Main[[#This Row],[ĐK - Thời gian]]*Table_Main[[#This Row],[ĐK - Giá trị]]*Table_Main[[#This Row],[ĐK - Số lượng]]*Table_Main[[#This Row],[ĐK - Sinh nhật]]*Table_Main[[#This Row],[ĐK - Ngày mua cuối]]</f>
        <v>1</v>
      </c>
      <c r="AQ32" s="226">
        <f xml:space="preserve">
IF(ISBLANK(Table_Main[[#This Row],[Chương trình]]),1,
IF(VLOOKUP(Table_Main[[#This Row],[Chương trình]],Table_ChuongTrinh[[Mã Chương trình]:[Đối tượng CK]],Sheet_ChuongTrinh!$C$1,0) = "Sản phẩm",1,0))</f>
        <v>1</v>
      </c>
      <c r="AR3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3" spans="2:48" ht="18" customHeight="1" x14ac:dyDescent="0.3">
      <c r="B33" s="516" t="s">
        <v>1150</v>
      </c>
      <c r="C33" s="516"/>
      <c r="D33" s="530" t="str">
        <f>IF(ISBLANK(Table_Main[[#This Row],[Mã SKU]]),Table_Main[[#This Row],[Mã Nguyên liệu]],Table_Main[[#This Row],[Mã SKU]])</f>
        <v>TP1</v>
      </c>
      <c r="E33" s="416" cm="1">
        <f t="array" ref="E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174</v>
      </c>
      <c r="F33" s="416" cm="1">
        <f t="array" ref="F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146</v>
      </c>
      <c r="G33" s="416" cm="1">
        <f t="array" ref="G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3" s="416" cm="1">
        <f t="array" ref="H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3" s="416">
        <f>IFERROR(Table_Main[[#This Row],[Giá trị tồn đầu ngày]]/Table_Main[[#This Row],[Tồn kho đầu ngày]],0)</f>
        <v>0</v>
      </c>
      <c r="J33" s="416">
        <f>IFERROR(Table_Main[[#This Row],[Giá trị tồn cuối ngày]]/Table_Main[[#This Row],[Tồn kho cuối ngày]],0)</f>
        <v>0</v>
      </c>
      <c r="K33" s="411">
        <v>45774</v>
      </c>
      <c r="L33" s="47">
        <f xml:space="preserve">
IFERROR(
IFERROR(
VLOOKUP(Table_Main[[#This Row],[Đơn Mua]],Table_DonMua[[Mã Đơn mua]:[Add]],COUNTA(Table_DonMua[[#Headers],[Mã Đơn mua]:[Ngày lập]]),0),
VLOOKUP(Table_Main[[#This Row],[Đơn bán]],Table_DonBan[[Mã Đơn bán]:[Add]], COUNTA(Table_DonBan[[#Headers],[Mã Đơn bán]:[Ngày lập]]),0)),0)</f>
        <v>45774</v>
      </c>
      <c r="M33" s="29">
        <f>IFERROR(MONTH(Table_Main[[#This Row],[Ngày lên đơn]]),0)</f>
        <v>4</v>
      </c>
      <c r="N33" s="51">
        <f>IF(Table_Main[[#This Row],[Ngày lên đơn]]=0,"",Table_Main[[#This Row],[Ngày xuất nhập]]-Table_Main[[#This Row],[Ngày lên đơn]])</f>
        <v>0</v>
      </c>
      <c r="O33" s="230" t="s">
        <v>53</v>
      </c>
      <c r="P33" s="230" t="s">
        <v>1155</v>
      </c>
      <c r="Q33" s="404">
        <v>28</v>
      </c>
      <c r="R33" s="516"/>
      <c r="S33" s="530">
        <f>IFERROR(VLOOKUP(Table_Main[[#This Row],[Đơn Mua]],Table_DonMua[[Mã Đơn mua]:[Add]],COUNTA(Table_DonMua[[#Headers],[Mã Đơn mua]:[Mã Đối tác]]),0),0)</f>
        <v>0</v>
      </c>
      <c r="T33" s="405"/>
      <c r="U33" s="48">
        <f xml:space="preserve">
IF(NOT(ISBLANK(Table_Main[[#This Row],[Đơn Mua]])),Table_Main[[#This Row],[Số lượng]]*Table_Main[[#This Row],[Giá nhập]],Table_Main[[#This Row],[Số lượng]]*Table_Main[[#This Row],[Giá trị bình quân đầu ngày]])</f>
        <v>0</v>
      </c>
      <c r="V3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3" s="48">
        <f>IF(Table_Main[[#This Row],[Đơn Mua]]="", 0,IFERROR(Table_Main[[#This Row],[Tỷ suất VAT khấu trừ]]*(Table_Main[[#This Row],[Giá trị hàng nhập]]/(1+Table_Main[[#This Row],[Tỷ suất VAT khấu trừ]])),0))</f>
        <v>0</v>
      </c>
      <c r="X33" s="516" t="s">
        <v>1212</v>
      </c>
      <c r="Y33" s="28" t="str">
        <f>IFERROR(VLOOKUP(Table_Main[[#This Row],[Đơn bán]],Table_DonBan[[Mã Đơn bán]:[Add]],COUNTA(Table_DonBan[[#Headers],[Mã Đơn bán]:[Mã Khách]]),0),0)</f>
        <v>KH2</v>
      </c>
      <c r="Z33" s="48">
        <f>IF(ISBLANK(Table_Main[[#This Row],[Đơn bán]]),0,
VLOOKUP(Table_Main[[#This Row],[Mã SKU]],Table_SKU[[Mã SKU]:[Giá bán]],COUNTA(Table_SKU[[#Headers],[Mã SKU]:[Giá bán]]),0))</f>
        <v>300000</v>
      </c>
      <c r="AA33" s="48">
        <f>IF(ISBLANK(Table_Main[[#This Row],[Đơn bán]]),0,
IF(Table_Main[[#This Row],[Loại]] = "Xuất",Table_Main[[#This Row],[Giá bán niêm yết]]*Table_Main[[#This Row],[Số lượng]],-Table_Main[[#This Row],[Giá bán niêm yết]]*Table_Main[[#This Row],[Số lượng]]))</f>
        <v>8400000</v>
      </c>
      <c r="AB33" s="230"/>
      <c r="AC3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33" s="66">
        <f>IFERROR(
VLOOKUP(Table_Main[[#This Row],[Mã SKU]],Table_SKU[[Mã SKU]:[Tỷ suất VAT]],COUNTA(Table_SKU[[#Headers],[Mã SKU]:[Tỷ suất VAT]]),0),0)</f>
        <v>0</v>
      </c>
      <c r="AG33" s="48">
        <f xml:space="preserve">
IF(Table_Main[[#This Row],[Đơn bán]]="", 0,Table_Main[[#This Row],[Tỷ suất VAT]]*Table_Main[[#This Row],[Giá trị bán trước VAT]])</f>
        <v>0</v>
      </c>
      <c r="AH33" s="51">
        <f>IFERROR(VLOOKUP(Table_Main[[#This Row],[Đơn bán]],Table_DonBan[[Mã Đơn bán]:[Add]],COUNTA(Table_DonBan[[#Headers],[Mã Đơn bán]:[Mã NV]]),0),0)</f>
        <v>0</v>
      </c>
      <c r="AI3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3" s="48">
        <f>IFERROR(Table_Main[[#This Row],[Giá trị bán trước VAT]]*Table_Main[[#This Row],[Tỷ lệ hoa hồng]],"")</f>
        <v>0</v>
      </c>
      <c r="AK33" s="48">
        <f>IFERROR(VLOOKUP(Table_Main[[#This Row],[Đơn bán]],Table_DonBan[[Mã Đơn bán]:[Add]],COUNTA(Table_DonBan[[#Headers],[Mã Đơn bán]:[Kênh]]),0),0)</f>
        <v>0</v>
      </c>
      <c r="AL3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3" s="48">
        <f>IFERROR(Table_Main[[#This Row],[Giá trị bán trước VAT]]*Table_Main[[#This Row],[Tỷ lệ CK kênh]],"")</f>
        <v>0</v>
      </c>
      <c r="AN33" s="230"/>
      <c r="AO33" s="232"/>
      <c r="AP33" s="226">
        <f>Table_Main[[#This Row],[ĐK - Phân loại]]*Table_Main[[#This Row],[ĐK - Thời gian]]*Table_Main[[#This Row],[ĐK - Giá trị]]*Table_Main[[#This Row],[ĐK - Số lượng]]*Table_Main[[#This Row],[ĐK - Sinh nhật]]*Table_Main[[#This Row],[ĐK - Ngày mua cuối]]</f>
        <v>1</v>
      </c>
      <c r="AQ33" s="226">
        <f xml:space="preserve">
IF(ISBLANK(Table_Main[[#This Row],[Chương trình]]),1,
IF(VLOOKUP(Table_Main[[#This Row],[Chương trình]],Table_ChuongTrinh[[Mã Chương trình]:[Đối tượng CK]],Sheet_ChuongTrinh!$C$1,0) = "Sản phẩm",1,0))</f>
        <v>1</v>
      </c>
      <c r="AR3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4" spans="2:48" ht="18" customHeight="1" x14ac:dyDescent="0.3">
      <c r="B34" s="523"/>
      <c r="C34" s="238" t="s">
        <v>1153</v>
      </c>
      <c r="D34" s="531" t="str">
        <f>IF(ISBLANK(Table_Main[[#This Row],[Mã SKU]]),Table_Main[[#This Row],[Mã Nguyên liệu]],Table_Main[[#This Row],[Mã SKU]])</f>
        <v>NL1</v>
      </c>
      <c r="E34" s="416" cm="1">
        <f t="array" ref="E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171</v>
      </c>
      <c r="F34" s="416" cm="1">
        <f t="array" ref="F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v>
      </c>
      <c r="G34" s="416" cm="1">
        <f t="array" ref="G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17503962</v>
      </c>
      <c r="H34" s="416" cm="1">
        <f t="array" ref="H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14023642.070175439</v>
      </c>
      <c r="I34" s="416">
        <f>IFERROR(Table_Main[[#This Row],[Giá trị tồn đầu ngày]]/Table_Main[[#This Row],[Tồn kho đầu ngày]],0)</f>
        <v>102362.35087719298</v>
      </c>
      <c r="J34" s="416">
        <f>IFERROR(Table_Main[[#This Row],[Giá trị tồn cuối ngày]]/Table_Main[[#This Row],[Tồn kho cuối ngày]],0)</f>
        <v>102362.35087719299</v>
      </c>
      <c r="K34" s="411">
        <v>45774</v>
      </c>
      <c r="L3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4" s="29">
        <f>IFERROR(MONTH(Table_Main[[#This Row],[Ngày lên đơn]]),0)</f>
        <v>1</v>
      </c>
      <c r="N34" s="51" t="str">
        <f>IF(Table_Main[[#This Row],[Ngày lên đơn]]=0,"",Table_Main[[#This Row],[Ngày xuất nhập]]-Table_Main[[#This Row],[Ngày lên đơn]])</f>
        <v/>
      </c>
      <c r="O34" s="230" t="s">
        <v>53</v>
      </c>
      <c r="P34" s="230" t="s">
        <v>1155</v>
      </c>
      <c r="Q34" s="404">
        <v>34</v>
      </c>
      <c r="R34" s="516"/>
      <c r="S34" s="530">
        <f>IFERROR(VLOOKUP(Table_Main[[#This Row],[Đơn Mua]],Table_DonMua[[Mã Đơn mua]:[Add]],COUNTA(Table_DonMua[[#Headers],[Mã Đơn mua]:[Mã Đối tác]]),0),0)</f>
        <v>0</v>
      </c>
      <c r="T34" s="405"/>
      <c r="U34" s="48">
        <f xml:space="preserve">
IF(NOT(ISBLANK(Table_Main[[#This Row],[Đơn Mua]])),Table_Main[[#This Row],[Số lượng]]*Table_Main[[#This Row],[Giá nhập]],Table_Main[[#This Row],[Số lượng]]*Table_Main[[#This Row],[Giá trị bình quân đầu ngày]])</f>
        <v>3480319.9298245613</v>
      </c>
      <c r="V3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4" s="48">
        <f>IF(Table_Main[[#This Row],[Đơn Mua]]="", 0,IFERROR(Table_Main[[#This Row],[Tỷ suất VAT khấu trừ]]*(Table_Main[[#This Row],[Giá trị hàng nhập]]/(1+Table_Main[[#This Row],[Tỷ suất VAT khấu trừ]])),0))</f>
        <v>0</v>
      </c>
      <c r="X34" s="516"/>
      <c r="Y34" s="28">
        <f>IFERROR(VLOOKUP(Table_Main[[#This Row],[Đơn bán]],Table_DonBan[[Mã Đơn bán]:[Add]],COUNTA(Table_DonBan[[#Headers],[Mã Đơn bán]:[Mã Khách]]),0),0)</f>
        <v>0</v>
      </c>
      <c r="Z34" s="48">
        <f>IF(ISBLANK(Table_Main[[#This Row],[Đơn bán]]),0,
VLOOKUP(Table_Main[[#This Row],[Mã SKU]],Table_SKU[[Mã SKU]:[Giá bán]],COUNTA(Table_SKU[[#Headers],[Mã SKU]:[Giá bán]]),0))</f>
        <v>0</v>
      </c>
      <c r="AA34" s="48">
        <f>IF(ISBLANK(Table_Main[[#This Row],[Đơn bán]]),0,
IF(Table_Main[[#This Row],[Loại]] = "Xuất",Table_Main[[#This Row],[Giá bán niêm yết]]*Table_Main[[#This Row],[Số lượng]],-Table_Main[[#This Row],[Giá bán niêm yết]]*Table_Main[[#This Row],[Số lượng]]))</f>
        <v>0</v>
      </c>
      <c r="AB34" s="230"/>
      <c r="AC3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4" s="66">
        <f>IFERROR(
VLOOKUP(Table_Main[[#This Row],[Mã SKU]],Table_SKU[[Mã SKU]:[Tỷ suất VAT]],COUNTA(Table_SKU[[#Headers],[Mã SKU]:[Tỷ suất VAT]]),0),0)</f>
        <v>0</v>
      </c>
      <c r="AG34" s="48">
        <f xml:space="preserve">
IF(Table_Main[[#This Row],[Đơn bán]]="", 0,Table_Main[[#This Row],[Tỷ suất VAT]]*Table_Main[[#This Row],[Giá trị bán trước VAT]])</f>
        <v>0</v>
      </c>
      <c r="AH34" s="51">
        <f>IFERROR(VLOOKUP(Table_Main[[#This Row],[Đơn bán]],Table_DonBan[[Mã Đơn bán]:[Add]],COUNTA(Table_DonBan[[#Headers],[Mã Đơn bán]:[Mã NV]]),0),0)</f>
        <v>0</v>
      </c>
      <c r="AI3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4" s="48">
        <f>IFERROR(Table_Main[[#This Row],[Giá trị bán trước VAT]]*Table_Main[[#This Row],[Tỷ lệ hoa hồng]],"")</f>
        <v>0</v>
      </c>
      <c r="AK34" s="48">
        <f>IFERROR(VLOOKUP(Table_Main[[#This Row],[Đơn bán]],Table_DonBan[[Mã Đơn bán]:[Add]],COUNTA(Table_DonBan[[#Headers],[Mã Đơn bán]:[Kênh]]),0),0)</f>
        <v>0</v>
      </c>
      <c r="AL3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4" s="48">
        <f>IFERROR(Table_Main[[#This Row],[Giá trị bán trước VAT]]*Table_Main[[#This Row],[Tỷ lệ CK kênh]],"")</f>
        <v>0</v>
      </c>
      <c r="AN34" s="230"/>
      <c r="AO34" s="232"/>
      <c r="AP34" s="226">
        <f>Table_Main[[#This Row],[ĐK - Phân loại]]*Table_Main[[#This Row],[ĐK - Thời gian]]*Table_Main[[#This Row],[ĐK - Giá trị]]*Table_Main[[#This Row],[ĐK - Số lượng]]*Table_Main[[#This Row],[ĐK - Sinh nhật]]*Table_Main[[#This Row],[ĐK - Ngày mua cuối]]</f>
        <v>1</v>
      </c>
      <c r="AQ34" s="226">
        <f xml:space="preserve">
IF(ISBLANK(Table_Main[[#This Row],[Chương trình]]),1,
IF(VLOOKUP(Table_Main[[#This Row],[Chương trình]],Table_ChuongTrinh[[Mã Chương trình]:[Đối tượng CK]],Sheet_ChuongTrinh!$C$1,0) = "Sản phẩm",1,0))</f>
        <v>1</v>
      </c>
      <c r="AR3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5" spans="2:48" ht="18" customHeight="1" x14ac:dyDescent="0.3">
      <c r="B35" s="516" t="s">
        <v>1150</v>
      </c>
      <c r="C35" s="516"/>
      <c r="D35" s="530" t="str">
        <f>IF(ISBLANK(Table_Main[[#This Row],[Mã SKU]]),Table_Main[[#This Row],[Mã Nguyên liệu]],Table_Main[[#This Row],[Mã SKU]])</f>
        <v>TP1</v>
      </c>
      <c r="E35" s="416" cm="1">
        <f t="array" ref="E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v>
      </c>
      <c r="F35" s="416" cm="1">
        <f t="array" ref="F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174</v>
      </c>
      <c r="G35" s="416" cm="1">
        <f t="array" ref="G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5" s="416" cm="1">
        <f t="array" ref="H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5" s="416">
        <f>IFERROR(Table_Main[[#This Row],[Giá trị tồn đầu ngày]]/Table_Main[[#This Row],[Tồn kho đầu ngày]],0)</f>
        <v>0</v>
      </c>
      <c r="J35" s="416">
        <f>IFERROR(Table_Main[[#This Row],[Giá trị tồn cuối ngày]]/Table_Main[[#This Row],[Tồn kho cuối ngày]],0)</f>
        <v>0</v>
      </c>
      <c r="K35" s="411">
        <v>45773</v>
      </c>
      <c r="L3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5" s="29">
        <f>IFERROR(MONTH(Table_Main[[#This Row],[Ngày lên đơn]]),0)</f>
        <v>1</v>
      </c>
      <c r="N35" s="51" t="str">
        <f>IF(Table_Main[[#This Row],[Ngày lên đơn]]=0,"",Table_Main[[#This Row],[Ngày xuất nhập]]-Table_Main[[#This Row],[Ngày lên đơn]])</f>
        <v/>
      </c>
      <c r="O35" s="230" t="s">
        <v>1154</v>
      </c>
      <c r="P35" s="230" t="s">
        <v>1155</v>
      </c>
      <c r="Q35" s="404">
        <v>32</v>
      </c>
      <c r="R35" s="516"/>
      <c r="S35" s="530">
        <f>IFERROR(VLOOKUP(Table_Main[[#This Row],[Đơn Mua]],Table_DonMua[[Mã Đơn mua]:[Add]],COUNTA(Table_DonMua[[#Headers],[Mã Đơn mua]:[Mã Đối tác]]),0),0)</f>
        <v>0</v>
      </c>
      <c r="T35" s="405"/>
      <c r="U35" s="48">
        <f xml:space="preserve">
IF(NOT(ISBLANK(Table_Main[[#This Row],[Đơn Mua]])),Table_Main[[#This Row],[Số lượng]]*Table_Main[[#This Row],[Giá nhập]],Table_Main[[#This Row],[Số lượng]]*Table_Main[[#This Row],[Giá trị bình quân đầu ngày]])</f>
        <v>0</v>
      </c>
      <c r="V3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5" s="48">
        <f>IF(Table_Main[[#This Row],[Đơn Mua]]="", 0,IFERROR(Table_Main[[#This Row],[Tỷ suất VAT khấu trừ]]*(Table_Main[[#This Row],[Giá trị hàng nhập]]/(1+Table_Main[[#This Row],[Tỷ suất VAT khấu trừ]])),0))</f>
        <v>0</v>
      </c>
      <c r="X35" s="516"/>
      <c r="Y35" s="28">
        <f>IFERROR(VLOOKUP(Table_Main[[#This Row],[Đơn bán]],Table_DonBan[[Mã Đơn bán]:[Add]],COUNTA(Table_DonBan[[#Headers],[Mã Đơn bán]:[Mã Khách]]),0),0)</f>
        <v>0</v>
      </c>
      <c r="Z35" s="48">
        <f>IF(ISBLANK(Table_Main[[#This Row],[Đơn bán]]),0,
VLOOKUP(Table_Main[[#This Row],[Mã SKU]],Table_SKU[[Mã SKU]:[Giá bán]],COUNTA(Table_SKU[[#Headers],[Mã SKU]:[Giá bán]]),0))</f>
        <v>0</v>
      </c>
      <c r="AA35" s="48">
        <f>IF(ISBLANK(Table_Main[[#This Row],[Đơn bán]]),0,
IF(Table_Main[[#This Row],[Loại]] = "Xuất",Table_Main[[#This Row],[Giá bán niêm yết]]*Table_Main[[#This Row],[Số lượng]],-Table_Main[[#This Row],[Giá bán niêm yết]]*Table_Main[[#This Row],[Số lượng]]))</f>
        <v>0</v>
      </c>
      <c r="AB35" s="230"/>
      <c r="AC3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5" s="66">
        <f>IFERROR(
VLOOKUP(Table_Main[[#This Row],[Mã SKU]],Table_SKU[[Mã SKU]:[Tỷ suất VAT]],COUNTA(Table_SKU[[#Headers],[Mã SKU]:[Tỷ suất VAT]]),0),0)</f>
        <v>0</v>
      </c>
      <c r="AG35" s="48">
        <f xml:space="preserve">
IF(Table_Main[[#This Row],[Đơn bán]]="", 0,Table_Main[[#This Row],[Tỷ suất VAT]]*Table_Main[[#This Row],[Giá trị bán trước VAT]])</f>
        <v>0</v>
      </c>
      <c r="AH35" s="51">
        <f>IFERROR(VLOOKUP(Table_Main[[#This Row],[Đơn bán]],Table_DonBan[[Mã Đơn bán]:[Add]],COUNTA(Table_DonBan[[#Headers],[Mã Đơn bán]:[Mã NV]]),0),0)</f>
        <v>0</v>
      </c>
      <c r="AI3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5" s="48">
        <f>IFERROR(Table_Main[[#This Row],[Giá trị bán trước VAT]]*Table_Main[[#This Row],[Tỷ lệ hoa hồng]],"")</f>
        <v>0</v>
      </c>
      <c r="AK35" s="48">
        <f>IFERROR(VLOOKUP(Table_Main[[#This Row],[Đơn bán]],Table_DonBan[[Mã Đơn bán]:[Add]],COUNTA(Table_DonBan[[#Headers],[Mã Đơn bán]:[Kênh]]),0),0)</f>
        <v>0</v>
      </c>
      <c r="AL3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5" s="48">
        <f>IFERROR(Table_Main[[#This Row],[Giá trị bán trước VAT]]*Table_Main[[#This Row],[Tỷ lệ CK kênh]],"")</f>
        <v>0</v>
      </c>
      <c r="AN35" s="230"/>
      <c r="AO35" s="232"/>
      <c r="AP35" s="226">
        <f>Table_Main[[#This Row],[ĐK - Phân loại]]*Table_Main[[#This Row],[ĐK - Thời gian]]*Table_Main[[#This Row],[ĐK - Giá trị]]*Table_Main[[#This Row],[ĐK - Số lượng]]*Table_Main[[#This Row],[ĐK - Sinh nhật]]*Table_Main[[#This Row],[ĐK - Ngày mua cuối]]</f>
        <v>1</v>
      </c>
      <c r="AQ35" s="226">
        <f xml:space="preserve">
IF(ISBLANK(Table_Main[[#This Row],[Chương trình]]),1,
IF(VLOOKUP(Table_Main[[#This Row],[Chương trình]],Table_ChuongTrinh[[Mã Chương trình]:[Đối tượng CK]],Sheet_ChuongTrinh!$C$1,0) = "Sản phẩm",1,0))</f>
        <v>1</v>
      </c>
      <c r="AR3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6" spans="2:48" ht="18" customHeight="1" x14ac:dyDescent="0.3">
      <c r="B36" s="516" t="s">
        <v>1150</v>
      </c>
      <c r="C36" s="516"/>
      <c r="D36" s="530" t="str">
        <f>IF(ISBLANK(Table_Main[[#This Row],[Mã SKU]]),Table_Main[[#This Row],[Mã Nguyên liệu]],Table_Main[[#This Row],[Mã SKU]])</f>
        <v>TP1</v>
      </c>
      <c r="E36" s="416" cm="1">
        <f t="array" ref="E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121</v>
      </c>
      <c r="F36" s="416" cm="1">
        <f t="array" ref="F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v>
      </c>
      <c r="G36" s="416" cm="1">
        <f t="array" ref="G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6" s="416" cm="1">
        <f t="array" ref="H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6" s="416">
        <f>IFERROR(Table_Main[[#This Row],[Giá trị tồn đầu ngày]]/Table_Main[[#This Row],[Tồn kho đầu ngày]],0)</f>
        <v>0</v>
      </c>
      <c r="J36" s="416">
        <f>IFERROR(Table_Main[[#This Row],[Giá trị tồn cuối ngày]]/Table_Main[[#This Row],[Tồn kho cuối ngày]],0)</f>
        <v>0</v>
      </c>
      <c r="K36" s="411">
        <v>45772</v>
      </c>
      <c r="L3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6" s="29">
        <f>IFERROR(MONTH(Table_Main[[#This Row],[Ngày lên đơn]]),0)</f>
        <v>1</v>
      </c>
      <c r="N36" s="51" t="str">
        <f>IF(Table_Main[[#This Row],[Ngày lên đơn]]=0,"",Table_Main[[#This Row],[Ngày xuất nhập]]-Table_Main[[#This Row],[Ngày lên đơn]])</f>
        <v/>
      </c>
      <c r="O36" s="230" t="s">
        <v>1154</v>
      </c>
      <c r="P36" s="230" t="s">
        <v>1155</v>
      </c>
      <c r="Q36" s="404">
        <v>21</v>
      </c>
      <c r="R36" s="516"/>
      <c r="S36" s="530">
        <f>IFERROR(VLOOKUP(Table_Main[[#This Row],[Đơn Mua]],Table_DonMua[[Mã Đơn mua]:[Add]],COUNTA(Table_DonMua[[#Headers],[Mã Đơn mua]:[Mã Đối tác]]),0),0)</f>
        <v>0</v>
      </c>
      <c r="T36" s="405"/>
      <c r="U36" s="48">
        <f xml:space="preserve">
IF(NOT(ISBLANK(Table_Main[[#This Row],[Đơn Mua]])),Table_Main[[#This Row],[Số lượng]]*Table_Main[[#This Row],[Giá nhập]],Table_Main[[#This Row],[Số lượng]]*Table_Main[[#This Row],[Giá trị bình quân đầu ngày]])</f>
        <v>0</v>
      </c>
      <c r="V3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6" s="48">
        <f>IF(Table_Main[[#This Row],[Đơn Mua]]="", 0,IFERROR(Table_Main[[#This Row],[Tỷ suất VAT khấu trừ]]*(Table_Main[[#This Row],[Giá trị hàng nhập]]/(1+Table_Main[[#This Row],[Tỷ suất VAT khấu trừ]])),0))</f>
        <v>0</v>
      </c>
      <c r="X36" s="516"/>
      <c r="Y36" s="28">
        <f>IFERROR(VLOOKUP(Table_Main[[#This Row],[Đơn bán]],Table_DonBan[[Mã Đơn bán]:[Add]],COUNTA(Table_DonBan[[#Headers],[Mã Đơn bán]:[Mã Khách]]),0),0)</f>
        <v>0</v>
      </c>
      <c r="Z36" s="48">
        <f>IF(ISBLANK(Table_Main[[#This Row],[Đơn bán]]),0,
VLOOKUP(Table_Main[[#This Row],[Mã SKU]],Table_SKU[[Mã SKU]:[Giá bán]],COUNTA(Table_SKU[[#Headers],[Mã SKU]:[Giá bán]]),0))</f>
        <v>0</v>
      </c>
      <c r="AA36" s="48">
        <f>IF(ISBLANK(Table_Main[[#This Row],[Đơn bán]]),0,
IF(Table_Main[[#This Row],[Loại]] = "Xuất",Table_Main[[#This Row],[Giá bán niêm yết]]*Table_Main[[#This Row],[Số lượng]],-Table_Main[[#This Row],[Giá bán niêm yết]]*Table_Main[[#This Row],[Số lượng]]))</f>
        <v>0</v>
      </c>
      <c r="AB36" s="230"/>
      <c r="AC3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6" s="66">
        <f>IFERROR(
VLOOKUP(Table_Main[[#This Row],[Mã SKU]],Table_SKU[[Mã SKU]:[Tỷ suất VAT]],COUNTA(Table_SKU[[#Headers],[Mã SKU]:[Tỷ suất VAT]]),0),0)</f>
        <v>0</v>
      </c>
      <c r="AG36" s="48">
        <f xml:space="preserve">
IF(Table_Main[[#This Row],[Đơn bán]]="", 0,Table_Main[[#This Row],[Tỷ suất VAT]]*Table_Main[[#This Row],[Giá trị bán trước VAT]])</f>
        <v>0</v>
      </c>
      <c r="AH36" s="51">
        <f>IFERROR(VLOOKUP(Table_Main[[#This Row],[Đơn bán]],Table_DonBan[[Mã Đơn bán]:[Add]],COUNTA(Table_DonBan[[#Headers],[Mã Đơn bán]:[Mã NV]]),0),0)</f>
        <v>0</v>
      </c>
      <c r="AI3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6" s="48">
        <f>IFERROR(Table_Main[[#This Row],[Giá trị bán trước VAT]]*Table_Main[[#This Row],[Tỷ lệ hoa hồng]],"")</f>
        <v>0</v>
      </c>
      <c r="AK36" s="48">
        <f>IFERROR(VLOOKUP(Table_Main[[#This Row],[Đơn bán]],Table_DonBan[[Mã Đơn bán]:[Add]],COUNTA(Table_DonBan[[#Headers],[Mã Đơn bán]:[Kênh]]),0),0)</f>
        <v>0</v>
      </c>
      <c r="AL3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6" s="48">
        <f>IFERROR(Table_Main[[#This Row],[Giá trị bán trước VAT]]*Table_Main[[#This Row],[Tỷ lệ CK kênh]],"")</f>
        <v>0</v>
      </c>
      <c r="AN36" s="230"/>
      <c r="AO36" s="232"/>
      <c r="AP36" s="226">
        <f>Table_Main[[#This Row],[ĐK - Phân loại]]*Table_Main[[#This Row],[ĐK - Thời gian]]*Table_Main[[#This Row],[ĐK - Giá trị]]*Table_Main[[#This Row],[ĐK - Số lượng]]*Table_Main[[#This Row],[ĐK - Sinh nhật]]*Table_Main[[#This Row],[ĐK - Ngày mua cuối]]</f>
        <v>1</v>
      </c>
      <c r="AQ36" s="226">
        <f xml:space="preserve">
IF(ISBLANK(Table_Main[[#This Row],[Chương trình]]),1,
IF(VLOOKUP(Table_Main[[#This Row],[Chương trình]],Table_ChuongTrinh[[Mã Chương trình]:[Đối tượng CK]],Sheet_ChuongTrinh!$C$1,0) = "Sản phẩm",1,0))</f>
        <v>1</v>
      </c>
      <c r="AR3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7" spans="2:48" ht="18" customHeight="1" x14ac:dyDescent="0.15">
      <c r="B37" s="523"/>
      <c r="C37" s="238" t="s">
        <v>1152</v>
      </c>
      <c r="D37" s="531" t="str">
        <f>IF(ISBLANK(Table_Main[[#This Row],[Mã SKU]]),Table_Main[[#This Row],[Mã Nguyên liệu]],Table_Main[[#This Row],[Mã SKU]])</f>
        <v>NL2</v>
      </c>
      <c r="E37" s="416" cm="1">
        <f t="array" ref="E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61</v>
      </c>
      <c r="F37" s="416" cm="1">
        <f t="array" ref="F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50</v>
      </c>
      <c r="G37" s="416" cm="1">
        <f t="array" ref="G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6906093.4782608673</v>
      </c>
      <c r="H37" s="416" cm="1">
        <f t="array" ref="H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5660732.3592302203</v>
      </c>
      <c r="I37" s="416">
        <f>IFERROR(Table_Main[[#This Row],[Giá trị tồn đầu ngày]]/Table_Main[[#This Row],[Tồn kho đầu ngày]],0)</f>
        <v>113214.64718460439</v>
      </c>
      <c r="J37" s="416">
        <f>IFERROR(Table_Main[[#This Row],[Giá trị tồn cuối ngày]]/Table_Main[[#This Row],[Tồn kho cuối ngày]],0)</f>
        <v>113214.6471846044</v>
      </c>
      <c r="K37" s="411">
        <v>45772</v>
      </c>
      <c r="L3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7" s="29">
        <f>IFERROR(MONTH(Table_Main[[#This Row],[Ngày lên đơn]]),0)</f>
        <v>1</v>
      </c>
      <c r="N37" s="544" t="str">
        <f>IF(Table_Main[[#This Row],[Ngày lên đơn]]=0,"",Table_Main[[#This Row],[Ngày xuất nhập]]-Table_Main[[#This Row],[Ngày lên đơn]])</f>
        <v/>
      </c>
      <c r="O37" s="7" t="s">
        <v>53</v>
      </c>
      <c r="P37" s="230" t="s">
        <v>1155</v>
      </c>
      <c r="Q37" s="404">
        <v>11</v>
      </c>
      <c r="R37" s="516"/>
      <c r="S37" s="530">
        <f>IFERROR(VLOOKUP(Table_Main[[#This Row],[Đơn Mua]],Table_DonMua[[Mã Đơn mua]:[Add]],COUNTA(Table_DonMua[[#Headers],[Mã Đơn mua]:[Mã Đối tác]]),0),0)</f>
        <v>0</v>
      </c>
      <c r="T37" s="405"/>
      <c r="U37" s="48">
        <f xml:space="preserve">
IF(NOT(ISBLANK(Table_Main[[#This Row],[Đơn Mua]])),Table_Main[[#This Row],[Số lượng]]*Table_Main[[#This Row],[Giá nhập]],Table_Main[[#This Row],[Số lượng]]*Table_Main[[#This Row],[Giá trị bình quân đầu ngày]])</f>
        <v>1245361.1190306481</v>
      </c>
      <c r="V3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7" s="48">
        <f>IF(Table_Main[[#This Row],[Đơn Mua]]="", 0,IFERROR(Table_Main[[#This Row],[Tỷ suất VAT khấu trừ]]*(Table_Main[[#This Row],[Giá trị hàng nhập]]/(1+Table_Main[[#This Row],[Tỷ suất VAT khấu trừ]])),0))</f>
        <v>0</v>
      </c>
      <c r="X37" s="516"/>
      <c r="Y37" s="28">
        <f>IFERROR(VLOOKUP(Table_Main[[#This Row],[Đơn bán]],Table_DonBan[[Mã Đơn bán]:[Add]],COUNTA(Table_DonBan[[#Headers],[Mã Đơn bán]:[Mã Khách]]),0),0)</f>
        <v>0</v>
      </c>
      <c r="Z37" s="48">
        <f>IF(ISBLANK(Table_Main[[#This Row],[Đơn bán]]),0,
VLOOKUP(Table_Main[[#This Row],[Mã SKU]],Table_SKU[[Mã SKU]:[Giá bán]],COUNTA(Table_SKU[[#Headers],[Mã SKU]:[Giá bán]]),0))</f>
        <v>0</v>
      </c>
      <c r="AA37" s="48">
        <f>IF(ISBLANK(Table_Main[[#This Row],[Đơn bán]]),0,
IF(Table_Main[[#This Row],[Loại]] = "Xuất",Table_Main[[#This Row],[Giá bán niêm yết]]*Table_Main[[#This Row],[Số lượng]],-Table_Main[[#This Row],[Giá bán niêm yết]]*Table_Main[[#This Row],[Số lượng]]))</f>
        <v>0</v>
      </c>
      <c r="AB37" s="230"/>
      <c r="AC3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7" s="66">
        <f>IFERROR(
VLOOKUP(Table_Main[[#This Row],[Mã SKU]],Table_SKU[[Mã SKU]:[Tỷ suất VAT]],COUNTA(Table_SKU[[#Headers],[Mã SKU]:[Tỷ suất VAT]]),0),0)</f>
        <v>0</v>
      </c>
      <c r="AG37" s="48">
        <f xml:space="preserve">
IF(Table_Main[[#This Row],[Đơn bán]]="", 0,Table_Main[[#This Row],[Tỷ suất VAT]]*Table_Main[[#This Row],[Giá trị bán trước VAT]])</f>
        <v>0</v>
      </c>
      <c r="AH37" s="51">
        <f>IFERROR(VLOOKUP(Table_Main[[#This Row],[Đơn bán]],Table_DonBan[[Mã Đơn bán]:[Add]],COUNTA(Table_DonBan[[#Headers],[Mã Đơn bán]:[Mã NV]]),0),0)</f>
        <v>0</v>
      </c>
      <c r="AI3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7" s="48">
        <f>IFERROR(Table_Main[[#This Row],[Giá trị bán trước VAT]]*Table_Main[[#This Row],[Tỷ lệ hoa hồng]],"")</f>
        <v>0</v>
      </c>
      <c r="AK37" s="48">
        <f>IFERROR(VLOOKUP(Table_Main[[#This Row],[Đơn bán]],Table_DonBan[[Mã Đơn bán]:[Add]],COUNTA(Table_DonBan[[#Headers],[Mã Đơn bán]:[Kênh]]),0),0)</f>
        <v>0</v>
      </c>
      <c r="AL3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7" s="48">
        <f>IFERROR(Table_Main[[#This Row],[Giá trị bán trước VAT]]*Table_Main[[#This Row],[Tỷ lệ CK kênh]],"")</f>
        <v>0</v>
      </c>
      <c r="AN37" s="230"/>
      <c r="AO37" s="232"/>
      <c r="AP37" s="226">
        <f>Table_Main[[#This Row],[ĐK - Phân loại]]*Table_Main[[#This Row],[ĐK - Thời gian]]*Table_Main[[#This Row],[ĐK - Giá trị]]*Table_Main[[#This Row],[ĐK - Số lượng]]*Table_Main[[#This Row],[ĐK - Sinh nhật]]*Table_Main[[#This Row],[ĐK - Ngày mua cuối]]</f>
        <v>1</v>
      </c>
      <c r="AQ37" s="226">
        <f xml:space="preserve">
IF(ISBLANK(Table_Main[[#This Row],[Chương trình]]),1,
IF(VLOOKUP(Table_Main[[#This Row],[Chương trình]],Table_ChuongTrinh[[Mã Chương trình]:[Đối tượng CK]],Sheet_ChuongTrinh!$C$1,0) = "Sản phẩm",1,0))</f>
        <v>1</v>
      </c>
      <c r="AR3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8" spans="2:48" ht="18" customHeight="1" x14ac:dyDescent="0.15">
      <c r="B38" s="523"/>
      <c r="C38" s="238" t="s">
        <v>1152</v>
      </c>
      <c r="D38" s="531" t="str">
        <f>IF(ISBLANK(Table_Main[[#This Row],[Mã SKU]]),Table_Main[[#This Row],[Mã Nguyên liệu]],Table_Main[[#This Row],[Mã SKU]])</f>
        <v>NL2</v>
      </c>
      <c r="E38" s="416" cm="1">
        <f t="array" ref="E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50</v>
      </c>
      <c r="F38" s="416" cm="1">
        <f t="array" ref="F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v>
      </c>
      <c r="G38" s="416" cm="1">
        <f t="array" ref="G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5660732.3592302203</v>
      </c>
      <c r="H38" s="416" cm="1">
        <f t="array" ref="H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9332607.3592302203</v>
      </c>
      <c r="I38" s="416">
        <f>IFERROR(Table_Main[[#This Row],[Giá trị tồn đầu ngày]]/Table_Main[[#This Row],[Tồn kho đầu ngày]],0)</f>
        <v>113214.6471846044</v>
      </c>
      <c r="J38" s="416">
        <f>IFERROR(Table_Main[[#This Row],[Giá trị tồn cuối ngày]]/Table_Main[[#This Row],[Tồn kho cuối ngày]],0)</f>
        <v>124434.76478973628</v>
      </c>
      <c r="K38" s="411">
        <v>45775</v>
      </c>
      <c r="L38" s="47">
        <f xml:space="preserve">
IFERROR(
IFERROR(
VLOOKUP(Table_Main[[#This Row],[Đơn Mua]],Table_DonMua[[Mã Đơn mua]:[Add]],COUNTA(Table_DonMua[[#Headers],[Mã Đơn mua]:[Ngày lập]]),0),
VLOOKUP(Table_Main[[#This Row],[Đơn bán]],Table_DonBan[[Mã Đơn bán]:[Add]], COUNTA(Table_DonBan[[#Headers],[Mã Đơn bán]:[Ngày lập]]),0)),0)</f>
        <v>45772</v>
      </c>
      <c r="M38" s="29">
        <f>IFERROR(MONTH(Table_Main[[#This Row],[Ngày lên đơn]]),0)</f>
        <v>4</v>
      </c>
      <c r="N38" s="544">
        <f>IF(Table_Main[[#This Row],[Ngày lên đơn]]=0,"",Table_Main[[#This Row],[Ngày xuất nhập]]-Table_Main[[#This Row],[Ngày lên đơn]])</f>
        <v>3</v>
      </c>
      <c r="O38" s="7" t="s">
        <v>1154</v>
      </c>
      <c r="P38" s="230" t="s">
        <v>1155</v>
      </c>
      <c r="Q38" s="404">
        <v>25</v>
      </c>
      <c r="R38" s="516" t="s">
        <v>1170</v>
      </c>
      <c r="S38" s="530" t="str">
        <f>IFERROR(VLOOKUP(Table_Main[[#This Row],[Đơn Mua]],Table_DonMua[[Mã Đơn mua]:[Add]],COUNTA(Table_DonMua[[#Headers],[Mã Đơn mua]:[Mã Đối tác]]),0),0)</f>
        <v>NCC2</v>
      </c>
      <c r="T38" s="405">
        <v>146875</v>
      </c>
      <c r="U38" s="48">
        <f xml:space="preserve">
IF(NOT(ISBLANK(Table_Main[[#This Row],[Đơn Mua]])),Table_Main[[#This Row],[Số lượng]]*Table_Main[[#This Row],[Giá nhập]],Table_Main[[#This Row],[Số lượng]]*Table_Main[[#This Row],[Giá trị bình quân đầu ngày]])</f>
        <v>3671875</v>
      </c>
      <c r="V3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8" s="48">
        <f>IF(Table_Main[[#This Row],[Đơn Mua]]="", 0,IFERROR(Table_Main[[#This Row],[Tỷ suất VAT khấu trừ]]*(Table_Main[[#This Row],[Giá trị hàng nhập]]/(1+Table_Main[[#This Row],[Tỷ suất VAT khấu trừ]])),0))</f>
        <v>0</v>
      </c>
      <c r="X38" s="516"/>
      <c r="Y38" s="28">
        <f>IFERROR(VLOOKUP(Table_Main[[#This Row],[Đơn bán]],Table_DonBan[[Mã Đơn bán]:[Add]],COUNTA(Table_DonBan[[#Headers],[Mã Đơn bán]:[Mã Khách]]),0),0)</f>
        <v>0</v>
      </c>
      <c r="Z38" s="48">
        <f>IF(ISBLANK(Table_Main[[#This Row],[Đơn bán]]),0,
VLOOKUP(Table_Main[[#This Row],[Mã SKU]],Table_SKU[[Mã SKU]:[Giá bán]],COUNTA(Table_SKU[[#Headers],[Mã SKU]:[Giá bán]]),0))</f>
        <v>0</v>
      </c>
      <c r="AA38" s="48">
        <f>IF(ISBLANK(Table_Main[[#This Row],[Đơn bán]]),0,
IF(Table_Main[[#This Row],[Loại]] = "Xuất",Table_Main[[#This Row],[Giá bán niêm yết]]*Table_Main[[#This Row],[Số lượng]],-Table_Main[[#This Row],[Giá bán niêm yết]]*Table_Main[[#This Row],[Số lượng]]))</f>
        <v>0</v>
      </c>
      <c r="AB38" s="230"/>
      <c r="AC3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8" s="66">
        <f>IFERROR(
VLOOKUP(Table_Main[[#This Row],[Mã SKU]],Table_SKU[[Mã SKU]:[Tỷ suất VAT]],COUNTA(Table_SKU[[#Headers],[Mã SKU]:[Tỷ suất VAT]]),0),0)</f>
        <v>0</v>
      </c>
      <c r="AG38" s="48">
        <f xml:space="preserve">
IF(Table_Main[[#This Row],[Đơn bán]]="", 0,Table_Main[[#This Row],[Tỷ suất VAT]]*Table_Main[[#This Row],[Giá trị bán trước VAT]])</f>
        <v>0</v>
      </c>
      <c r="AH38" s="51">
        <f>IFERROR(VLOOKUP(Table_Main[[#This Row],[Đơn bán]],Table_DonBan[[Mã Đơn bán]:[Add]],COUNTA(Table_DonBan[[#Headers],[Mã Đơn bán]:[Mã NV]]),0),0)</f>
        <v>0</v>
      </c>
      <c r="AI3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8" s="48">
        <f>IFERROR(Table_Main[[#This Row],[Giá trị bán trước VAT]]*Table_Main[[#This Row],[Tỷ lệ hoa hồng]],"")</f>
        <v>0</v>
      </c>
      <c r="AK38" s="48">
        <f>IFERROR(VLOOKUP(Table_Main[[#This Row],[Đơn bán]],Table_DonBan[[Mã Đơn bán]:[Add]],COUNTA(Table_DonBan[[#Headers],[Mã Đơn bán]:[Kênh]]),0),0)</f>
        <v>0</v>
      </c>
      <c r="AL3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8" s="48">
        <f>IFERROR(Table_Main[[#This Row],[Giá trị bán trước VAT]]*Table_Main[[#This Row],[Tỷ lệ CK kênh]],"")</f>
        <v>0</v>
      </c>
      <c r="AN38" s="230"/>
      <c r="AO38" s="232"/>
      <c r="AP38" s="226">
        <f>Table_Main[[#This Row],[ĐK - Phân loại]]*Table_Main[[#This Row],[ĐK - Thời gian]]*Table_Main[[#This Row],[ĐK - Giá trị]]*Table_Main[[#This Row],[ĐK - Số lượng]]*Table_Main[[#This Row],[ĐK - Sinh nhật]]*Table_Main[[#This Row],[ĐK - Ngày mua cuối]]</f>
        <v>1</v>
      </c>
      <c r="AQ38" s="226">
        <f xml:space="preserve">
IF(ISBLANK(Table_Main[[#This Row],[Chương trình]]),1,
IF(VLOOKUP(Table_Main[[#This Row],[Chương trình]],Table_ChuongTrinh[[Mã Chương trình]:[Đối tượng CK]],Sheet_ChuongTrinh!$C$1,0) = "Sản phẩm",1,0))</f>
        <v>1</v>
      </c>
      <c r="AR3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9" spans="2:48" ht="18" customHeight="1" x14ac:dyDescent="0.3">
      <c r="B39" s="516" t="s">
        <v>1150</v>
      </c>
      <c r="C39" s="516"/>
      <c r="D39" s="530" t="str">
        <f>IF(ISBLANK(Table_Main[[#This Row],[Mã SKU]]),Table_Main[[#This Row],[Mã Nguyên liệu]],Table_Main[[#This Row],[Mã SKU]])</f>
        <v>TP1</v>
      </c>
      <c r="E39" s="416" cm="1">
        <f t="array" ref="E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139</v>
      </c>
      <c r="F39" s="416" cm="1">
        <f t="array" ref="F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121</v>
      </c>
      <c r="G39" s="416" cm="1">
        <f t="array" ref="G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9" s="416" cm="1">
        <f t="array" ref="H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9" s="416">
        <f>IFERROR(Table_Main[[#This Row],[Giá trị tồn đầu ngày]]/Table_Main[[#This Row],[Tồn kho đầu ngày]],0)</f>
        <v>0</v>
      </c>
      <c r="J39" s="416">
        <f>IFERROR(Table_Main[[#This Row],[Giá trị tồn cuối ngày]]/Table_Main[[#This Row],[Tồn kho cuối ngày]],0)</f>
        <v>0</v>
      </c>
      <c r="K39" s="411">
        <v>45771</v>
      </c>
      <c r="L39" s="47">
        <f xml:space="preserve">
IFERROR(
IFERROR(
VLOOKUP(Table_Main[[#This Row],[Đơn Mua]],Table_DonMua[[Mã Đơn mua]:[Add]],COUNTA(Table_DonMua[[#Headers],[Mã Đơn mua]:[Ngày lập]]),0),
VLOOKUP(Table_Main[[#This Row],[Đơn bán]],Table_DonBan[[Mã Đơn bán]:[Add]], COUNTA(Table_DonBan[[#Headers],[Mã Đơn bán]:[Ngày lập]]),0)),0)</f>
        <v>45771</v>
      </c>
      <c r="M39" s="29">
        <f>IFERROR(MONTH(Table_Main[[#This Row],[Ngày lên đơn]]),0)</f>
        <v>4</v>
      </c>
      <c r="N39" s="51">
        <f>IF(Table_Main[[#This Row],[Ngày lên đơn]]=0,"",Table_Main[[#This Row],[Ngày xuất nhập]]-Table_Main[[#This Row],[Ngày lên đơn]])</f>
        <v>0</v>
      </c>
      <c r="O39" s="230" t="s">
        <v>53</v>
      </c>
      <c r="P39" s="230" t="s">
        <v>1155</v>
      </c>
      <c r="Q39" s="404">
        <v>18</v>
      </c>
      <c r="R39" s="516"/>
      <c r="S39" s="530">
        <f>IFERROR(VLOOKUP(Table_Main[[#This Row],[Đơn Mua]],Table_DonMua[[Mã Đơn mua]:[Add]],COUNTA(Table_DonMua[[#Headers],[Mã Đơn mua]:[Mã Đối tác]]),0),0)</f>
        <v>0</v>
      </c>
      <c r="T39" s="405"/>
      <c r="U39" s="48">
        <f xml:space="preserve">
IF(NOT(ISBLANK(Table_Main[[#This Row],[Đơn Mua]])),Table_Main[[#This Row],[Số lượng]]*Table_Main[[#This Row],[Giá nhập]],Table_Main[[#This Row],[Số lượng]]*Table_Main[[#This Row],[Giá trị bình quân đầu ngày]])</f>
        <v>0</v>
      </c>
      <c r="V3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9" s="48">
        <f>IF(Table_Main[[#This Row],[Đơn Mua]]="", 0,IFERROR(Table_Main[[#This Row],[Tỷ suất VAT khấu trừ]]*(Table_Main[[#This Row],[Giá trị hàng nhập]]/(1+Table_Main[[#This Row],[Tỷ suất VAT khấu trừ]])),0))</f>
        <v>0</v>
      </c>
      <c r="X39" s="516" t="s">
        <v>1211</v>
      </c>
      <c r="Y39" s="28" t="str">
        <f>IFERROR(VLOOKUP(Table_Main[[#This Row],[Đơn bán]],Table_DonBan[[Mã Đơn bán]:[Add]],COUNTA(Table_DonBan[[#Headers],[Mã Đơn bán]:[Mã Khách]]),0),0)</f>
        <v>KH2</v>
      </c>
      <c r="Z39" s="48">
        <f>IF(ISBLANK(Table_Main[[#This Row],[Đơn bán]]),0,
VLOOKUP(Table_Main[[#This Row],[Mã SKU]],Table_SKU[[Mã SKU]:[Giá bán]],COUNTA(Table_SKU[[#Headers],[Mã SKU]:[Giá bán]]),0))</f>
        <v>300000</v>
      </c>
      <c r="AA39" s="48">
        <f>IF(ISBLANK(Table_Main[[#This Row],[Đơn bán]]),0,
IF(Table_Main[[#This Row],[Loại]] = "Xuất",Table_Main[[#This Row],[Giá bán niêm yết]]*Table_Main[[#This Row],[Số lượng]],-Table_Main[[#This Row],[Giá bán niêm yết]]*Table_Main[[#This Row],[Số lượng]]))</f>
        <v>5400000</v>
      </c>
      <c r="AB39" s="230"/>
      <c r="AC3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9"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5400000</v>
      </c>
      <c r="AF39" s="66">
        <f>IFERROR(
VLOOKUP(Table_Main[[#This Row],[Mã SKU]],Table_SKU[[Mã SKU]:[Tỷ suất VAT]],COUNTA(Table_SKU[[#Headers],[Mã SKU]:[Tỷ suất VAT]]),0),0)</f>
        <v>0</v>
      </c>
      <c r="AG39" s="48">
        <f xml:space="preserve">
IF(Table_Main[[#This Row],[Đơn bán]]="", 0,Table_Main[[#This Row],[Tỷ suất VAT]]*Table_Main[[#This Row],[Giá trị bán trước VAT]])</f>
        <v>0</v>
      </c>
      <c r="AH39" s="51">
        <f>IFERROR(VLOOKUP(Table_Main[[#This Row],[Đơn bán]],Table_DonBan[[Mã Đơn bán]:[Add]],COUNTA(Table_DonBan[[#Headers],[Mã Đơn bán]:[Mã NV]]),0),0)</f>
        <v>0</v>
      </c>
      <c r="AI3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9" s="48">
        <f>IFERROR(Table_Main[[#This Row],[Giá trị bán trước VAT]]*Table_Main[[#This Row],[Tỷ lệ hoa hồng]],"")</f>
        <v>0</v>
      </c>
      <c r="AK39" s="48">
        <f>IFERROR(VLOOKUP(Table_Main[[#This Row],[Đơn bán]],Table_DonBan[[Mã Đơn bán]:[Add]],COUNTA(Table_DonBan[[#Headers],[Mã Đơn bán]:[Kênh]]),0),0)</f>
        <v>0</v>
      </c>
      <c r="AL3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9" s="48">
        <f>IFERROR(Table_Main[[#This Row],[Giá trị bán trước VAT]]*Table_Main[[#This Row],[Tỷ lệ CK kênh]],"")</f>
        <v>0</v>
      </c>
      <c r="AN39" s="230"/>
      <c r="AO39" s="232"/>
      <c r="AP39" s="226">
        <f>Table_Main[[#This Row],[ĐK - Phân loại]]*Table_Main[[#This Row],[ĐK - Thời gian]]*Table_Main[[#This Row],[ĐK - Giá trị]]*Table_Main[[#This Row],[ĐK - Số lượng]]*Table_Main[[#This Row],[ĐK - Sinh nhật]]*Table_Main[[#This Row],[ĐK - Ngày mua cuối]]</f>
        <v>1</v>
      </c>
      <c r="AQ39" s="226">
        <f xml:space="preserve">
IF(ISBLANK(Table_Main[[#This Row],[Chương trình]]),1,
IF(VLOOKUP(Table_Main[[#This Row],[Chương trình]],Table_ChuongTrinh[[Mã Chương trình]:[Đối tượng CK]],Sheet_ChuongTrinh!$C$1,0) = "Sản phẩm",1,0))</f>
        <v>1</v>
      </c>
      <c r="AR3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0" spans="2:48" ht="18" customHeight="1" x14ac:dyDescent="0.15">
      <c r="B40" s="523"/>
      <c r="C40" s="238" t="s">
        <v>1152</v>
      </c>
      <c r="D40" s="531" t="str">
        <f>IF(ISBLANK(Table_Main[[#This Row],[Mã SKU]]),Table_Main[[#This Row],[Mã Nguyên liệu]],Table_Main[[#This Row],[Mã SKU]])</f>
        <v>NL2</v>
      </c>
      <c r="E40" s="416" cm="1">
        <f t="array" ref="E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38</v>
      </c>
      <c r="F40" s="416" cm="1">
        <f t="array" ref="F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61</v>
      </c>
      <c r="G40" s="416" cm="1">
        <f t="array" ref="G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5321807.4782608673</v>
      </c>
      <c r="H40" s="416" cm="1">
        <f t="array" ref="H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6906093.4782608673</v>
      </c>
      <c r="I40" s="416">
        <f>IFERROR(Table_Main[[#This Row],[Giá trị tồn đầu ngày]]/Table_Main[[#This Row],[Tồn kho đầu ngày]],0)</f>
        <v>140047.56521739124</v>
      </c>
      <c r="J40" s="416">
        <f>IFERROR(Table_Main[[#This Row],[Giá trị tồn cuối ngày]]/Table_Main[[#This Row],[Tồn kho cuối ngày]],0)</f>
        <v>113214.64718460439</v>
      </c>
      <c r="K40" s="411">
        <v>45769</v>
      </c>
      <c r="L40" s="47">
        <f xml:space="preserve">
IFERROR(
IFERROR(
VLOOKUP(Table_Main[[#This Row],[Đơn Mua]],Table_DonMua[[Mã Đơn mua]:[Add]],COUNTA(Table_DonMua[[#Headers],[Mã Đơn mua]:[Ngày lập]]),0),
VLOOKUP(Table_Main[[#This Row],[Đơn bán]],Table_DonBan[[Mã Đơn bán]:[Add]], COUNTA(Table_DonBan[[#Headers],[Mã Đơn bán]:[Ngày lập]]),0)),0)</f>
        <v>45767</v>
      </c>
      <c r="M40" s="29">
        <f>IFERROR(MONTH(Table_Main[[#This Row],[Ngày lên đơn]]),0)</f>
        <v>4</v>
      </c>
      <c r="N40" s="544">
        <f>IF(Table_Main[[#This Row],[Ngày lên đơn]]=0,"",Table_Main[[#This Row],[Ngày xuất nhập]]-Table_Main[[#This Row],[Ngày lên đơn]])</f>
        <v>2</v>
      </c>
      <c r="O40" s="7" t="s">
        <v>1154</v>
      </c>
      <c r="P40" s="230" t="s">
        <v>1155</v>
      </c>
      <c r="Q40" s="404">
        <v>23</v>
      </c>
      <c r="R40" s="516" t="s">
        <v>1169</v>
      </c>
      <c r="S40" s="530" t="str">
        <f>IFERROR(VLOOKUP(Table_Main[[#This Row],[Đơn Mua]],Table_DonMua[[Mã Đơn mua]:[Add]],COUNTA(Table_DonMua[[#Headers],[Mã Đơn mua]:[Mã Đối tác]]),0),0)</f>
        <v>NCC3</v>
      </c>
      <c r="T40" s="405">
        <v>68882</v>
      </c>
      <c r="U40" s="48">
        <f xml:space="preserve">
IF(NOT(ISBLANK(Table_Main[[#This Row],[Đơn Mua]])),Table_Main[[#This Row],[Số lượng]]*Table_Main[[#This Row],[Giá nhập]],Table_Main[[#This Row],[Số lượng]]*Table_Main[[#This Row],[Giá trị bình quân đầu ngày]])</f>
        <v>1584286</v>
      </c>
      <c r="V4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0" s="48">
        <f>IF(Table_Main[[#This Row],[Đơn Mua]]="", 0,IFERROR(Table_Main[[#This Row],[Tỷ suất VAT khấu trừ]]*(Table_Main[[#This Row],[Giá trị hàng nhập]]/(1+Table_Main[[#This Row],[Tỷ suất VAT khấu trừ]])),0))</f>
        <v>0</v>
      </c>
      <c r="X40" s="516"/>
      <c r="Y40" s="28">
        <f>IFERROR(VLOOKUP(Table_Main[[#This Row],[Đơn bán]],Table_DonBan[[Mã Đơn bán]:[Add]],COUNTA(Table_DonBan[[#Headers],[Mã Đơn bán]:[Mã Khách]]),0),0)</f>
        <v>0</v>
      </c>
      <c r="Z40" s="48">
        <f>IF(ISBLANK(Table_Main[[#This Row],[Đơn bán]]),0,
VLOOKUP(Table_Main[[#This Row],[Mã SKU]],Table_SKU[[Mã SKU]:[Giá bán]],COUNTA(Table_SKU[[#Headers],[Mã SKU]:[Giá bán]]),0))</f>
        <v>0</v>
      </c>
      <c r="AA40" s="48">
        <f>IF(ISBLANK(Table_Main[[#This Row],[Đơn bán]]),0,
IF(Table_Main[[#This Row],[Loại]] = "Xuất",Table_Main[[#This Row],[Giá bán niêm yết]]*Table_Main[[#This Row],[Số lượng]],-Table_Main[[#This Row],[Giá bán niêm yết]]*Table_Main[[#This Row],[Số lượng]]))</f>
        <v>0</v>
      </c>
      <c r="AB40" s="230"/>
      <c r="AC4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0" s="66">
        <f>IFERROR(
VLOOKUP(Table_Main[[#This Row],[Mã SKU]],Table_SKU[[Mã SKU]:[Tỷ suất VAT]],COUNTA(Table_SKU[[#Headers],[Mã SKU]:[Tỷ suất VAT]]),0),0)</f>
        <v>0</v>
      </c>
      <c r="AG40" s="48">
        <f xml:space="preserve">
IF(Table_Main[[#This Row],[Đơn bán]]="", 0,Table_Main[[#This Row],[Tỷ suất VAT]]*Table_Main[[#This Row],[Giá trị bán trước VAT]])</f>
        <v>0</v>
      </c>
      <c r="AH40" s="51">
        <f>IFERROR(VLOOKUP(Table_Main[[#This Row],[Đơn bán]],Table_DonBan[[Mã Đơn bán]:[Add]],COUNTA(Table_DonBan[[#Headers],[Mã Đơn bán]:[Mã NV]]),0),0)</f>
        <v>0</v>
      </c>
      <c r="AI4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0" s="48">
        <f>IFERROR(Table_Main[[#This Row],[Giá trị bán trước VAT]]*Table_Main[[#This Row],[Tỷ lệ hoa hồng]],"")</f>
        <v>0</v>
      </c>
      <c r="AK40" s="48">
        <f>IFERROR(VLOOKUP(Table_Main[[#This Row],[Đơn bán]],Table_DonBan[[Mã Đơn bán]:[Add]],COUNTA(Table_DonBan[[#Headers],[Mã Đơn bán]:[Kênh]]),0),0)</f>
        <v>0</v>
      </c>
      <c r="AL4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0" s="48">
        <f>IFERROR(Table_Main[[#This Row],[Giá trị bán trước VAT]]*Table_Main[[#This Row],[Tỷ lệ CK kênh]],"")</f>
        <v>0</v>
      </c>
      <c r="AN40" s="230"/>
      <c r="AO40" s="232"/>
      <c r="AP40" s="226">
        <f>Table_Main[[#This Row],[ĐK - Phân loại]]*Table_Main[[#This Row],[ĐK - Thời gian]]*Table_Main[[#This Row],[ĐK - Giá trị]]*Table_Main[[#This Row],[ĐK - Số lượng]]*Table_Main[[#This Row],[ĐK - Sinh nhật]]*Table_Main[[#This Row],[ĐK - Ngày mua cuối]]</f>
        <v>1</v>
      </c>
      <c r="AQ40" s="226">
        <f xml:space="preserve">
IF(ISBLANK(Table_Main[[#This Row],[Chương trình]]),1,
IF(VLOOKUP(Table_Main[[#This Row],[Chương trình]],Table_ChuongTrinh[[Mã Chương trình]:[Đối tượng CK]],Sheet_ChuongTrinh!$C$1,0) = "Sản phẩm",1,0))</f>
        <v>1</v>
      </c>
      <c r="AR4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1" spans="2:48" ht="18" customHeight="1" x14ac:dyDescent="0.15">
      <c r="B41" s="516" t="s">
        <v>1149</v>
      </c>
      <c r="C41" s="516"/>
      <c r="D41" s="530" t="str">
        <f>IF(ISBLANK(Table_Main[[#This Row],[Mã SKU]]),Table_Main[[#This Row],[Mã Nguyên liệu]],Table_Main[[#This Row],[Mã SKU]])</f>
        <v>HH1</v>
      </c>
      <c r="E41" s="416" cm="1">
        <f t="array" ref="E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v>
      </c>
      <c r="F41" s="416" cm="1">
        <f t="array" ref="F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v>
      </c>
      <c r="G41" s="416" cm="1">
        <f t="array" ref="G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-450663.50746268593</v>
      </c>
      <c r="H41" s="416" cm="1">
        <f t="array" ref="H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280105.49253731407</v>
      </c>
      <c r="I41" s="416">
        <f>IFERROR(Table_Main[[#This Row],[Giá trị tồn đầu ngày]]/Table_Main[[#This Row],[Tồn kho đầu ngày]],0)</f>
        <v>90132.701492537191</v>
      </c>
      <c r="J41" s="416">
        <f>IFERROR(Table_Main[[#This Row],[Giá trị tồn cuối ngày]]/Table_Main[[#This Row],[Tồn kho cuối ngày]],0)</f>
        <v>35013.186567164259</v>
      </c>
      <c r="K41" s="411">
        <v>45765</v>
      </c>
      <c r="L41"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1" s="29">
        <f>IFERROR(MONTH(Table_Main[[#This Row],[Ngày lên đơn]]),0)</f>
        <v>4</v>
      </c>
      <c r="N41" s="544">
        <f>IF(Table_Main[[#This Row],[Ngày lên đơn]]=0,"",Table_Main[[#This Row],[Ngày xuất nhập]]-Table_Main[[#This Row],[Ngày lên đơn]])</f>
        <v>1</v>
      </c>
      <c r="O41" s="7" t="s">
        <v>1154</v>
      </c>
      <c r="P41" s="230" t="s">
        <v>1155</v>
      </c>
      <c r="Q41" s="404">
        <v>13</v>
      </c>
      <c r="R41" s="516" t="s">
        <v>1168</v>
      </c>
      <c r="S41" s="530" t="str">
        <f>IFERROR(VLOOKUP(Table_Main[[#This Row],[Đơn Mua]],Table_DonMua[[Mã Đơn mua]:[Add]],COUNTA(Table_DonMua[[#Headers],[Mã Đơn mua]:[Mã Đối tác]]),0),0)</f>
        <v>NCC1</v>
      </c>
      <c r="T41" s="405">
        <v>56213</v>
      </c>
      <c r="U41" s="48">
        <f xml:space="preserve">
IF(NOT(ISBLANK(Table_Main[[#This Row],[Đơn Mua]])),Table_Main[[#This Row],[Số lượng]]*Table_Main[[#This Row],[Giá nhập]],Table_Main[[#This Row],[Số lượng]]*Table_Main[[#This Row],[Giá trị bình quân đầu ngày]])</f>
        <v>730769</v>
      </c>
      <c r="V4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1" s="48">
        <f>IF(Table_Main[[#This Row],[Đơn Mua]]="", 0,IFERROR(Table_Main[[#This Row],[Tỷ suất VAT khấu trừ]]*(Table_Main[[#This Row],[Giá trị hàng nhập]]/(1+Table_Main[[#This Row],[Tỷ suất VAT khấu trừ]])),0))</f>
        <v>0</v>
      </c>
      <c r="X41" s="516"/>
      <c r="Y41" s="28">
        <f>IFERROR(VLOOKUP(Table_Main[[#This Row],[Đơn bán]],Table_DonBan[[Mã Đơn bán]:[Add]],COUNTA(Table_DonBan[[#Headers],[Mã Đơn bán]:[Mã Khách]]),0),0)</f>
        <v>0</v>
      </c>
      <c r="Z41" s="48">
        <f>IF(ISBLANK(Table_Main[[#This Row],[Đơn bán]]),0,
VLOOKUP(Table_Main[[#This Row],[Mã SKU]],Table_SKU[[Mã SKU]:[Giá bán]],COUNTA(Table_SKU[[#Headers],[Mã SKU]:[Giá bán]]),0))</f>
        <v>0</v>
      </c>
      <c r="AA41" s="48">
        <f>IF(ISBLANK(Table_Main[[#This Row],[Đơn bán]]),0,
IF(Table_Main[[#This Row],[Loại]] = "Xuất",Table_Main[[#This Row],[Giá bán niêm yết]]*Table_Main[[#This Row],[Số lượng]],-Table_Main[[#This Row],[Giá bán niêm yết]]*Table_Main[[#This Row],[Số lượng]]))</f>
        <v>0</v>
      </c>
      <c r="AB41" s="230"/>
      <c r="AC4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1" s="66">
        <f>IFERROR(
VLOOKUP(Table_Main[[#This Row],[Mã SKU]],Table_SKU[[Mã SKU]:[Tỷ suất VAT]],COUNTA(Table_SKU[[#Headers],[Mã SKU]:[Tỷ suất VAT]]),0),0)</f>
        <v>0</v>
      </c>
      <c r="AG41" s="48">
        <f xml:space="preserve">
IF(Table_Main[[#This Row],[Đơn bán]]="", 0,Table_Main[[#This Row],[Tỷ suất VAT]]*Table_Main[[#This Row],[Giá trị bán trước VAT]])</f>
        <v>0</v>
      </c>
      <c r="AH41" s="51">
        <f>IFERROR(VLOOKUP(Table_Main[[#This Row],[Đơn bán]],Table_DonBan[[Mã Đơn bán]:[Add]],COUNTA(Table_DonBan[[#Headers],[Mã Đơn bán]:[Mã NV]]),0),0)</f>
        <v>0</v>
      </c>
      <c r="AI4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1" s="48">
        <f>IFERROR(Table_Main[[#This Row],[Giá trị bán trước VAT]]*Table_Main[[#This Row],[Tỷ lệ hoa hồng]],"")</f>
        <v>0</v>
      </c>
      <c r="AK41" s="48">
        <f>IFERROR(VLOOKUP(Table_Main[[#This Row],[Đơn bán]],Table_DonBan[[Mã Đơn bán]:[Add]],COUNTA(Table_DonBan[[#Headers],[Mã Đơn bán]:[Kênh]]),0),0)</f>
        <v>0</v>
      </c>
      <c r="AL4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1" s="48">
        <f>IFERROR(Table_Main[[#This Row],[Giá trị bán trước VAT]]*Table_Main[[#This Row],[Tỷ lệ CK kênh]],"")</f>
        <v>0</v>
      </c>
      <c r="AN41" s="230"/>
      <c r="AO41" s="232"/>
      <c r="AP41" s="226">
        <f>Table_Main[[#This Row],[ĐK - Phân loại]]*Table_Main[[#This Row],[ĐK - Thời gian]]*Table_Main[[#This Row],[ĐK - Giá trị]]*Table_Main[[#This Row],[ĐK - Số lượng]]*Table_Main[[#This Row],[ĐK - Sinh nhật]]*Table_Main[[#This Row],[ĐK - Ngày mua cuối]]</f>
        <v>1</v>
      </c>
      <c r="AQ41" s="226">
        <f xml:space="preserve">
IF(ISBLANK(Table_Main[[#This Row],[Chương trình]]),1,
IF(VLOOKUP(Table_Main[[#This Row],[Chương trình]],Table_ChuongTrinh[[Mã Chương trình]:[Đối tượng CK]],Sheet_ChuongTrinh!$C$1,0) = "Sản phẩm",1,0))</f>
        <v>1</v>
      </c>
      <c r="AR4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2" spans="2:48" ht="18" customHeight="1" x14ac:dyDescent="0.3">
      <c r="B42" s="516" t="s">
        <v>1149</v>
      </c>
      <c r="C42" s="516"/>
      <c r="D42" s="530" t="str">
        <f>IF(ISBLANK(Table_Main[[#This Row],[Mã SKU]]),Table_Main[[#This Row],[Mã Nguyên liệu]],Table_Main[[#This Row],[Mã SKU]])</f>
        <v>HH1</v>
      </c>
      <c r="E42" s="416" cm="1">
        <f t="array" ref="E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v>
      </c>
      <c r="F42" s="416" cm="1">
        <f t="array" ref="F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v>
      </c>
      <c r="G42" s="416" cm="1">
        <f t="array" ref="G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1622388.6268656738</v>
      </c>
      <c r="H42" s="416" cm="1">
        <f t="array" ref="H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-450663.50746268593</v>
      </c>
      <c r="I42" s="416">
        <f>IFERROR(Table_Main[[#This Row],[Giá trị tồn đầu ngày]]/Table_Main[[#This Row],[Tồn kho đầu ngày]],0)</f>
        <v>90132.701492537439</v>
      </c>
      <c r="J42" s="416">
        <f>IFERROR(Table_Main[[#This Row],[Giá trị tồn cuối ngày]]/Table_Main[[#This Row],[Tồn kho cuối ngày]],0)</f>
        <v>90132.701492537191</v>
      </c>
      <c r="K42" s="411">
        <v>45764</v>
      </c>
      <c r="L42"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2" s="29">
        <f>IFERROR(MONTH(Table_Main[[#This Row],[Ngày lên đơn]]),0)</f>
        <v>4</v>
      </c>
      <c r="N42" s="51">
        <f>IF(Table_Main[[#This Row],[Ngày lên đơn]]=0,"",Table_Main[[#This Row],[Ngày xuất nhập]]-Table_Main[[#This Row],[Ngày lên đơn]])</f>
        <v>0</v>
      </c>
      <c r="O42" s="230" t="s">
        <v>53</v>
      </c>
      <c r="P42" s="230" t="s">
        <v>1155</v>
      </c>
      <c r="Q42" s="404">
        <v>23</v>
      </c>
      <c r="R42" s="516"/>
      <c r="S42" s="530">
        <f>IFERROR(VLOOKUP(Table_Main[[#This Row],[Đơn Mua]],Table_DonMua[[Mã Đơn mua]:[Add]],COUNTA(Table_DonMua[[#Headers],[Mã Đơn mua]:[Mã Đối tác]]),0),0)</f>
        <v>0</v>
      </c>
      <c r="T42" s="405"/>
      <c r="U42" s="48">
        <f xml:space="preserve">
IF(NOT(ISBLANK(Table_Main[[#This Row],[Đơn Mua]])),Table_Main[[#This Row],[Số lượng]]*Table_Main[[#This Row],[Giá nhập]],Table_Main[[#This Row],[Số lượng]]*Table_Main[[#This Row],[Giá trị bình quân đầu ngày]])</f>
        <v>2073052.1343283611</v>
      </c>
      <c r="V4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2" s="48">
        <f>IF(Table_Main[[#This Row],[Đơn Mua]]="", 0,IFERROR(Table_Main[[#This Row],[Tỷ suất VAT khấu trừ]]*(Table_Main[[#This Row],[Giá trị hàng nhập]]/(1+Table_Main[[#This Row],[Tỷ suất VAT khấu trừ]])),0))</f>
        <v>0</v>
      </c>
      <c r="X42" s="516" t="s">
        <v>1210</v>
      </c>
      <c r="Y42" s="28" t="str">
        <f>IFERROR(VLOOKUP(Table_Main[[#This Row],[Đơn bán]],Table_DonBan[[Mã Đơn bán]:[Add]],COUNTA(Table_DonBan[[#Headers],[Mã Đơn bán]:[Mã Khách]]),0),0)</f>
        <v>KH3</v>
      </c>
      <c r="Z42" s="48">
        <f>IF(ISBLANK(Table_Main[[#This Row],[Đơn bán]]),0,
VLOOKUP(Table_Main[[#This Row],[Mã SKU]],Table_SKU[[Mã SKU]:[Giá bán]],COUNTA(Table_SKU[[#Headers],[Mã SKU]:[Giá bán]]),0))</f>
        <v>100000</v>
      </c>
      <c r="AA42" s="48">
        <f>IF(ISBLANK(Table_Main[[#This Row],[Đơn bán]]),0,
IF(Table_Main[[#This Row],[Loại]] = "Xuất",Table_Main[[#This Row],[Giá bán niêm yết]]*Table_Main[[#This Row],[Số lượng]],-Table_Main[[#This Row],[Giá bán niêm yết]]*Table_Main[[#This Row],[Số lượng]]))</f>
        <v>2300000</v>
      </c>
      <c r="AB42" s="230"/>
      <c r="AC4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2300000</v>
      </c>
      <c r="AF42" s="66">
        <f>IFERROR(
VLOOKUP(Table_Main[[#This Row],[Mã SKU]],Table_SKU[[Mã SKU]:[Tỷ suất VAT]],COUNTA(Table_SKU[[#Headers],[Mã SKU]:[Tỷ suất VAT]]),0),0)</f>
        <v>0</v>
      </c>
      <c r="AG42" s="48">
        <f xml:space="preserve">
IF(Table_Main[[#This Row],[Đơn bán]]="", 0,Table_Main[[#This Row],[Tỷ suất VAT]]*Table_Main[[#This Row],[Giá trị bán trước VAT]])</f>
        <v>0</v>
      </c>
      <c r="AH42" s="51">
        <f>IFERROR(VLOOKUP(Table_Main[[#This Row],[Đơn bán]],Table_DonBan[[Mã Đơn bán]:[Add]],COUNTA(Table_DonBan[[#Headers],[Mã Đơn bán]:[Mã NV]]),0),0)</f>
        <v>0</v>
      </c>
      <c r="AI4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2" s="48">
        <f>IFERROR(Table_Main[[#This Row],[Giá trị bán trước VAT]]*Table_Main[[#This Row],[Tỷ lệ hoa hồng]],"")</f>
        <v>0</v>
      </c>
      <c r="AK42" s="48">
        <f>IFERROR(VLOOKUP(Table_Main[[#This Row],[Đơn bán]],Table_DonBan[[Mã Đơn bán]:[Add]],COUNTA(Table_DonBan[[#Headers],[Mã Đơn bán]:[Kênh]]),0),0)</f>
        <v>0</v>
      </c>
      <c r="AL4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2" s="48">
        <f>IFERROR(Table_Main[[#This Row],[Giá trị bán trước VAT]]*Table_Main[[#This Row],[Tỷ lệ CK kênh]],"")</f>
        <v>0</v>
      </c>
      <c r="AN42" s="230"/>
      <c r="AO42" s="232"/>
      <c r="AP42" s="226">
        <f>Table_Main[[#This Row],[ĐK - Phân loại]]*Table_Main[[#This Row],[ĐK - Thời gian]]*Table_Main[[#This Row],[ĐK - Giá trị]]*Table_Main[[#This Row],[ĐK - Số lượng]]*Table_Main[[#This Row],[ĐK - Sinh nhật]]*Table_Main[[#This Row],[ĐK - Ngày mua cuối]]</f>
        <v>1</v>
      </c>
      <c r="AQ42" s="226">
        <f xml:space="preserve">
IF(ISBLANK(Table_Main[[#This Row],[Chương trình]]),1,
IF(VLOOKUP(Table_Main[[#This Row],[Chương trình]],Table_ChuongTrinh[[Mã Chương trình]:[Đối tượng CK]],Sheet_ChuongTrinh!$C$1,0) = "Sản phẩm",1,0))</f>
        <v>1</v>
      </c>
      <c r="AR4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3" spans="2:48" ht="18" customHeight="1" x14ac:dyDescent="0.3">
      <c r="B43" s="516" t="s">
        <v>1150</v>
      </c>
      <c r="C43" s="516"/>
      <c r="D43" s="530" t="str">
        <f>IF(ISBLANK(Table_Main[[#This Row],[Mã SKU]]),Table_Main[[#This Row],[Mã Nguyên liệu]],Table_Main[[#This Row],[Mã SKU]])</f>
        <v>TP1</v>
      </c>
      <c r="E43" s="416" cm="1">
        <f t="array" ref="E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43" s="416" cm="1">
        <f t="array" ref="F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139</v>
      </c>
      <c r="G43" s="416" cm="1">
        <f t="array" ref="G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3" s="416" cm="1">
        <f t="array" ref="H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3" s="416">
        <f>IFERROR(Table_Main[[#This Row],[Giá trị tồn đầu ngày]]/Table_Main[[#This Row],[Tồn kho đầu ngày]],0)</f>
        <v>0</v>
      </c>
      <c r="J43" s="416">
        <f>IFERROR(Table_Main[[#This Row],[Giá trị tồn cuối ngày]]/Table_Main[[#This Row],[Tồn kho cuối ngày]],0)</f>
        <v>0</v>
      </c>
      <c r="K43" s="411">
        <v>45762</v>
      </c>
      <c r="L43" s="47">
        <f xml:space="preserve">
IFERROR(
IFERROR(
VLOOKUP(Table_Main[[#This Row],[Đơn Mua]],Table_DonMua[[Mã Đơn mua]:[Add]],COUNTA(Table_DonMua[[#Headers],[Mã Đơn mua]:[Ngày lập]]),0),
VLOOKUP(Table_Main[[#This Row],[Đơn bán]],Table_DonBan[[Mã Đơn bán]:[Add]], COUNTA(Table_DonBan[[#Headers],[Mã Đơn bán]:[Ngày lập]]),0)),0)</f>
        <v>45762</v>
      </c>
      <c r="M43" s="29">
        <f>IFERROR(MONTH(Table_Main[[#This Row],[Ngày lên đơn]]),0)</f>
        <v>4</v>
      </c>
      <c r="N43" s="51">
        <f>IF(Table_Main[[#This Row],[Ngày lên đơn]]=0,"",Table_Main[[#This Row],[Ngày xuất nhập]]-Table_Main[[#This Row],[Ngày lên đơn]])</f>
        <v>0</v>
      </c>
      <c r="O43" s="230" t="s">
        <v>53</v>
      </c>
      <c r="P43" s="230" t="s">
        <v>1155</v>
      </c>
      <c r="Q43" s="404">
        <v>11</v>
      </c>
      <c r="R43" s="516"/>
      <c r="S43" s="530">
        <f>IFERROR(VLOOKUP(Table_Main[[#This Row],[Đơn Mua]],Table_DonMua[[Mã Đơn mua]:[Add]],COUNTA(Table_DonMua[[#Headers],[Mã Đơn mua]:[Mã Đối tác]]),0),0)</f>
        <v>0</v>
      </c>
      <c r="T43" s="405"/>
      <c r="U43" s="48">
        <f xml:space="preserve">
IF(NOT(ISBLANK(Table_Main[[#This Row],[Đơn Mua]])),Table_Main[[#This Row],[Số lượng]]*Table_Main[[#This Row],[Giá nhập]],Table_Main[[#This Row],[Số lượng]]*Table_Main[[#This Row],[Giá trị bình quân đầu ngày]])</f>
        <v>0</v>
      </c>
      <c r="V4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3" s="48">
        <f>IF(Table_Main[[#This Row],[Đơn Mua]]="", 0,IFERROR(Table_Main[[#This Row],[Tỷ suất VAT khấu trừ]]*(Table_Main[[#This Row],[Giá trị hàng nhập]]/(1+Table_Main[[#This Row],[Tỷ suất VAT khấu trừ]])),0))</f>
        <v>0</v>
      </c>
      <c r="X43" s="516" t="s">
        <v>1209</v>
      </c>
      <c r="Y43" s="28" t="str">
        <f>IFERROR(VLOOKUP(Table_Main[[#This Row],[Đơn bán]],Table_DonBan[[Mã Đơn bán]:[Add]],COUNTA(Table_DonBan[[#Headers],[Mã Đơn bán]:[Mã Khách]]),0),0)</f>
        <v>KH2</v>
      </c>
      <c r="Z43" s="48">
        <f>IF(ISBLANK(Table_Main[[#This Row],[Đơn bán]]),0,
VLOOKUP(Table_Main[[#This Row],[Mã SKU]],Table_SKU[[Mã SKU]:[Giá bán]],COUNTA(Table_SKU[[#Headers],[Mã SKU]:[Giá bán]]),0))</f>
        <v>300000</v>
      </c>
      <c r="AA43" s="48">
        <f>IF(ISBLANK(Table_Main[[#This Row],[Đơn bán]]),0,
IF(Table_Main[[#This Row],[Loại]] = "Xuất",Table_Main[[#This Row],[Giá bán niêm yết]]*Table_Main[[#This Row],[Số lượng]],-Table_Main[[#This Row],[Giá bán niêm yết]]*Table_Main[[#This Row],[Số lượng]]))</f>
        <v>3300000</v>
      </c>
      <c r="AB43" s="230"/>
      <c r="AC4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3300000</v>
      </c>
      <c r="AF43" s="66">
        <f>IFERROR(
VLOOKUP(Table_Main[[#This Row],[Mã SKU]],Table_SKU[[Mã SKU]:[Tỷ suất VAT]],COUNTA(Table_SKU[[#Headers],[Mã SKU]:[Tỷ suất VAT]]),0),0)</f>
        <v>0</v>
      </c>
      <c r="AG43" s="48">
        <f xml:space="preserve">
IF(Table_Main[[#This Row],[Đơn bán]]="", 0,Table_Main[[#This Row],[Tỷ suất VAT]]*Table_Main[[#This Row],[Giá trị bán trước VAT]])</f>
        <v>0</v>
      </c>
      <c r="AH43" s="51">
        <f>IFERROR(VLOOKUP(Table_Main[[#This Row],[Đơn bán]],Table_DonBan[[Mã Đơn bán]:[Add]],COUNTA(Table_DonBan[[#Headers],[Mã Đơn bán]:[Mã NV]]),0),0)</f>
        <v>0</v>
      </c>
      <c r="AI4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3" s="48">
        <f>IFERROR(Table_Main[[#This Row],[Giá trị bán trước VAT]]*Table_Main[[#This Row],[Tỷ lệ hoa hồng]],"")</f>
        <v>0</v>
      </c>
      <c r="AK43" s="48">
        <f>IFERROR(VLOOKUP(Table_Main[[#This Row],[Đơn bán]],Table_DonBan[[Mã Đơn bán]:[Add]],COUNTA(Table_DonBan[[#Headers],[Mã Đơn bán]:[Kênh]]),0),0)</f>
        <v>0</v>
      </c>
      <c r="AL4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3" s="48">
        <f>IFERROR(Table_Main[[#This Row],[Giá trị bán trước VAT]]*Table_Main[[#This Row],[Tỷ lệ CK kênh]],"")</f>
        <v>0</v>
      </c>
      <c r="AN43" s="230"/>
      <c r="AO43" s="232"/>
      <c r="AP43" s="226">
        <f>Table_Main[[#This Row],[ĐK - Phân loại]]*Table_Main[[#This Row],[ĐK - Thời gian]]*Table_Main[[#This Row],[ĐK - Giá trị]]*Table_Main[[#This Row],[ĐK - Số lượng]]*Table_Main[[#This Row],[ĐK - Sinh nhật]]*Table_Main[[#This Row],[ĐK - Ngày mua cuối]]</f>
        <v>1</v>
      </c>
      <c r="AQ43" s="226">
        <f xml:space="preserve">
IF(ISBLANK(Table_Main[[#This Row],[Chương trình]]),1,
IF(VLOOKUP(Table_Main[[#This Row],[Chương trình]],Table_ChuongTrinh[[Mã Chương trình]:[Đối tượng CK]],Sheet_ChuongTrinh!$C$1,0) = "Sản phẩm",1,0))</f>
        <v>1</v>
      </c>
      <c r="AR4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4" spans="2:48" ht="18" customHeight="1" x14ac:dyDescent="0.3">
      <c r="B44" s="516" t="s">
        <v>1149</v>
      </c>
      <c r="C44" s="516"/>
      <c r="D44" s="530" t="str">
        <f>IF(ISBLANK(Table_Main[[#This Row],[Mã SKU]]),Table_Main[[#This Row],[Mã Nguyên liệu]],Table_Main[[#This Row],[Mã SKU]])</f>
        <v>HH1</v>
      </c>
      <c r="E44" s="416" cm="1">
        <f t="array" ref="E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57</v>
      </c>
      <c r="F44" s="416" cm="1">
        <f t="array" ref="F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v>
      </c>
      <c r="G44" s="416" cm="1">
        <f t="array" ref="G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5137563.9850746244</v>
      </c>
      <c r="H44" s="416" cm="1">
        <f t="array" ref="H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1622388.6268656738</v>
      </c>
      <c r="I44" s="416">
        <f>IFERROR(Table_Main[[#This Row],[Giá trị tồn đầu ngày]]/Table_Main[[#This Row],[Tồn kho đầu ngày]],0)</f>
        <v>90132.701492537264</v>
      </c>
      <c r="J44" s="416">
        <f>IFERROR(Table_Main[[#This Row],[Giá trị tồn cuối ngày]]/Table_Main[[#This Row],[Tồn kho cuối ngày]],0)</f>
        <v>90132.701492537439</v>
      </c>
      <c r="K44" s="411">
        <v>45761</v>
      </c>
      <c r="L44" s="47">
        <f xml:space="preserve">
IFERROR(
IFERROR(
VLOOKUP(Table_Main[[#This Row],[Đơn Mua]],Table_DonMua[[Mã Đơn mua]:[Add]],COUNTA(Table_DonMua[[#Headers],[Mã Đơn mua]:[Ngày lập]]),0),
VLOOKUP(Table_Main[[#This Row],[Đơn bán]],Table_DonBan[[Mã Đơn bán]:[Add]], COUNTA(Table_DonBan[[#Headers],[Mã Đơn bán]:[Ngày lập]]),0)),0)</f>
        <v>45761</v>
      </c>
      <c r="M44" s="29">
        <f>IFERROR(MONTH(Table_Main[[#This Row],[Ngày lên đơn]]),0)</f>
        <v>4</v>
      </c>
      <c r="N44" s="51">
        <f>IF(Table_Main[[#This Row],[Ngày lên đơn]]=0,"",Table_Main[[#This Row],[Ngày xuất nhập]]-Table_Main[[#This Row],[Ngày lên đơn]])</f>
        <v>0</v>
      </c>
      <c r="O44" s="230" t="s">
        <v>53</v>
      </c>
      <c r="P44" s="230" t="s">
        <v>1155</v>
      </c>
      <c r="Q44" s="404">
        <v>39</v>
      </c>
      <c r="R44" s="516"/>
      <c r="S44" s="530">
        <f>IFERROR(VLOOKUP(Table_Main[[#This Row],[Đơn Mua]],Table_DonMua[[Mã Đơn mua]:[Add]],COUNTA(Table_DonMua[[#Headers],[Mã Đơn mua]:[Mã Đối tác]]),0),0)</f>
        <v>0</v>
      </c>
      <c r="T44" s="405"/>
      <c r="U44" s="48">
        <f xml:space="preserve">
IF(NOT(ISBLANK(Table_Main[[#This Row],[Đơn Mua]])),Table_Main[[#This Row],[Số lượng]]*Table_Main[[#This Row],[Giá nhập]],Table_Main[[#This Row],[Số lượng]]*Table_Main[[#This Row],[Giá trị bình quân đầu ngày]])</f>
        <v>3515175.3582089534</v>
      </c>
      <c r="V4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4" s="48">
        <f>IF(Table_Main[[#This Row],[Đơn Mua]]="", 0,IFERROR(Table_Main[[#This Row],[Tỷ suất VAT khấu trừ]]*(Table_Main[[#This Row],[Giá trị hàng nhập]]/(1+Table_Main[[#This Row],[Tỷ suất VAT khấu trừ]])),0))</f>
        <v>0</v>
      </c>
      <c r="X44" s="516" t="s">
        <v>1208</v>
      </c>
      <c r="Y44" s="28" t="str">
        <f>IFERROR(VLOOKUP(Table_Main[[#This Row],[Đơn bán]],Table_DonBan[[Mã Đơn bán]:[Add]],COUNTA(Table_DonBan[[#Headers],[Mã Đơn bán]:[Mã Khách]]),0),0)</f>
        <v>KH2</v>
      </c>
      <c r="Z44" s="48">
        <f>IF(ISBLANK(Table_Main[[#This Row],[Đơn bán]]),0,
VLOOKUP(Table_Main[[#This Row],[Mã SKU]],Table_SKU[[Mã SKU]:[Giá bán]],COUNTA(Table_SKU[[#Headers],[Mã SKU]:[Giá bán]]),0))</f>
        <v>100000</v>
      </c>
      <c r="AA44" s="48">
        <f>IF(ISBLANK(Table_Main[[#This Row],[Đơn bán]]),0,
IF(Table_Main[[#This Row],[Loại]] = "Xuất",Table_Main[[#This Row],[Giá bán niêm yết]]*Table_Main[[#This Row],[Số lượng]],-Table_Main[[#This Row],[Giá bán niêm yết]]*Table_Main[[#This Row],[Số lượng]]))</f>
        <v>3900000</v>
      </c>
      <c r="AB44" s="230"/>
      <c r="AC4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44" s="66">
        <f>IFERROR(
VLOOKUP(Table_Main[[#This Row],[Mã SKU]],Table_SKU[[Mã SKU]:[Tỷ suất VAT]],COUNTA(Table_SKU[[#Headers],[Mã SKU]:[Tỷ suất VAT]]),0),0)</f>
        <v>0</v>
      </c>
      <c r="AG44" s="48">
        <f xml:space="preserve">
IF(Table_Main[[#This Row],[Đơn bán]]="", 0,Table_Main[[#This Row],[Tỷ suất VAT]]*Table_Main[[#This Row],[Giá trị bán trước VAT]])</f>
        <v>0</v>
      </c>
      <c r="AH44" s="51">
        <f>IFERROR(VLOOKUP(Table_Main[[#This Row],[Đơn bán]],Table_DonBan[[Mã Đơn bán]:[Add]],COUNTA(Table_DonBan[[#Headers],[Mã Đơn bán]:[Mã NV]]),0),0)</f>
        <v>0</v>
      </c>
      <c r="AI4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4" s="48">
        <f>IFERROR(Table_Main[[#This Row],[Giá trị bán trước VAT]]*Table_Main[[#This Row],[Tỷ lệ hoa hồng]],"")</f>
        <v>0</v>
      </c>
      <c r="AK44" s="48">
        <f>IFERROR(VLOOKUP(Table_Main[[#This Row],[Đơn bán]],Table_DonBan[[Mã Đơn bán]:[Add]],COUNTA(Table_DonBan[[#Headers],[Mã Đơn bán]:[Kênh]]),0),0)</f>
        <v>0</v>
      </c>
      <c r="AL4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4" s="48">
        <f>IFERROR(Table_Main[[#This Row],[Giá trị bán trước VAT]]*Table_Main[[#This Row],[Tỷ lệ CK kênh]],"")</f>
        <v>0</v>
      </c>
      <c r="AN44" s="230"/>
      <c r="AO44" s="232"/>
      <c r="AP44" s="226">
        <f>Table_Main[[#This Row],[ĐK - Phân loại]]*Table_Main[[#This Row],[ĐK - Thời gian]]*Table_Main[[#This Row],[ĐK - Giá trị]]*Table_Main[[#This Row],[ĐK - Số lượng]]*Table_Main[[#This Row],[ĐK - Sinh nhật]]*Table_Main[[#This Row],[ĐK - Ngày mua cuối]]</f>
        <v>1</v>
      </c>
      <c r="AQ44" s="226">
        <f xml:space="preserve">
IF(ISBLANK(Table_Main[[#This Row],[Chương trình]]),1,
IF(VLOOKUP(Table_Main[[#This Row],[Chương trình]],Table_ChuongTrinh[[Mã Chương trình]:[Đối tượng CK]],Sheet_ChuongTrinh!$C$1,0) = "Sản phẩm",1,0))</f>
        <v>1</v>
      </c>
      <c r="AR4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5" spans="2:48" ht="18" customHeight="1" x14ac:dyDescent="0.3">
      <c r="B45" s="523"/>
      <c r="C45" s="238" t="s">
        <v>1152</v>
      </c>
      <c r="D45" s="531" t="str">
        <f>IF(ISBLANK(Table_Main[[#This Row],[Mã SKU]]),Table_Main[[#This Row],[Mã Nguyên liệu]],Table_Main[[#This Row],[Mã SKU]])</f>
        <v>NL2</v>
      </c>
      <c r="E45" s="416" cm="1">
        <f t="array" ref="E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73</v>
      </c>
      <c r="F45" s="416" cm="1">
        <f t="array" ref="F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38</v>
      </c>
      <c r="G45" s="416" cm="1">
        <f t="array" ref="G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10223472.260869566</v>
      </c>
      <c r="H45" s="416" cm="1">
        <f t="array" ref="H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5321807.4782608673</v>
      </c>
      <c r="I45" s="416">
        <f>IFERROR(Table_Main[[#This Row],[Giá trị tồn đầu ngày]]/Table_Main[[#This Row],[Tồn kho đầu ngày]],0)</f>
        <v>140047.56521739133</v>
      </c>
      <c r="J45" s="416">
        <f>IFERROR(Table_Main[[#This Row],[Giá trị tồn cuối ngày]]/Table_Main[[#This Row],[Tồn kho cuối ngày]],0)</f>
        <v>140047.56521739124</v>
      </c>
      <c r="K45" s="411">
        <v>45761</v>
      </c>
      <c r="L4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5" s="29">
        <f>IFERROR(MONTH(Table_Main[[#This Row],[Ngày lên đơn]]),0)</f>
        <v>1</v>
      </c>
      <c r="N45" s="51" t="str">
        <f>IF(Table_Main[[#This Row],[Ngày lên đơn]]=0,"",Table_Main[[#This Row],[Ngày xuất nhập]]-Table_Main[[#This Row],[Ngày lên đơn]])</f>
        <v/>
      </c>
      <c r="O45" s="230" t="s">
        <v>53</v>
      </c>
      <c r="P45" s="230" t="s">
        <v>1155</v>
      </c>
      <c r="Q45" s="404">
        <v>35</v>
      </c>
      <c r="R45" s="516"/>
      <c r="S45" s="530">
        <f>IFERROR(VLOOKUP(Table_Main[[#This Row],[Đơn Mua]],Table_DonMua[[Mã Đơn mua]:[Add]],COUNTA(Table_DonMua[[#Headers],[Mã Đơn mua]:[Mã Đối tác]]),0),0)</f>
        <v>0</v>
      </c>
      <c r="T45" s="405"/>
      <c r="U45" s="48">
        <f xml:space="preserve">
IF(NOT(ISBLANK(Table_Main[[#This Row],[Đơn Mua]])),Table_Main[[#This Row],[Số lượng]]*Table_Main[[#This Row],[Giá nhập]],Table_Main[[#This Row],[Số lượng]]*Table_Main[[#This Row],[Giá trị bình quân đầu ngày]])</f>
        <v>4901664.7826086963</v>
      </c>
      <c r="V4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5" s="48">
        <f>IF(Table_Main[[#This Row],[Đơn Mua]]="", 0,IFERROR(Table_Main[[#This Row],[Tỷ suất VAT khấu trừ]]*(Table_Main[[#This Row],[Giá trị hàng nhập]]/(1+Table_Main[[#This Row],[Tỷ suất VAT khấu trừ]])),0))</f>
        <v>0</v>
      </c>
      <c r="X45" s="516"/>
      <c r="Y45" s="28">
        <f>IFERROR(VLOOKUP(Table_Main[[#This Row],[Đơn bán]],Table_DonBan[[Mã Đơn bán]:[Add]],COUNTA(Table_DonBan[[#Headers],[Mã Đơn bán]:[Mã Khách]]),0),0)</f>
        <v>0</v>
      </c>
      <c r="Z45" s="48">
        <f>IF(ISBLANK(Table_Main[[#This Row],[Đơn bán]]),0,
VLOOKUP(Table_Main[[#This Row],[Mã SKU]],Table_SKU[[Mã SKU]:[Giá bán]],COUNTA(Table_SKU[[#Headers],[Mã SKU]:[Giá bán]]),0))</f>
        <v>0</v>
      </c>
      <c r="AA45" s="48">
        <f>IF(ISBLANK(Table_Main[[#This Row],[Đơn bán]]),0,
IF(Table_Main[[#This Row],[Loại]] = "Xuất",Table_Main[[#This Row],[Giá bán niêm yết]]*Table_Main[[#This Row],[Số lượng]],-Table_Main[[#This Row],[Giá bán niêm yết]]*Table_Main[[#This Row],[Số lượng]]))</f>
        <v>0</v>
      </c>
      <c r="AB45" s="230"/>
      <c r="AC4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5" s="66">
        <f>IFERROR(
VLOOKUP(Table_Main[[#This Row],[Mã SKU]],Table_SKU[[Mã SKU]:[Tỷ suất VAT]],COUNTA(Table_SKU[[#Headers],[Mã SKU]:[Tỷ suất VAT]]),0),0)</f>
        <v>0</v>
      </c>
      <c r="AG45" s="48">
        <f xml:space="preserve">
IF(Table_Main[[#This Row],[Đơn bán]]="", 0,Table_Main[[#This Row],[Tỷ suất VAT]]*Table_Main[[#This Row],[Giá trị bán trước VAT]])</f>
        <v>0</v>
      </c>
      <c r="AH45" s="51">
        <f>IFERROR(VLOOKUP(Table_Main[[#This Row],[Đơn bán]],Table_DonBan[[Mã Đơn bán]:[Add]],COUNTA(Table_DonBan[[#Headers],[Mã Đơn bán]:[Mã NV]]),0),0)</f>
        <v>0</v>
      </c>
      <c r="AI4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5" s="48">
        <f>IFERROR(Table_Main[[#This Row],[Giá trị bán trước VAT]]*Table_Main[[#This Row],[Tỷ lệ hoa hồng]],"")</f>
        <v>0</v>
      </c>
      <c r="AK45" s="48">
        <f>IFERROR(VLOOKUP(Table_Main[[#This Row],[Đơn bán]],Table_DonBan[[Mã Đơn bán]:[Add]],COUNTA(Table_DonBan[[#Headers],[Mã Đơn bán]:[Kênh]]),0),0)</f>
        <v>0</v>
      </c>
      <c r="AL4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5" s="48">
        <f>IFERROR(Table_Main[[#This Row],[Giá trị bán trước VAT]]*Table_Main[[#This Row],[Tỷ lệ CK kênh]],"")</f>
        <v>0</v>
      </c>
      <c r="AN45" s="230"/>
      <c r="AO45" s="232"/>
      <c r="AP45" s="226">
        <f>Table_Main[[#This Row],[ĐK - Phân loại]]*Table_Main[[#This Row],[ĐK - Thời gian]]*Table_Main[[#This Row],[ĐK - Giá trị]]*Table_Main[[#This Row],[ĐK - Số lượng]]*Table_Main[[#This Row],[ĐK - Sinh nhật]]*Table_Main[[#This Row],[ĐK - Ngày mua cuối]]</f>
        <v>1</v>
      </c>
      <c r="AQ45" s="226">
        <f xml:space="preserve">
IF(ISBLANK(Table_Main[[#This Row],[Chương trình]]),1,
IF(VLOOKUP(Table_Main[[#This Row],[Chương trình]],Table_ChuongTrinh[[Mã Chương trình]:[Đối tượng CK]],Sheet_ChuongTrinh!$C$1,0) = "Sản phẩm",1,0))</f>
        <v>1</v>
      </c>
      <c r="AR4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6" spans="2:48" ht="18" customHeight="1" x14ac:dyDescent="0.15">
      <c r="B46" s="516" t="s">
        <v>1151</v>
      </c>
      <c r="C46" s="516"/>
      <c r="D46" s="530" t="str">
        <f>IF(ISBLANK(Table_Main[[#This Row],[Mã SKU]]),Table_Main[[#This Row],[Mã Nguyên liệu]],Table_Main[[#This Row],[Mã SKU]])</f>
        <v>TP2</v>
      </c>
      <c r="E46" s="416" cm="1">
        <f t="array" ref="E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46" s="416" cm="1">
        <f t="array" ref="F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46" s="416" cm="1">
        <f t="array" ref="G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6" s="416" cm="1">
        <f t="array" ref="H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6" s="416">
        <f>IFERROR(Table_Main[[#This Row],[Giá trị tồn đầu ngày]]/Table_Main[[#This Row],[Tồn kho đầu ngày]],0)</f>
        <v>0</v>
      </c>
      <c r="J46" s="416">
        <f>IFERROR(Table_Main[[#This Row],[Giá trị tồn cuối ngày]]/Table_Main[[#This Row],[Tồn kho cuối ngày]],0)</f>
        <v>0</v>
      </c>
      <c r="K46" s="411">
        <v>45759</v>
      </c>
      <c r="L4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6" s="29">
        <f>IFERROR(MONTH(Table_Main[[#This Row],[Ngày lên đơn]]),0)</f>
        <v>1</v>
      </c>
      <c r="N46" s="544" t="str">
        <f>IF(Table_Main[[#This Row],[Ngày lên đơn]]=0,"",Table_Main[[#This Row],[Ngày xuất nhập]]-Table_Main[[#This Row],[Ngày lên đơn]])</f>
        <v/>
      </c>
      <c r="O46" s="7" t="s">
        <v>1154</v>
      </c>
      <c r="P46" s="230" t="s">
        <v>1155</v>
      </c>
      <c r="Q46" s="404">
        <v>45</v>
      </c>
      <c r="R46" s="516"/>
      <c r="S46" s="530">
        <f>IFERROR(VLOOKUP(Table_Main[[#This Row],[Đơn Mua]],Table_DonMua[[Mã Đơn mua]:[Add]],COUNTA(Table_DonMua[[#Headers],[Mã Đơn mua]:[Mã Đối tác]]),0),0)</f>
        <v>0</v>
      </c>
      <c r="T46" s="405"/>
      <c r="U46" s="48">
        <f xml:space="preserve">
IF(NOT(ISBLANK(Table_Main[[#This Row],[Đơn Mua]])),Table_Main[[#This Row],[Số lượng]]*Table_Main[[#This Row],[Giá nhập]],Table_Main[[#This Row],[Số lượng]]*Table_Main[[#This Row],[Giá trị bình quân đầu ngày]])</f>
        <v>0</v>
      </c>
      <c r="V4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6" s="48">
        <f>IF(Table_Main[[#This Row],[Đơn Mua]]="", 0,IFERROR(Table_Main[[#This Row],[Tỷ suất VAT khấu trừ]]*(Table_Main[[#This Row],[Giá trị hàng nhập]]/(1+Table_Main[[#This Row],[Tỷ suất VAT khấu trừ]])),0))</f>
        <v>0</v>
      </c>
      <c r="X46" s="516"/>
      <c r="Y46" s="28">
        <f>IFERROR(VLOOKUP(Table_Main[[#This Row],[Đơn bán]],Table_DonBan[[Mã Đơn bán]:[Add]],COUNTA(Table_DonBan[[#Headers],[Mã Đơn bán]:[Mã Khách]]),0),0)</f>
        <v>0</v>
      </c>
      <c r="Z46" s="48">
        <f>IF(ISBLANK(Table_Main[[#This Row],[Đơn bán]]),0,
VLOOKUP(Table_Main[[#This Row],[Mã SKU]],Table_SKU[[Mã SKU]:[Giá bán]],COUNTA(Table_SKU[[#Headers],[Mã SKU]:[Giá bán]]),0))</f>
        <v>0</v>
      </c>
      <c r="AA46" s="48">
        <f>IF(ISBLANK(Table_Main[[#This Row],[Đơn bán]]),0,
IF(Table_Main[[#This Row],[Loại]] = "Xuất",Table_Main[[#This Row],[Giá bán niêm yết]]*Table_Main[[#This Row],[Số lượng]],-Table_Main[[#This Row],[Giá bán niêm yết]]*Table_Main[[#This Row],[Số lượng]]))</f>
        <v>0</v>
      </c>
      <c r="AB46" s="230"/>
      <c r="AC4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6" s="66">
        <f>IFERROR(
VLOOKUP(Table_Main[[#This Row],[Mã SKU]],Table_SKU[[Mã SKU]:[Tỷ suất VAT]],COUNTA(Table_SKU[[#Headers],[Mã SKU]:[Tỷ suất VAT]]),0),0)</f>
        <v>0</v>
      </c>
      <c r="AG46" s="48">
        <f xml:space="preserve">
IF(Table_Main[[#This Row],[Đơn bán]]="", 0,Table_Main[[#This Row],[Tỷ suất VAT]]*Table_Main[[#This Row],[Giá trị bán trước VAT]])</f>
        <v>0</v>
      </c>
      <c r="AH46" s="51">
        <f>IFERROR(VLOOKUP(Table_Main[[#This Row],[Đơn bán]],Table_DonBan[[Mã Đơn bán]:[Add]],COUNTA(Table_DonBan[[#Headers],[Mã Đơn bán]:[Mã NV]]),0),0)</f>
        <v>0</v>
      </c>
      <c r="AI4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6" s="48">
        <f>IFERROR(Table_Main[[#This Row],[Giá trị bán trước VAT]]*Table_Main[[#This Row],[Tỷ lệ hoa hồng]],"")</f>
        <v>0</v>
      </c>
      <c r="AK46" s="48">
        <f>IFERROR(VLOOKUP(Table_Main[[#This Row],[Đơn bán]],Table_DonBan[[Mã Đơn bán]:[Add]],COUNTA(Table_DonBan[[#Headers],[Mã Đơn bán]:[Kênh]]),0),0)</f>
        <v>0</v>
      </c>
      <c r="AL4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6" s="48">
        <f>IFERROR(Table_Main[[#This Row],[Giá trị bán trước VAT]]*Table_Main[[#This Row],[Tỷ lệ CK kênh]],"")</f>
        <v>0</v>
      </c>
      <c r="AN46" s="230"/>
      <c r="AO46" s="232"/>
      <c r="AP46" s="226">
        <f>Table_Main[[#This Row],[ĐK - Phân loại]]*Table_Main[[#This Row],[ĐK - Thời gian]]*Table_Main[[#This Row],[ĐK - Giá trị]]*Table_Main[[#This Row],[ĐK - Số lượng]]*Table_Main[[#This Row],[ĐK - Sinh nhật]]*Table_Main[[#This Row],[ĐK - Ngày mua cuối]]</f>
        <v>1</v>
      </c>
      <c r="AQ46" s="226">
        <f xml:space="preserve">
IF(ISBLANK(Table_Main[[#This Row],[Chương trình]]),1,
IF(VLOOKUP(Table_Main[[#This Row],[Chương trình]],Table_ChuongTrinh[[Mã Chương trình]:[Đối tượng CK]],Sheet_ChuongTrinh!$C$1,0) = "Sản phẩm",1,0))</f>
        <v>1</v>
      </c>
      <c r="AR4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7" spans="2:48" ht="18" customHeight="1" x14ac:dyDescent="0.3">
      <c r="B47" s="516" t="s">
        <v>1149</v>
      </c>
      <c r="C47" s="516"/>
      <c r="D47" s="530" t="str">
        <f>IF(ISBLANK(Table_Main[[#This Row],[Mã SKU]]),Table_Main[[#This Row],[Mã Nguyên liệu]],Table_Main[[#This Row],[Mã SKU]])</f>
        <v>HH1</v>
      </c>
      <c r="E47" s="416" cm="1">
        <f t="array" ref="E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84</v>
      </c>
      <c r="F47" s="416" cm="1">
        <f t="array" ref="F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57</v>
      </c>
      <c r="G47" s="416" cm="1">
        <f t="array" ref="G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7571146.9253731333</v>
      </c>
      <c r="H47" s="416" cm="1">
        <f t="array" ref="H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5137563.9850746244</v>
      </c>
      <c r="I47" s="416">
        <f>IFERROR(Table_Main[[#This Row],[Giá trị tồn đầu ngày]]/Table_Main[[#This Row],[Tồn kho đầu ngày]],0)</f>
        <v>90132.701492537308</v>
      </c>
      <c r="J47" s="416">
        <f>IFERROR(Table_Main[[#This Row],[Giá trị tồn cuối ngày]]/Table_Main[[#This Row],[Tồn kho cuối ngày]],0)</f>
        <v>90132.701492537264</v>
      </c>
      <c r="K47" s="411">
        <v>45758</v>
      </c>
      <c r="L47" s="47">
        <f xml:space="preserve">
IFERROR(
IFERROR(
VLOOKUP(Table_Main[[#This Row],[Đơn Mua]],Table_DonMua[[Mã Đơn mua]:[Add]],COUNTA(Table_DonMua[[#Headers],[Mã Đơn mua]:[Ngày lập]]),0),
VLOOKUP(Table_Main[[#This Row],[Đơn bán]],Table_DonBan[[Mã Đơn bán]:[Add]], COUNTA(Table_DonBan[[#Headers],[Mã Đơn bán]:[Ngày lập]]),0)),0)</f>
        <v>45758</v>
      </c>
      <c r="M47" s="29">
        <f>IFERROR(MONTH(Table_Main[[#This Row],[Ngày lên đơn]]),0)</f>
        <v>4</v>
      </c>
      <c r="N47" s="51">
        <f>IF(Table_Main[[#This Row],[Ngày lên đơn]]=0,"",Table_Main[[#This Row],[Ngày xuất nhập]]-Table_Main[[#This Row],[Ngày lên đơn]])</f>
        <v>0</v>
      </c>
      <c r="O47" s="230" t="s">
        <v>53</v>
      </c>
      <c r="P47" s="230" t="s">
        <v>1155</v>
      </c>
      <c r="Q47" s="404">
        <v>27</v>
      </c>
      <c r="R47" s="516"/>
      <c r="S47" s="530">
        <f>IFERROR(VLOOKUP(Table_Main[[#This Row],[Đơn Mua]],Table_DonMua[[Mã Đơn mua]:[Add]],COUNTA(Table_DonMua[[#Headers],[Mã Đơn mua]:[Mã Đối tác]]),0),0)</f>
        <v>0</v>
      </c>
      <c r="T47" s="405"/>
      <c r="U47" s="48">
        <f xml:space="preserve">
IF(NOT(ISBLANK(Table_Main[[#This Row],[Đơn Mua]])),Table_Main[[#This Row],[Số lượng]]*Table_Main[[#This Row],[Giá nhập]],Table_Main[[#This Row],[Số lượng]]*Table_Main[[#This Row],[Giá trị bình quân đầu ngày]])</f>
        <v>2433582.9402985075</v>
      </c>
      <c r="V4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7" s="48">
        <f>IF(Table_Main[[#This Row],[Đơn Mua]]="", 0,IFERROR(Table_Main[[#This Row],[Tỷ suất VAT khấu trừ]]*(Table_Main[[#This Row],[Giá trị hàng nhập]]/(1+Table_Main[[#This Row],[Tỷ suất VAT khấu trừ]])),0))</f>
        <v>0</v>
      </c>
      <c r="X47" s="516" t="s">
        <v>1207</v>
      </c>
      <c r="Y47" s="28" t="str">
        <f>IFERROR(VLOOKUP(Table_Main[[#This Row],[Đơn bán]],Table_DonBan[[Mã Đơn bán]:[Add]],COUNTA(Table_DonBan[[#Headers],[Mã Đơn bán]:[Mã Khách]]),0),0)</f>
        <v>KH1</v>
      </c>
      <c r="Z47" s="48">
        <f>IF(ISBLANK(Table_Main[[#This Row],[Đơn bán]]),0,
VLOOKUP(Table_Main[[#This Row],[Mã SKU]],Table_SKU[[Mã SKU]:[Giá bán]],COUNTA(Table_SKU[[#Headers],[Mã SKU]:[Giá bán]]),0))</f>
        <v>100000</v>
      </c>
      <c r="AA47" s="48">
        <f>IF(ISBLANK(Table_Main[[#This Row],[Đơn bán]]),0,
IF(Table_Main[[#This Row],[Loại]] = "Xuất",Table_Main[[#This Row],[Giá bán niêm yết]]*Table_Main[[#This Row],[Số lượng]],-Table_Main[[#This Row],[Giá bán niêm yết]]*Table_Main[[#This Row],[Số lượng]]))</f>
        <v>2700000</v>
      </c>
      <c r="AB47" s="230"/>
      <c r="AC4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2700000</v>
      </c>
      <c r="AF47" s="66">
        <f>IFERROR(
VLOOKUP(Table_Main[[#This Row],[Mã SKU]],Table_SKU[[Mã SKU]:[Tỷ suất VAT]],COUNTA(Table_SKU[[#Headers],[Mã SKU]:[Tỷ suất VAT]]),0),0)</f>
        <v>0</v>
      </c>
      <c r="AG47" s="48">
        <f xml:space="preserve">
IF(Table_Main[[#This Row],[Đơn bán]]="", 0,Table_Main[[#This Row],[Tỷ suất VAT]]*Table_Main[[#This Row],[Giá trị bán trước VAT]])</f>
        <v>0</v>
      </c>
      <c r="AH47" s="51">
        <f>IFERROR(VLOOKUP(Table_Main[[#This Row],[Đơn bán]],Table_DonBan[[Mã Đơn bán]:[Add]],COUNTA(Table_DonBan[[#Headers],[Mã Đơn bán]:[Mã NV]]),0),0)</f>
        <v>0</v>
      </c>
      <c r="AI4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7" s="48">
        <f>IFERROR(Table_Main[[#This Row],[Giá trị bán trước VAT]]*Table_Main[[#This Row],[Tỷ lệ hoa hồng]],"")</f>
        <v>0</v>
      </c>
      <c r="AK47" s="48">
        <f>IFERROR(VLOOKUP(Table_Main[[#This Row],[Đơn bán]],Table_DonBan[[Mã Đơn bán]:[Add]],COUNTA(Table_DonBan[[#Headers],[Mã Đơn bán]:[Kênh]]),0),0)</f>
        <v>0</v>
      </c>
      <c r="AL4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7" s="48">
        <f>IFERROR(Table_Main[[#This Row],[Giá trị bán trước VAT]]*Table_Main[[#This Row],[Tỷ lệ CK kênh]],"")</f>
        <v>0</v>
      </c>
      <c r="AN47" s="230"/>
      <c r="AO47" s="232"/>
      <c r="AP47" s="226">
        <f>Table_Main[[#This Row],[ĐK - Phân loại]]*Table_Main[[#This Row],[ĐK - Thời gian]]*Table_Main[[#This Row],[ĐK - Giá trị]]*Table_Main[[#This Row],[ĐK - Số lượng]]*Table_Main[[#This Row],[ĐK - Sinh nhật]]*Table_Main[[#This Row],[ĐK - Ngày mua cuối]]</f>
        <v>1</v>
      </c>
      <c r="AQ47" s="226">
        <f xml:space="preserve">
IF(ISBLANK(Table_Main[[#This Row],[Chương trình]]),1,
IF(VLOOKUP(Table_Main[[#This Row],[Chương trình]],Table_ChuongTrinh[[Mã Chương trình]:[Đối tượng CK]],Sheet_ChuongTrinh!$C$1,0) = "Sản phẩm",1,0))</f>
        <v>1</v>
      </c>
      <c r="AR4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8" spans="2:48" ht="18" customHeight="1" x14ac:dyDescent="0.3">
      <c r="B48" s="516" t="s">
        <v>1150</v>
      </c>
      <c r="C48" s="516"/>
      <c r="D48" s="530" t="str">
        <f>IF(ISBLANK(Table_Main[[#This Row],[Mã SKU]]),Table_Main[[#This Row],[Mã Nguyên liệu]],Table_Main[[#This Row],[Mã SKU]])</f>
        <v>TP1</v>
      </c>
      <c r="E48" s="416" cm="1">
        <f t="array" ref="E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8" s="416" cm="1">
        <f t="array" ref="F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8" s="416" cm="1">
        <f t="array" ref="G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8" s="416" cm="1">
        <f t="array" ref="H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8" s="416">
        <f>IFERROR(Table_Main[[#This Row],[Giá trị tồn đầu ngày]]/Table_Main[[#This Row],[Tồn kho đầu ngày]],0)</f>
        <v>0</v>
      </c>
      <c r="J48" s="416">
        <f>IFERROR(Table_Main[[#This Row],[Giá trị tồn cuối ngày]]/Table_Main[[#This Row],[Tồn kho cuối ngày]],0)</f>
        <v>0</v>
      </c>
      <c r="K48" s="411">
        <v>45756</v>
      </c>
      <c r="L48" s="47">
        <f xml:space="preserve">
IFERROR(
IFERROR(
VLOOKUP(Table_Main[[#This Row],[Đơn Mua]],Table_DonMua[[Mã Đơn mua]:[Add]],COUNTA(Table_DonMua[[#Headers],[Mã Đơn mua]:[Ngày lập]]),0),
VLOOKUP(Table_Main[[#This Row],[Đơn bán]],Table_DonBan[[Mã Đơn bán]:[Add]], COUNTA(Table_DonBan[[#Headers],[Mã Đơn bán]:[Ngày lập]]),0)),0)</f>
        <v>45756</v>
      </c>
      <c r="M48" s="29">
        <f>IFERROR(MONTH(Table_Main[[#This Row],[Ngày lên đơn]]),0)</f>
        <v>4</v>
      </c>
      <c r="N48" s="51">
        <f>IF(Table_Main[[#This Row],[Ngày lên đơn]]=0,"",Table_Main[[#This Row],[Ngày xuất nhập]]-Table_Main[[#This Row],[Ngày lên đơn]])</f>
        <v>0</v>
      </c>
      <c r="O48" s="230" t="s">
        <v>53</v>
      </c>
      <c r="P48" s="230" t="s">
        <v>1155</v>
      </c>
      <c r="Q48" s="404">
        <v>14</v>
      </c>
      <c r="R48" s="516"/>
      <c r="S48" s="530">
        <f>IFERROR(VLOOKUP(Table_Main[[#This Row],[Đơn Mua]],Table_DonMua[[Mã Đơn mua]:[Add]],COUNTA(Table_DonMua[[#Headers],[Mã Đơn mua]:[Mã Đối tác]]),0),0)</f>
        <v>0</v>
      </c>
      <c r="T48" s="405"/>
      <c r="U48" s="48">
        <f xml:space="preserve">
IF(NOT(ISBLANK(Table_Main[[#This Row],[Đơn Mua]])),Table_Main[[#This Row],[Số lượng]]*Table_Main[[#This Row],[Giá nhập]],Table_Main[[#This Row],[Số lượng]]*Table_Main[[#This Row],[Giá trị bình quân đầu ngày]])</f>
        <v>0</v>
      </c>
      <c r="V4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8" s="48">
        <f>IF(Table_Main[[#This Row],[Đơn Mua]]="", 0,IFERROR(Table_Main[[#This Row],[Tỷ suất VAT khấu trừ]]*(Table_Main[[#This Row],[Giá trị hàng nhập]]/(1+Table_Main[[#This Row],[Tỷ suất VAT khấu trừ]])),0))</f>
        <v>0</v>
      </c>
      <c r="X48" s="516" t="s">
        <v>1206</v>
      </c>
      <c r="Y48" s="28" t="str">
        <f>IFERROR(VLOOKUP(Table_Main[[#This Row],[Đơn bán]],Table_DonBan[[Mã Đơn bán]:[Add]],COUNTA(Table_DonBan[[#Headers],[Mã Đơn bán]:[Mã Khách]]),0),0)</f>
        <v>KH3</v>
      </c>
      <c r="Z48" s="48">
        <f>IF(ISBLANK(Table_Main[[#This Row],[Đơn bán]]),0,
VLOOKUP(Table_Main[[#This Row],[Mã SKU]],Table_SKU[[Mã SKU]:[Giá bán]],COUNTA(Table_SKU[[#Headers],[Mã SKU]:[Giá bán]]),0))</f>
        <v>300000</v>
      </c>
      <c r="AA48" s="48">
        <f>IF(ISBLANK(Table_Main[[#This Row],[Đơn bán]]),0,
IF(Table_Main[[#This Row],[Loại]] = "Xuất",Table_Main[[#This Row],[Giá bán niêm yết]]*Table_Main[[#This Row],[Số lượng]],-Table_Main[[#This Row],[Giá bán niêm yết]]*Table_Main[[#This Row],[Số lượng]]))</f>
        <v>4200000</v>
      </c>
      <c r="AB48" s="230"/>
      <c r="AC4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48" s="66">
        <f>IFERROR(
VLOOKUP(Table_Main[[#This Row],[Mã SKU]],Table_SKU[[Mã SKU]:[Tỷ suất VAT]],COUNTA(Table_SKU[[#Headers],[Mã SKU]:[Tỷ suất VAT]]),0),0)</f>
        <v>0</v>
      </c>
      <c r="AG48" s="48">
        <f xml:space="preserve">
IF(Table_Main[[#This Row],[Đơn bán]]="", 0,Table_Main[[#This Row],[Tỷ suất VAT]]*Table_Main[[#This Row],[Giá trị bán trước VAT]])</f>
        <v>0</v>
      </c>
      <c r="AH48" s="51">
        <f>IFERROR(VLOOKUP(Table_Main[[#This Row],[Đơn bán]],Table_DonBan[[Mã Đơn bán]:[Add]],COUNTA(Table_DonBan[[#Headers],[Mã Đơn bán]:[Mã NV]]),0),0)</f>
        <v>0</v>
      </c>
      <c r="AI4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8" s="48">
        <f>IFERROR(Table_Main[[#This Row],[Giá trị bán trước VAT]]*Table_Main[[#This Row],[Tỷ lệ hoa hồng]],"")</f>
        <v>0</v>
      </c>
      <c r="AK48" s="48">
        <f>IFERROR(VLOOKUP(Table_Main[[#This Row],[Đơn bán]],Table_DonBan[[Mã Đơn bán]:[Add]],COUNTA(Table_DonBan[[#Headers],[Mã Đơn bán]:[Kênh]]),0),0)</f>
        <v>0</v>
      </c>
      <c r="AL4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8" s="48">
        <f>IFERROR(Table_Main[[#This Row],[Giá trị bán trước VAT]]*Table_Main[[#This Row],[Tỷ lệ CK kênh]],"")</f>
        <v>0</v>
      </c>
      <c r="AN48" s="230"/>
      <c r="AO48" s="232"/>
      <c r="AP48" s="226">
        <f>Table_Main[[#This Row],[ĐK - Phân loại]]*Table_Main[[#This Row],[ĐK - Thời gian]]*Table_Main[[#This Row],[ĐK - Giá trị]]*Table_Main[[#This Row],[ĐK - Số lượng]]*Table_Main[[#This Row],[ĐK - Sinh nhật]]*Table_Main[[#This Row],[ĐK - Ngày mua cuối]]</f>
        <v>1</v>
      </c>
      <c r="AQ48" s="226">
        <f xml:space="preserve">
IF(ISBLANK(Table_Main[[#This Row],[Chương trình]]),1,
IF(VLOOKUP(Table_Main[[#This Row],[Chương trình]],Table_ChuongTrinh[[Mã Chương trình]:[Đối tượng CK]],Sheet_ChuongTrinh!$C$1,0) = "Sản phẩm",1,0))</f>
        <v>1</v>
      </c>
      <c r="AR4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9" spans="2:48" ht="18" customHeight="1" x14ac:dyDescent="0.3">
      <c r="B49" s="516" t="s">
        <v>1150</v>
      </c>
      <c r="C49" s="516"/>
      <c r="D49" s="530" t="str">
        <f>IF(ISBLANK(Table_Main[[#This Row],[Mã SKU]]),Table_Main[[#This Row],[Mã Nguyên liệu]],Table_Main[[#This Row],[Mã SKU]])</f>
        <v>TP1</v>
      </c>
      <c r="E49" s="416" cm="1">
        <f t="array" ref="E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9" s="416" cm="1">
        <f t="array" ref="F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9" s="416" cm="1">
        <f t="array" ref="G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9" s="416" cm="1">
        <f t="array" ref="H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9" s="416">
        <f>IFERROR(Table_Main[[#This Row],[Giá trị tồn đầu ngày]]/Table_Main[[#This Row],[Tồn kho đầu ngày]],0)</f>
        <v>0</v>
      </c>
      <c r="J49" s="416">
        <f>IFERROR(Table_Main[[#This Row],[Giá trị tồn cuối ngày]]/Table_Main[[#This Row],[Tồn kho cuối ngày]],0)</f>
        <v>0</v>
      </c>
      <c r="K49" s="411">
        <v>45756</v>
      </c>
      <c r="L4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9" s="29">
        <f>IFERROR(MONTH(Table_Main[[#This Row],[Ngày lên đơn]]),0)</f>
        <v>1</v>
      </c>
      <c r="N49" s="51" t="str">
        <f>IF(Table_Main[[#This Row],[Ngày lên đơn]]=0,"",Table_Main[[#This Row],[Ngày xuất nhập]]-Table_Main[[#This Row],[Ngày lên đơn]])</f>
        <v/>
      </c>
      <c r="O49" s="230" t="s">
        <v>1154</v>
      </c>
      <c r="P49" s="230" t="s">
        <v>1155</v>
      </c>
      <c r="Q49" s="404">
        <v>28</v>
      </c>
      <c r="R49" s="516"/>
      <c r="S49" s="530">
        <f>IFERROR(VLOOKUP(Table_Main[[#This Row],[Đơn Mua]],Table_DonMua[[Mã Đơn mua]:[Add]],COUNTA(Table_DonMua[[#Headers],[Mã Đơn mua]:[Mã Đối tác]]),0),0)</f>
        <v>0</v>
      </c>
      <c r="T49" s="405"/>
      <c r="U49" s="48">
        <f xml:space="preserve">
IF(NOT(ISBLANK(Table_Main[[#This Row],[Đơn Mua]])),Table_Main[[#This Row],[Số lượng]]*Table_Main[[#This Row],[Giá nhập]],Table_Main[[#This Row],[Số lượng]]*Table_Main[[#This Row],[Giá trị bình quân đầu ngày]])</f>
        <v>0</v>
      </c>
      <c r="V4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9" s="48">
        <f>IF(Table_Main[[#This Row],[Đơn Mua]]="", 0,IFERROR(Table_Main[[#This Row],[Tỷ suất VAT khấu trừ]]*(Table_Main[[#This Row],[Giá trị hàng nhập]]/(1+Table_Main[[#This Row],[Tỷ suất VAT khấu trừ]])),0))</f>
        <v>0</v>
      </c>
      <c r="X49" s="516"/>
      <c r="Y49" s="28">
        <f>IFERROR(VLOOKUP(Table_Main[[#This Row],[Đơn bán]],Table_DonBan[[Mã Đơn bán]:[Add]],COUNTA(Table_DonBan[[#Headers],[Mã Đơn bán]:[Mã Khách]]),0),0)</f>
        <v>0</v>
      </c>
      <c r="Z49" s="48">
        <f>IF(ISBLANK(Table_Main[[#This Row],[Đơn bán]]),0,
VLOOKUP(Table_Main[[#This Row],[Mã SKU]],Table_SKU[[Mã SKU]:[Giá bán]],COUNTA(Table_SKU[[#Headers],[Mã SKU]:[Giá bán]]),0))</f>
        <v>0</v>
      </c>
      <c r="AA49" s="48">
        <f>IF(ISBLANK(Table_Main[[#This Row],[Đơn bán]]),0,
IF(Table_Main[[#This Row],[Loại]] = "Xuất",Table_Main[[#This Row],[Giá bán niêm yết]]*Table_Main[[#This Row],[Số lượng]],-Table_Main[[#This Row],[Giá bán niêm yết]]*Table_Main[[#This Row],[Số lượng]]))</f>
        <v>0</v>
      </c>
      <c r="AB49" s="230"/>
      <c r="AC4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9" s="66">
        <f>IFERROR(
VLOOKUP(Table_Main[[#This Row],[Mã SKU]],Table_SKU[[Mã SKU]:[Tỷ suất VAT]],COUNTA(Table_SKU[[#Headers],[Mã SKU]:[Tỷ suất VAT]]),0),0)</f>
        <v>0</v>
      </c>
      <c r="AG49" s="48">
        <f xml:space="preserve">
IF(Table_Main[[#This Row],[Đơn bán]]="", 0,Table_Main[[#This Row],[Tỷ suất VAT]]*Table_Main[[#This Row],[Giá trị bán trước VAT]])</f>
        <v>0</v>
      </c>
      <c r="AH49" s="51">
        <f>IFERROR(VLOOKUP(Table_Main[[#This Row],[Đơn bán]],Table_DonBan[[Mã Đơn bán]:[Add]],COUNTA(Table_DonBan[[#Headers],[Mã Đơn bán]:[Mã NV]]),0),0)</f>
        <v>0</v>
      </c>
      <c r="AI4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9" s="48">
        <f>IFERROR(Table_Main[[#This Row],[Giá trị bán trước VAT]]*Table_Main[[#This Row],[Tỷ lệ hoa hồng]],"")</f>
        <v>0</v>
      </c>
      <c r="AK49" s="48">
        <f>IFERROR(VLOOKUP(Table_Main[[#This Row],[Đơn bán]],Table_DonBan[[Mã Đơn bán]:[Add]],COUNTA(Table_DonBan[[#Headers],[Mã Đơn bán]:[Kênh]]),0),0)</f>
        <v>0</v>
      </c>
      <c r="AL4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9" s="48">
        <f>IFERROR(Table_Main[[#This Row],[Giá trị bán trước VAT]]*Table_Main[[#This Row],[Tỷ lệ CK kênh]],"")</f>
        <v>0</v>
      </c>
      <c r="AN49" s="230"/>
      <c r="AO49" s="232"/>
      <c r="AP49" s="226">
        <f>Table_Main[[#This Row],[ĐK - Phân loại]]*Table_Main[[#This Row],[ĐK - Thời gian]]*Table_Main[[#This Row],[ĐK - Giá trị]]*Table_Main[[#This Row],[ĐK - Số lượng]]*Table_Main[[#This Row],[ĐK - Sinh nhật]]*Table_Main[[#This Row],[ĐK - Ngày mua cuối]]</f>
        <v>1</v>
      </c>
      <c r="AQ49" s="226">
        <f xml:space="preserve">
IF(ISBLANK(Table_Main[[#This Row],[Chương trình]]),1,
IF(VLOOKUP(Table_Main[[#This Row],[Chương trình]],Table_ChuongTrinh[[Mã Chương trình]:[Đối tượng CK]],Sheet_ChuongTrinh!$C$1,0) = "Sản phẩm",1,0))</f>
        <v>1</v>
      </c>
      <c r="AR4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0" spans="2:48" ht="18" customHeight="1" x14ac:dyDescent="0.15">
      <c r="B50" s="516" t="s">
        <v>1149</v>
      </c>
      <c r="C50" s="516"/>
      <c r="D50" s="530" t="str">
        <f>IF(ISBLANK(Table_Main[[#This Row],[Mã SKU]]),Table_Main[[#This Row],[Mã Nguyên liệu]],Table_Main[[#This Row],[Mã SKU]])</f>
        <v>HH1</v>
      </c>
      <c r="E50" s="416" cm="1">
        <f t="array" ref="E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50" s="416" cm="1">
        <f t="array" ref="F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84</v>
      </c>
      <c r="G50" s="416" cm="1">
        <f t="array" ref="G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9283668.2537313439</v>
      </c>
      <c r="H50" s="416" cm="1">
        <f t="array" ref="H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7571146.9253731333</v>
      </c>
      <c r="I50" s="416">
        <f>IFERROR(Table_Main[[#This Row],[Giá trị tồn đầu ngày]]/Table_Main[[#This Row],[Tồn kho đầu ngày]],0)</f>
        <v>90132.701492537322</v>
      </c>
      <c r="J50" s="416">
        <f>IFERROR(Table_Main[[#This Row],[Giá trị tồn cuối ngày]]/Table_Main[[#This Row],[Tồn kho cuối ngày]],0)</f>
        <v>90132.701492537308</v>
      </c>
      <c r="K50" s="411">
        <v>45755</v>
      </c>
      <c r="L50" s="47">
        <f xml:space="preserve">
IFERROR(
IFERROR(
VLOOKUP(Table_Main[[#This Row],[Đơn Mua]],Table_DonMua[[Mã Đơn mua]:[Add]],COUNTA(Table_DonMua[[#Headers],[Mã Đơn mua]:[Ngày lập]]),0),
VLOOKUP(Table_Main[[#This Row],[Đơn bán]],Table_DonBan[[Mã Đơn bán]:[Add]], COUNTA(Table_DonBan[[#Headers],[Mã Đơn bán]:[Ngày lập]]),0)),0)</f>
        <v>45755</v>
      </c>
      <c r="M50" s="29">
        <f>IFERROR(MONTH(Table_Main[[#This Row],[Ngày lên đơn]]),0)</f>
        <v>4</v>
      </c>
      <c r="N50" s="544">
        <f>IF(Table_Main[[#This Row],[Ngày lên đơn]]=0,"",Table_Main[[#This Row],[Ngày xuất nhập]]-Table_Main[[#This Row],[Ngày lên đơn]])</f>
        <v>0</v>
      </c>
      <c r="O50" s="7" t="s">
        <v>53</v>
      </c>
      <c r="P50" s="230" t="s">
        <v>1155</v>
      </c>
      <c r="Q50" s="404">
        <v>19</v>
      </c>
      <c r="R50" s="516"/>
      <c r="S50" s="530">
        <f>IFERROR(VLOOKUP(Table_Main[[#This Row],[Đơn Mua]],Table_DonMua[[Mã Đơn mua]:[Add]],COUNTA(Table_DonMua[[#Headers],[Mã Đơn mua]:[Mã Đối tác]]),0),0)</f>
        <v>0</v>
      </c>
      <c r="T50" s="405"/>
      <c r="U50" s="48">
        <f xml:space="preserve">
IF(NOT(ISBLANK(Table_Main[[#This Row],[Đơn Mua]])),Table_Main[[#This Row],[Số lượng]]*Table_Main[[#This Row],[Giá nhập]],Table_Main[[#This Row],[Số lượng]]*Table_Main[[#This Row],[Giá trị bình quân đầu ngày]])</f>
        <v>1712521.3283582092</v>
      </c>
      <c r="V5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0" s="48">
        <f>IF(Table_Main[[#This Row],[Đơn Mua]]="", 0,IFERROR(Table_Main[[#This Row],[Tỷ suất VAT khấu trừ]]*(Table_Main[[#This Row],[Giá trị hàng nhập]]/(1+Table_Main[[#This Row],[Tỷ suất VAT khấu trừ]])),0))</f>
        <v>0</v>
      </c>
      <c r="X50" s="516" t="s">
        <v>1205</v>
      </c>
      <c r="Y50" s="28" t="str">
        <f>IFERROR(VLOOKUP(Table_Main[[#This Row],[Đơn bán]],Table_DonBan[[Mã Đơn bán]:[Add]],COUNTA(Table_DonBan[[#Headers],[Mã Đơn bán]:[Mã Khách]]),0),0)</f>
        <v>KH2</v>
      </c>
      <c r="Z50" s="48">
        <f>IF(ISBLANK(Table_Main[[#This Row],[Đơn bán]]),0,
VLOOKUP(Table_Main[[#This Row],[Mã SKU]],Table_SKU[[Mã SKU]:[Giá bán]],COUNTA(Table_SKU[[#Headers],[Mã SKU]:[Giá bán]]),0))</f>
        <v>100000</v>
      </c>
      <c r="AA50" s="48">
        <f>IF(ISBLANK(Table_Main[[#This Row],[Đơn bán]]),0,
IF(Table_Main[[#This Row],[Loại]] = "Xuất",Table_Main[[#This Row],[Giá bán niêm yết]]*Table_Main[[#This Row],[Số lượng]],-Table_Main[[#This Row],[Giá bán niêm yết]]*Table_Main[[#This Row],[Số lượng]]))</f>
        <v>1900000</v>
      </c>
      <c r="AB50" s="230"/>
      <c r="AC5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1900000</v>
      </c>
      <c r="AF50" s="66">
        <f>IFERROR(
VLOOKUP(Table_Main[[#This Row],[Mã SKU]],Table_SKU[[Mã SKU]:[Tỷ suất VAT]],COUNTA(Table_SKU[[#Headers],[Mã SKU]:[Tỷ suất VAT]]),0),0)</f>
        <v>0</v>
      </c>
      <c r="AG50" s="48">
        <f xml:space="preserve">
IF(Table_Main[[#This Row],[Đơn bán]]="", 0,Table_Main[[#This Row],[Tỷ suất VAT]]*Table_Main[[#This Row],[Giá trị bán trước VAT]])</f>
        <v>0</v>
      </c>
      <c r="AH50" s="51">
        <f>IFERROR(VLOOKUP(Table_Main[[#This Row],[Đơn bán]],Table_DonBan[[Mã Đơn bán]:[Add]],COUNTA(Table_DonBan[[#Headers],[Mã Đơn bán]:[Mã NV]]),0),0)</f>
        <v>0</v>
      </c>
      <c r="AI5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0" s="48">
        <f>IFERROR(Table_Main[[#This Row],[Giá trị bán trước VAT]]*Table_Main[[#This Row],[Tỷ lệ hoa hồng]],"")</f>
        <v>0</v>
      </c>
      <c r="AK50" s="48">
        <f>IFERROR(VLOOKUP(Table_Main[[#This Row],[Đơn bán]],Table_DonBan[[Mã Đơn bán]:[Add]],COUNTA(Table_DonBan[[#Headers],[Mã Đơn bán]:[Kênh]]),0),0)</f>
        <v>0</v>
      </c>
      <c r="AL5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0" s="48">
        <f>IFERROR(Table_Main[[#This Row],[Giá trị bán trước VAT]]*Table_Main[[#This Row],[Tỷ lệ CK kênh]],"")</f>
        <v>0</v>
      </c>
      <c r="AN50" s="230"/>
      <c r="AO50" s="232"/>
      <c r="AP50" s="226">
        <f>Table_Main[[#This Row],[ĐK - Phân loại]]*Table_Main[[#This Row],[ĐK - Thời gian]]*Table_Main[[#This Row],[ĐK - Giá trị]]*Table_Main[[#This Row],[ĐK - Số lượng]]*Table_Main[[#This Row],[ĐK - Sinh nhật]]*Table_Main[[#This Row],[ĐK - Ngày mua cuối]]</f>
        <v>1</v>
      </c>
      <c r="AQ50" s="226">
        <f xml:space="preserve">
IF(ISBLANK(Table_Main[[#This Row],[Chương trình]]),1,
IF(VLOOKUP(Table_Main[[#This Row],[Chương trình]],Table_ChuongTrinh[[Mã Chương trình]:[Đối tượng CK]],Sheet_ChuongTrinh!$C$1,0) = "Sản phẩm",1,0))</f>
        <v>1</v>
      </c>
      <c r="AR5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1" spans="2:48" ht="18" customHeight="1" x14ac:dyDescent="0.15">
      <c r="B51" s="526"/>
      <c r="C51" s="238" t="s">
        <v>1152</v>
      </c>
      <c r="D51" s="531" t="str">
        <f>IF(ISBLANK(Table_Main[[#This Row],[Mã SKU]]),Table_Main[[#This Row],[Mã Nguyên liệu]],Table_Main[[#This Row],[Mã SKU]])</f>
        <v>NL2</v>
      </c>
      <c r="E51" s="416" cm="1">
        <f t="array" ref="E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v>
      </c>
      <c r="F51" s="416" cm="1">
        <f t="array" ref="F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73</v>
      </c>
      <c r="G51" s="416" cm="1">
        <f t="array" ref="G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12324185.739130437</v>
      </c>
      <c r="H51" s="416" cm="1">
        <f t="array" ref="H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10223472.260869566</v>
      </c>
      <c r="I51" s="416">
        <f>IFERROR(Table_Main[[#This Row],[Giá trị tồn đầu ngày]]/Table_Main[[#This Row],[Tồn kho đầu ngày]],0)</f>
        <v>140047.56521739133</v>
      </c>
      <c r="J51" s="416">
        <f>IFERROR(Table_Main[[#This Row],[Giá trị tồn cuối ngày]]/Table_Main[[#This Row],[Tồn kho cuối ngày]],0)</f>
        <v>140047.56521739133</v>
      </c>
      <c r="K51" s="411">
        <v>45755</v>
      </c>
      <c r="L5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1" s="29">
        <f>IFERROR(MONTH(Table_Main[[#This Row],[Ngày lên đơn]]),0)</f>
        <v>1</v>
      </c>
      <c r="N51" s="544" t="str">
        <f>IF(Table_Main[[#This Row],[Ngày lên đơn]]=0,"",Table_Main[[#This Row],[Ngày xuất nhập]]-Table_Main[[#This Row],[Ngày lên đơn]])</f>
        <v/>
      </c>
      <c r="O51" s="7" t="s">
        <v>53</v>
      </c>
      <c r="P51" s="230" t="s">
        <v>1155</v>
      </c>
      <c r="Q51" s="518">
        <v>15</v>
      </c>
      <c r="R51" s="516"/>
      <c r="S51" s="543">
        <f>IFERROR(VLOOKUP(Table_Main[[#This Row],[Đơn Mua]],Table_DonMua[[Mã Đơn mua]:[Add]],COUNTA(Table_DonMua[[#Headers],[Mã Đơn mua]:[Mã Đối tác]]),0),0)</f>
        <v>0</v>
      </c>
      <c r="T51" s="427"/>
      <c r="U51" s="48">
        <f xml:space="preserve">
IF(NOT(ISBLANK(Table_Main[[#This Row],[Đơn Mua]])),Table_Main[[#This Row],[Số lượng]]*Table_Main[[#This Row],[Giá nhập]],Table_Main[[#This Row],[Số lượng]]*Table_Main[[#This Row],[Giá trị bình quân đầu ngày]])</f>
        <v>2100713.4782608701</v>
      </c>
      <c r="V5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1" s="48">
        <f>IF(Table_Main[[#This Row],[Đơn Mua]]="", 0,IFERROR(Table_Main[[#This Row],[Tỷ suất VAT khấu trừ]]*(Table_Main[[#This Row],[Giá trị hàng nhập]]/(1+Table_Main[[#This Row],[Tỷ suất VAT khấu trừ]])),0))</f>
        <v>0</v>
      </c>
      <c r="X51" s="516"/>
      <c r="Y51" s="28">
        <f>IFERROR(VLOOKUP(Table_Main[[#This Row],[Đơn bán]],Table_DonBan[[Mã Đơn bán]:[Add]],COUNTA(Table_DonBan[[#Headers],[Mã Đơn bán]:[Mã Khách]]),0),0)</f>
        <v>0</v>
      </c>
      <c r="Z51" s="48">
        <f>IF(ISBLANK(Table_Main[[#This Row],[Đơn bán]]),0,
VLOOKUP(Table_Main[[#This Row],[Mã SKU]],Table_SKU[[Mã SKU]:[Giá bán]],COUNTA(Table_SKU[[#Headers],[Mã SKU]:[Giá bán]]),0))</f>
        <v>0</v>
      </c>
      <c r="AA51" s="48">
        <f>IF(ISBLANK(Table_Main[[#This Row],[Đơn bán]]),0,
IF(Table_Main[[#This Row],[Loại]] = "Xuất",Table_Main[[#This Row],[Giá bán niêm yết]]*Table_Main[[#This Row],[Số lượng]],-Table_Main[[#This Row],[Giá bán niêm yết]]*Table_Main[[#This Row],[Số lượng]]))</f>
        <v>0</v>
      </c>
      <c r="AB51" s="230"/>
      <c r="AC5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1" s="66">
        <f>IFERROR(
VLOOKUP(Table_Main[[#This Row],[Mã SKU]],Table_SKU[[Mã SKU]:[Tỷ suất VAT]],COUNTA(Table_SKU[[#Headers],[Mã SKU]:[Tỷ suất VAT]]),0),0)</f>
        <v>0</v>
      </c>
      <c r="AG51" s="48">
        <f xml:space="preserve">
IF(Table_Main[[#This Row],[Đơn bán]]="", 0,Table_Main[[#This Row],[Tỷ suất VAT]]*Table_Main[[#This Row],[Giá trị bán trước VAT]])</f>
        <v>0</v>
      </c>
      <c r="AH51" s="51">
        <f>IFERROR(VLOOKUP(Table_Main[[#This Row],[Đơn bán]],Table_DonBan[[Mã Đơn bán]:[Add]],COUNTA(Table_DonBan[[#Headers],[Mã Đơn bán]:[Mã NV]]),0),0)</f>
        <v>0</v>
      </c>
      <c r="AI5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1" s="48">
        <f>IFERROR(Table_Main[[#This Row],[Giá trị bán trước VAT]]*Table_Main[[#This Row],[Tỷ lệ hoa hồng]],"")</f>
        <v>0</v>
      </c>
      <c r="AK51" s="48">
        <f>IFERROR(VLOOKUP(Table_Main[[#This Row],[Đơn bán]],Table_DonBan[[Mã Đơn bán]:[Add]],COUNTA(Table_DonBan[[#Headers],[Mã Đơn bán]:[Kênh]]),0),0)</f>
        <v>0</v>
      </c>
      <c r="AL5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1" s="48">
        <f>IFERROR(Table_Main[[#This Row],[Giá trị bán trước VAT]]*Table_Main[[#This Row],[Tỷ lệ CK kênh]],"")</f>
        <v>0</v>
      </c>
      <c r="AN51" s="230"/>
      <c r="AO51" s="232"/>
      <c r="AP51" s="226">
        <f>Table_Main[[#This Row],[ĐK - Phân loại]]*Table_Main[[#This Row],[ĐK - Thời gian]]*Table_Main[[#This Row],[ĐK - Giá trị]]*Table_Main[[#This Row],[ĐK - Số lượng]]*Table_Main[[#This Row],[ĐK - Sinh nhật]]*Table_Main[[#This Row],[ĐK - Ngày mua cuối]]</f>
        <v>1</v>
      </c>
      <c r="AQ51" s="226">
        <f xml:space="preserve">
IF(ISBLANK(Table_Main[[#This Row],[Chương trình]]),1,
IF(VLOOKUP(Table_Main[[#This Row],[Chương trình]],Table_ChuongTrinh[[Mã Chương trình]:[Đối tượng CK]],Sheet_ChuongTrinh!$C$1,0) = "Sản phẩm",1,0))</f>
        <v>1</v>
      </c>
      <c r="AR5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2" spans="2:48" ht="18" customHeight="1" x14ac:dyDescent="0.15">
      <c r="B52" s="516" t="s">
        <v>1150</v>
      </c>
      <c r="C52" s="516"/>
      <c r="D52" s="530" t="str">
        <f>IF(ISBLANK(Table_Main[[#This Row],[Mã SKU]]),Table_Main[[#This Row],[Mã Nguyên liệu]],Table_Main[[#This Row],[Mã SKU]])</f>
        <v>TP1</v>
      </c>
      <c r="E52" s="416" cm="1">
        <f t="array" ref="E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2" s="416" cm="1">
        <f t="array" ref="F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136</v>
      </c>
      <c r="G52" s="416" cm="1">
        <f t="array" ref="G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2" s="416" cm="1">
        <f t="array" ref="H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2" s="416">
        <f>IFERROR(Table_Main[[#This Row],[Giá trị tồn đầu ngày]]/Table_Main[[#This Row],[Tồn kho đầu ngày]],0)</f>
        <v>0</v>
      </c>
      <c r="J52" s="416">
        <f>IFERROR(Table_Main[[#This Row],[Giá trị tồn cuối ngày]]/Table_Main[[#This Row],[Tồn kho cuối ngày]],0)</f>
        <v>0</v>
      </c>
      <c r="K52" s="411">
        <v>45754</v>
      </c>
      <c r="L5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2" s="29">
        <f>IFERROR(MONTH(Table_Main[[#This Row],[Ngày lên đơn]]),0)</f>
        <v>1</v>
      </c>
      <c r="N52" s="544" t="str">
        <f>IF(Table_Main[[#This Row],[Ngày lên đơn]]=0,"",Table_Main[[#This Row],[Ngày xuất nhập]]-Table_Main[[#This Row],[Ngày lên đơn]])</f>
        <v/>
      </c>
      <c r="O52" s="7" t="s">
        <v>1154</v>
      </c>
      <c r="P52" s="230" t="s">
        <v>1155</v>
      </c>
      <c r="Q52" s="404">
        <v>30</v>
      </c>
      <c r="R52" s="516"/>
      <c r="S52" s="530">
        <f>IFERROR(VLOOKUP(Table_Main[[#This Row],[Đơn Mua]],Table_DonMua[[Mã Đơn mua]:[Add]],COUNTA(Table_DonMua[[#Headers],[Mã Đơn mua]:[Mã Đối tác]]),0),0)</f>
        <v>0</v>
      </c>
      <c r="T52" s="405"/>
      <c r="U52" s="48">
        <f xml:space="preserve">
IF(NOT(ISBLANK(Table_Main[[#This Row],[Đơn Mua]])),Table_Main[[#This Row],[Số lượng]]*Table_Main[[#This Row],[Giá nhập]],Table_Main[[#This Row],[Số lượng]]*Table_Main[[#This Row],[Giá trị bình quân đầu ngày]])</f>
        <v>0</v>
      </c>
      <c r="V5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2" s="48">
        <f>IF(Table_Main[[#This Row],[Đơn Mua]]="", 0,IFERROR(Table_Main[[#This Row],[Tỷ suất VAT khấu trừ]]*(Table_Main[[#This Row],[Giá trị hàng nhập]]/(1+Table_Main[[#This Row],[Tỷ suất VAT khấu trừ]])),0))</f>
        <v>0</v>
      </c>
      <c r="X52" s="516"/>
      <c r="Y52" s="28">
        <f>IFERROR(VLOOKUP(Table_Main[[#This Row],[Đơn bán]],Table_DonBan[[Mã Đơn bán]:[Add]],COUNTA(Table_DonBan[[#Headers],[Mã Đơn bán]:[Mã Khách]]),0),0)</f>
        <v>0</v>
      </c>
      <c r="Z52" s="48">
        <f>IF(ISBLANK(Table_Main[[#This Row],[Đơn bán]]),0,
VLOOKUP(Table_Main[[#This Row],[Mã SKU]],Table_SKU[[Mã SKU]:[Giá bán]],COUNTA(Table_SKU[[#Headers],[Mã SKU]:[Giá bán]]),0))</f>
        <v>0</v>
      </c>
      <c r="AA52" s="48">
        <f>IF(ISBLANK(Table_Main[[#This Row],[Đơn bán]]),0,
IF(Table_Main[[#This Row],[Loại]] = "Xuất",Table_Main[[#This Row],[Giá bán niêm yết]]*Table_Main[[#This Row],[Số lượng]],-Table_Main[[#This Row],[Giá bán niêm yết]]*Table_Main[[#This Row],[Số lượng]]))</f>
        <v>0</v>
      </c>
      <c r="AB52" s="230"/>
      <c r="AC5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2" s="66">
        <f>IFERROR(
VLOOKUP(Table_Main[[#This Row],[Mã SKU]],Table_SKU[[Mã SKU]:[Tỷ suất VAT]],COUNTA(Table_SKU[[#Headers],[Mã SKU]:[Tỷ suất VAT]]),0),0)</f>
        <v>0</v>
      </c>
      <c r="AG52" s="48">
        <f xml:space="preserve">
IF(Table_Main[[#This Row],[Đơn bán]]="", 0,Table_Main[[#This Row],[Tỷ suất VAT]]*Table_Main[[#This Row],[Giá trị bán trước VAT]])</f>
        <v>0</v>
      </c>
      <c r="AH52" s="51">
        <f>IFERROR(VLOOKUP(Table_Main[[#This Row],[Đơn bán]],Table_DonBan[[Mã Đơn bán]:[Add]],COUNTA(Table_DonBan[[#Headers],[Mã Đơn bán]:[Mã NV]]),0),0)</f>
        <v>0</v>
      </c>
      <c r="AI5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2" s="48">
        <f>IFERROR(Table_Main[[#This Row],[Giá trị bán trước VAT]]*Table_Main[[#This Row],[Tỷ lệ hoa hồng]],"")</f>
        <v>0</v>
      </c>
      <c r="AK52" s="48">
        <f>IFERROR(VLOOKUP(Table_Main[[#This Row],[Đơn bán]],Table_DonBan[[Mã Đơn bán]:[Add]],COUNTA(Table_DonBan[[#Headers],[Mã Đơn bán]:[Kênh]]),0),0)</f>
        <v>0</v>
      </c>
      <c r="AL5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2" s="48">
        <f>IFERROR(Table_Main[[#This Row],[Giá trị bán trước VAT]]*Table_Main[[#This Row],[Tỷ lệ CK kênh]],"")</f>
        <v>0</v>
      </c>
      <c r="AN52" s="230"/>
      <c r="AO52" s="232"/>
      <c r="AP52" s="226">
        <f>Table_Main[[#This Row],[ĐK - Phân loại]]*Table_Main[[#This Row],[ĐK - Thời gian]]*Table_Main[[#This Row],[ĐK - Giá trị]]*Table_Main[[#This Row],[ĐK - Số lượng]]*Table_Main[[#This Row],[ĐK - Sinh nhật]]*Table_Main[[#This Row],[ĐK - Ngày mua cuối]]</f>
        <v>1</v>
      </c>
      <c r="AQ52" s="226">
        <f xml:space="preserve">
IF(ISBLANK(Table_Main[[#This Row],[Chương trình]]),1,
IF(VLOOKUP(Table_Main[[#This Row],[Chương trình]],Table_ChuongTrinh[[Mã Chương trình]:[Đối tượng CK]],Sheet_ChuongTrinh!$C$1,0) = "Sản phẩm",1,0))</f>
        <v>1</v>
      </c>
      <c r="AR5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3" spans="2:48" ht="18" customHeight="1" x14ac:dyDescent="0.15">
      <c r="B53" s="516" t="s">
        <v>1150</v>
      </c>
      <c r="C53" s="516"/>
      <c r="D53" s="530" t="str">
        <f>IF(ISBLANK(Table_Main[[#This Row],[Mã SKU]]),Table_Main[[#This Row],[Mã Nguyên liệu]],Table_Main[[#This Row],[Mã SKU]])</f>
        <v>TP1</v>
      </c>
      <c r="E53" s="416" cm="1">
        <f t="array" ref="E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78</v>
      </c>
      <c r="F53" s="416" cm="1">
        <f t="array" ref="F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3" s="416" cm="1">
        <f t="array" ref="G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3" s="416" cm="1">
        <f t="array" ref="H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3" s="416">
        <f>IFERROR(Table_Main[[#This Row],[Giá trị tồn đầu ngày]]/Table_Main[[#This Row],[Tồn kho đầu ngày]],0)</f>
        <v>0</v>
      </c>
      <c r="J53" s="416">
        <f>IFERROR(Table_Main[[#This Row],[Giá trị tồn cuối ngày]]/Table_Main[[#This Row],[Tồn kho cuối ngày]],0)</f>
        <v>0</v>
      </c>
      <c r="K53" s="411">
        <v>45753</v>
      </c>
      <c r="L53"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3" s="29">
        <f>IFERROR(MONTH(Table_Main[[#This Row],[Ngày lên đơn]]),0)</f>
        <v>1</v>
      </c>
      <c r="N53" s="544" t="str">
        <f>IF(Table_Main[[#This Row],[Ngày lên đơn]]=0,"",Table_Main[[#This Row],[Ngày xuất nhập]]-Table_Main[[#This Row],[Ngày lên đơn]])</f>
        <v/>
      </c>
      <c r="O53" s="7" t="s">
        <v>1154</v>
      </c>
      <c r="P53" s="230" t="s">
        <v>1155</v>
      </c>
      <c r="Q53" s="404">
        <v>28</v>
      </c>
      <c r="R53" s="516"/>
      <c r="S53" s="530">
        <f>IFERROR(VLOOKUP(Table_Main[[#This Row],[Đơn Mua]],Table_DonMua[[Mã Đơn mua]:[Add]],COUNTA(Table_DonMua[[#Headers],[Mã Đơn mua]:[Mã Đối tác]]),0),0)</f>
        <v>0</v>
      </c>
      <c r="T53" s="405"/>
      <c r="U53" s="48">
        <f xml:space="preserve">
IF(NOT(ISBLANK(Table_Main[[#This Row],[Đơn Mua]])),Table_Main[[#This Row],[Số lượng]]*Table_Main[[#This Row],[Giá nhập]],Table_Main[[#This Row],[Số lượng]]*Table_Main[[#This Row],[Giá trị bình quân đầu ngày]])</f>
        <v>0</v>
      </c>
      <c r="V5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3" s="48">
        <f>IF(Table_Main[[#This Row],[Đơn Mua]]="", 0,IFERROR(Table_Main[[#This Row],[Tỷ suất VAT khấu trừ]]*(Table_Main[[#This Row],[Giá trị hàng nhập]]/(1+Table_Main[[#This Row],[Tỷ suất VAT khấu trừ]])),0))</f>
        <v>0</v>
      </c>
      <c r="X53" s="516"/>
      <c r="Y53" s="28">
        <f>IFERROR(VLOOKUP(Table_Main[[#This Row],[Đơn bán]],Table_DonBan[[Mã Đơn bán]:[Add]],COUNTA(Table_DonBan[[#Headers],[Mã Đơn bán]:[Mã Khách]]),0),0)</f>
        <v>0</v>
      </c>
      <c r="Z53" s="48">
        <f>IF(ISBLANK(Table_Main[[#This Row],[Đơn bán]]),0,
VLOOKUP(Table_Main[[#This Row],[Mã SKU]],Table_SKU[[Mã SKU]:[Giá bán]],COUNTA(Table_SKU[[#Headers],[Mã SKU]:[Giá bán]]),0))</f>
        <v>0</v>
      </c>
      <c r="AA53" s="48">
        <f>IF(ISBLANK(Table_Main[[#This Row],[Đơn bán]]),0,
IF(Table_Main[[#This Row],[Loại]] = "Xuất",Table_Main[[#This Row],[Giá bán niêm yết]]*Table_Main[[#This Row],[Số lượng]],-Table_Main[[#This Row],[Giá bán niêm yết]]*Table_Main[[#This Row],[Số lượng]]))</f>
        <v>0</v>
      </c>
      <c r="AB53" s="230"/>
      <c r="AC5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3" s="66">
        <f>IFERROR(
VLOOKUP(Table_Main[[#This Row],[Mã SKU]],Table_SKU[[Mã SKU]:[Tỷ suất VAT]],COUNTA(Table_SKU[[#Headers],[Mã SKU]:[Tỷ suất VAT]]),0),0)</f>
        <v>0</v>
      </c>
      <c r="AG53" s="48">
        <f xml:space="preserve">
IF(Table_Main[[#This Row],[Đơn bán]]="", 0,Table_Main[[#This Row],[Tỷ suất VAT]]*Table_Main[[#This Row],[Giá trị bán trước VAT]])</f>
        <v>0</v>
      </c>
      <c r="AH53" s="51">
        <f>IFERROR(VLOOKUP(Table_Main[[#This Row],[Đơn bán]],Table_DonBan[[Mã Đơn bán]:[Add]],COUNTA(Table_DonBan[[#Headers],[Mã Đơn bán]:[Mã NV]]),0),0)</f>
        <v>0</v>
      </c>
      <c r="AI5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3" s="48">
        <f>IFERROR(Table_Main[[#This Row],[Giá trị bán trước VAT]]*Table_Main[[#This Row],[Tỷ lệ hoa hồng]],"")</f>
        <v>0</v>
      </c>
      <c r="AK53" s="48">
        <f>IFERROR(VLOOKUP(Table_Main[[#This Row],[Đơn bán]],Table_DonBan[[Mã Đơn bán]:[Add]],COUNTA(Table_DonBan[[#Headers],[Mã Đơn bán]:[Kênh]]),0),0)</f>
        <v>0</v>
      </c>
      <c r="AL5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3" s="48">
        <f>IFERROR(Table_Main[[#This Row],[Giá trị bán trước VAT]]*Table_Main[[#This Row],[Tỷ lệ CK kênh]],"")</f>
        <v>0</v>
      </c>
      <c r="AN53" s="230"/>
      <c r="AO53" s="232"/>
      <c r="AP53" s="226">
        <f>Table_Main[[#This Row],[ĐK - Phân loại]]*Table_Main[[#This Row],[ĐK - Thời gian]]*Table_Main[[#This Row],[ĐK - Giá trị]]*Table_Main[[#This Row],[ĐK - Số lượng]]*Table_Main[[#This Row],[ĐK - Sinh nhật]]*Table_Main[[#This Row],[ĐK - Ngày mua cuối]]</f>
        <v>1</v>
      </c>
      <c r="AQ53" s="226">
        <f xml:space="preserve">
IF(ISBLANK(Table_Main[[#This Row],[Chương trình]]),1,
IF(VLOOKUP(Table_Main[[#This Row],[Chương trình]],Table_ChuongTrinh[[Mã Chương trình]:[Đối tượng CK]],Sheet_ChuongTrinh!$C$1,0) = "Sản phẩm",1,0))</f>
        <v>1</v>
      </c>
      <c r="AR5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4" spans="2:48" ht="18" customHeight="1" x14ac:dyDescent="0.3">
      <c r="B54" s="236"/>
      <c r="C54" s="238" t="s">
        <v>1152</v>
      </c>
      <c r="D54" s="531" t="str">
        <f>IF(ISBLANK(Table_Main[[#This Row],[Mã SKU]]),Table_Main[[#This Row],[Mã Nguyên liệu]],Table_Main[[#This Row],[Mã SKU]])</f>
        <v>NL2</v>
      </c>
      <c r="E54" s="416" cm="1">
        <f t="array" ref="E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138</v>
      </c>
      <c r="F54" s="416" cm="1">
        <f t="array" ref="F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54" s="416" cm="1">
        <f t="array" ref="G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19326564</v>
      </c>
      <c r="H54" s="416" cm="1">
        <f t="array" ref="H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12324185.739130437</v>
      </c>
      <c r="I54" s="416">
        <f>IFERROR(Table_Main[[#This Row],[Giá trị tồn đầu ngày]]/Table_Main[[#This Row],[Tồn kho đầu ngày]],0)</f>
        <v>140047.5652173913</v>
      </c>
      <c r="J54" s="416">
        <f>IFERROR(Table_Main[[#This Row],[Giá trị tồn cuối ngày]]/Table_Main[[#This Row],[Tồn kho cuối ngày]],0)</f>
        <v>140047.56521739133</v>
      </c>
      <c r="K54" s="411">
        <v>45751</v>
      </c>
      <c r="L5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4" s="29">
        <f>IFERROR(MONTH(Table_Main[[#This Row],[Ngày lên đơn]]),0)</f>
        <v>1</v>
      </c>
      <c r="N54" s="51" t="str">
        <f>IF(Table_Main[[#This Row],[Ngày lên đơn]]=0,"",Table_Main[[#This Row],[Ngày xuất nhập]]-Table_Main[[#This Row],[Ngày lên đơn]])</f>
        <v/>
      </c>
      <c r="O54" s="230" t="s">
        <v>53</v>
      </c>
      <c r="P54" s="230" t="s">
        <v>1155</v>
      </c>
      <c r="Q54" s="404">
        <v>50</v>
      </c>
      <c r="R54" s="516"/>
      <c r="S54" s="530">
        <f>IFERROR(VLOOKUP(Table_Main[[#This Row],[Đơn Mua]],Table_DonMua[[Mã Đơn mua]:[Add]],COUNTA(Table_DonMua[[#Headers],[Mã Đơn mua]:[Mã Đối tác]]),0),0)</f>
        <v>0</v>
      </c>
      <c r="T54" s="405"/>
      <c r="U54" s="48">
        <f xml:space="preserve">
IF(NOT(ISBLANK(Table_Main[[#This Row],[Đơn Mua]])),Table_Main[[#This Row],[Số lượng]]*Table_Main[[#This Row],[Giá nhập]],Table_Main[[#This Row],[Số lượng]]*Table_Main[[#This Row],[Giá trị bình quân đầu ngày]])</f>
        <v>7002378.2608695645</v>
      </c>
      <c r="V5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4" s="48">
        <f>IF(Table_Main[[#This Row],[Đơn Mua]]="", 0,IFERROR(Table_Main[[#This Row],[Tỷ suất VAT khấu trừ]]*(Table_Main[[#This Row],[Giá trị hàng nhập]]/(1+Table_Main[[#This Row],[Tỷ suất VAT khấu trừ]])),0))</f>
        <v>0</v>
      </c>
      <c r="X54" s="516"/>
      <c r="Y54" s="28">
        <f>IFERROR(VLOOKUP(Table_Main[[#This Row],[Đơn bán]],Table_DonBan[[Mã Đơn bán]:[Add]],COUNTA(Table_DonBan[[#Headers],[Mã Đơn bán]:[Mã Khách]]),0),0)</f>
        <v>0</v>
      </c>
      <c r="Z54" s="48">
        <f>IF(ISBLANK(Table_Main[[#This Row],[Đơn bán]]),0,
VLOOKUP(Table_Main[[#This Row],[Mã SKU]],Table_SKU[[Mã SKU]:[Giá bán]],COUNTA(Table_SKU[[#Headers],[Mã SKU]:[Giá bán]]),0))</f>
        <v>0</v>
      </c>
      <c r="AA54" s="48">
        <f>IF(ISBLANK(Table_Main[[#This Row],[Đơn bán]]),0,
IF(Table_Main[[#This Row],[Loại]] = "Xuất",Table_Main[[#This Row],[Giá bán niêm yết]]*Table_Main[[#This Row],[Số lượng]],-Table_Main[[#This Row],[Giá bán niêm yết]]*Table_Main[[#This Row],[Số lượng]]))</f>
        <v>0</v>
      </c>
      <c r="AB54" s="230"/>
      <c r="AC5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4" s="66">
        <f>IFERROR(
VLOOKUP(Table_Main[[#This Row],[Mã SKU]],Table_SKU[[Mã SKU]:[Tỷ suất VAT]],COUNTA(Table_SKU[[#Headers],[Mã SKU]:[Tỷ suất VAT]]),0),0)</f>
        <v>0</v>
      </c>
      <c r="AG54" s="48">
        <f xml:space="preserve">
IF(Table_Main[[#This Row],[Đơn bán]]="", 0,Table_Main[[#This Row],[Tỷ suất VAT]]*Table_Main[[#This Row],[Giá trị bán trước VAT]])</f>
        <v>0</v>
      </c>
      <c r="AH54" s="51">
        <f>IFERROR(VLOOKUP(Table_Main[[#This Row],[Đơn bán]],Table_DonBan[[Mã Đơn bán]:[Add]],COUNTA(Table_DonBan[[#Headers],[Mã Đơn bán]:[Mã NV]]),0),0)</f>
        <v>0</v>
      </c>
      <c r="AI5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4" s="48">
        <f>IFERROR(Table_Main[[#This Row],[Giá trị bán trước VAT]]*Table_Main[[#This Row],[Tỷ lệ hoa hồng]],"")</f>
        <v>0</v>
      </c>
      <c r="AK54" s="48">
        <f>IFERROR(VLOOKUP(Table_Main[[#This Row],[Đơn bán]],Table_DonBan[[Mã Đơn bán]:[Add]],COUNTA(Table_DonBan[[#Headers],[Mã Đơn bán]:[Kênh]]),0),0)</f>
        <v>0</v>
      </c>
      <c r="AL5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4" s="48">
        <f>IFERROR(Table_Main[[#This Row],[Giá trị bán trước VAT]]*Table_Main[[#This Row],[Tỷ lệ CK kênh]],"")</f>
        <v>0</v>
      </c>
      <c r="AN54" s="230"/>
      <c r="AO54" s="232"/>
      <c r="AP54" s="226">
        <f>Table_Main[[#This Row],[ĐK - Phân loại]]*Table_Main[[#This Row],[ĐK - Thời gian]]*Table_Main[[#This Row],[ĐK - Giá trị]]*Table_Main[[#This Row],[ĐK - Số lượng]]*Table_Main[[#This Row],[ĐK - Sinh nhật]]*Table_Main[[#This Row],[ĐK - Ngày mua cuối]]</f>
        <v>1</v>
      </c>
      <c r="AQ54" s="226">
        <f xml:space="preserve">
IF(ISBLANK(Table_Main[[#This Row],[Chương trình]]),1,
IF(VLOOKUP(Table_Main[[#This Row],[Chương trình]],Table_ChuongTrinh[[Mã Chương trình]:[Đối tượng CK]],Sheet_ChuongTrinh!$C$1,0) = "Sản phẩm",1,0))</f>
        <v>1</v>
      </c>
      <c r="AR5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5" spans="2:48" ht="18" customHeight="1" x14ac:dyDescent="0.3">
      <c r="B55" s="524" t="s">
        <v>1150</v>
      </c>
      <c r="C55" s="516"/>
      <c r="D55" s="530" t="str">
        <f>IF(ISBLANK(Table_Main[[#This Row],[Mã SKU]]),Table_Main[[#This Row],[Mã Nguyên liệu]],Table_Main[[#This Row],[Mã SKU]])</f>
        <v>TP1</v>
      </c>
      <c r="E55" s="416" cm="1">
        <f t="array" ref="E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5" s="416" cm="1">
        <f t="array" ref="F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78</v>
      </c>
      <c r="G55" s="416" cm="1">
        <f t="array" ref="G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5" s="416" cm="1">
        <f t="array" ref="H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5" s="416">
        <f>IFERROR(Table_Main[[#This Row],[Giá trị tồn đầu ngày]]/Table_Main[[#This Row],[Tồn kho đầu ngày]],0)</f>
        <v>0</v>
      </c>
      <c r="J55" s="416">
        <f>IFERROR(Table_Main[[#This Row],[Giá trị tồn cuối ngày]]/Table_Main[[#This Row],[Tồn kho cuối ngày]],0)</f>
        <v>0</v>
      </c>
      <c r="K55" s="411">
        <v>45750</v>
      </c>
      <c r="L55" s="47">
        <f xml:space="preserve">
IFERROR(
IFERROR(
VLOOKUP(Table_Main[[#This Row],[Đơn Mua]],Table_DonMua[[Mã Đơn mua]:[Add]],COUNTA(Table_DonMua[[#Headers],[Mã Đơn mua]:[Ngày lập]]),0),
VLOOKUP(Table_Main[[#This Row],[Đơn bán]],Table_DonBan[[Mã Đơn bán]:[Add]], COUNTA(Table_DonBan[[#Headers],[Mã Đơn bán]:[Ngày lập]]),0)),0)</f>
        <v>45750</v>
      </c>
      <c r="M55" s="29">
        <f>IFERROR(MONTH(Table_Main[[#This Row],[Ngày lên đơn]]),0)</f>
        <v>4</v>
      </c>
      <c r="N55" s="51">
        <f>IF(Table_Main[[#This Row],[Ngày lên đơn]]=0,"",Table_Main[[#This Row],[Ngày xuất nhập]]-Table_Main[[#This Row],[Ngày lên đơn]])</f>
        <v>0</v>
      </c>
      <c r="O55" s="230" t="s">
        <v>53</v>
      </c>
      <c r="P55" s="230" t="s">
        <v>1155</v>
      </c>
      <c r="Q55" s="404">
        <v>28</v>
      </c>
      <c r="R55" s="516"/>
      <c r="S55" s="530">
        <f>IFERROR(VLOOKUP(Table_Main[[#This Row],[Đơn Mua]],Table_DonMua[[Mã Đơn mua]:[Add]],COUNTA(Table_DonMua[[#Headers],[Mã Đơn mua]:[Mã Đối tác]]),0),0)</f>
        <v>0</v>
      </c>
      <c r="T55" s="405"/>
      <c r="U55" s="48">
        <f xml:space="preserve">
IF(NOT(ISBLANK(Table_Main[[#This Row],[Đơn Mua]])),Table_Main[[#This Row],[Số lượng]]*Table_Main[[#This Row],[Giá nhập]],Table_Main[[#This Row],[Số lượng]]*Table_Main[[#This Row],[Giá trị bình quân đầu ngày]])</f>
        <v>0</v>
      </c>
      <c r="V5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5" s="48">
        <f>IF(Table_Main[[#This Row],[Đơn Mua]]="", 0,IFERROR(Table_Main[[#This Row],[Tỷ suất VAT khấu trừ]]*(Table_Main[[#This Row],[Giá trị hàng nhập]]/(1+Table_Main[[#This Row],[Tỷ suất VAT khấu trừ]])),0))</f>
        <v>0</v>
      </c>
      <c r="X55" s="516" t="s">
        <v>1204</v>
      </c>
      <c r="Y55" s="28" t="str">
        <f>IFERROR(VLOOKUP(Table_Main[[#This Row],[Đơn bán]],Table_DonBan[[Mã Đơn bán]:[Add]],COUNTA(Table_DonBan[[#Headers],[Mã Đơn bán]:[Mã Khách]]),0),0)</f>
        <v>KH1</v>
      </c>
      <c r="Z55" s="48">
        <f>IF(ISBLANK(Table_Main[[#This Row],[Đơn bán]]),0,
VLOOKUP(Table_Main[[#This Row],[Mã SKU]],Table_SKU[[Mã SKU]:[Giá bán]],COUNTA(Table_SKU[[#Headers],[Mã SKU]:[Giá bán]]),0))</f>
        <v>300000</v>
      </c>
      <c r="AA55" s="48">
        <f>IF(ISBLANK(Table_Main[[#This Row],[Đơn bán]]),0,
IF(Table_Main[[#This Row],[Loại]] = "Xuất",Table_Main[[#This Row],[Giá bán niêm yết]]*Table_Main[[#This Row],[Số lượng]],-Table_Main[[#This Row],[Giá bán niêm yết]]*Table_Main[[#This Row],[Số lượng]]))</f>
        <v>8400000</v>
      </c>
      <c r="AB55" s="230"/>
      <c r="AC5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5"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55" s="66">
        <f>IFERROR(
VLOOKUP(Table_Main[[#This Row],[Mã SKU]],Table_SKU[[Mã SKU]:[Tỷ suất VAT]],COUNTA(Table_SKU[[#Headers],[Mã SKU]:[Tỷ suất VAT]]),0),0)</f>
        <v>0</v>
      </c>
      <c r="AG55" s="48">
        <f xml:space="preserve">
IF(Table_Main[[#This Row],[Đơn bán]]="", 0,Table_Main[[#This Row],[Tỷ suất VAT]]*Table_Main[[#This Row],[Giá trị bán trước VAT]])</f>
        <v>0</v>
      </c>
      <c r="AH55" s="51">
        <f>IFERROR(VLOOKUP(Table_Main[[#This Row],[Đơn bán]],Table_DonBan[[Mã Đơn bán]:[Add]],COUNTA(Table_DonBan[[#Headers],[Mã Đơn bán]:[Mã NV]]),0),0)</f>
        <v>0</v>
      </c>
      <c r="AI5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5" s="48">
        <f>IFERROR(Table_Main[[#This Row],[Giá trị bán trước VAT]]*Table_Main[[#This Row],[Tỷ lệ hoa hồng]],"")</f>
        <v>0</v>
      </c>
      <c r="AK55" s="48">
        <f>IFERROR(VLOOKUP(Table_Main[[#This Row],[Đơn bán]],Table_DonBan[[Mã Đơn bán]:[Add]],COUNTA(Table_DonBan[[#Headers],[Mã Đơn bán]:[Kênh]]),0),0)</f>
        <v>0</v>
      </c>
      <c r="AL5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5" s="48">
        <f>IFERROR(Table_Main[[#This Row],[Giá trị bán trước VAT]]*Table_Main[[#This Row],[Tỷ lệ CK kênh]],"")</f>
        <v>0</v>
      </c>
      <c r="AN55" s="230"/>
      <c r="AO55" s="232"/>
      <c r="AP55" s="226">
        <f>Table_Main[[#This Row],[ĐK - Phân loại]]*Table_Main[[#This Row],[ĐK - Thời gian]]*Table_Main[[#This Row],[ĐK - Giá trị]]*Table_Main[[#This Row],[ĐK - Số lượng]]*Table_Main[[#This Row],[ĐK - Sinh nhật]]*Table_Main[[#This Row],[ĐK - Ngày mua cuối]]</f>
        <v>1</v>
      </c>
      <c r="AQ55" s="226">
        <f xml:space="preserve">
IF(ISBLANK(Table_Main[[#This Row],[Chương trình]]),1,
IF(VLOOKUP(Table_Main[[#This Row],[Chương trình]],Table_ChuongTrinh[[Mã Chương trình]:[Đối tượng CK]],Sheet_ChuongTrinh!$C$1,0) = "Sản phẩm",1,0))</f>
        <v>1</v>
      </c>
      <c r="AR5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6" spans="2:48" ht="18" customHeight="1" x14ac:dyDescent="0.3">
      <c r="B56" s="524" t="s">
        <v>1151</v>
      </c>
      <c r="C56" s="516"/>
      <c r="D56" s="530" t="str">
        <f>IF(ISBLANK(Table_Main[[#This Row],[Mã SKU]]),Table_Main[[#This Row],[Mã Nguyên liệu]],Table_Main[[#This Row],[Mã SKU]])</f>
        <v>TP2</v>
      </c>
      <c r="E56" s="416" cm="1">
        <f t="array" ref="E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66</v>
      </c>
      <c r="F56" s="416" cm="1">
        <f t="array" ref="F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56" s="416" cm="1">
        <f t="array" ref="G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6" s="416" cm="1">
        <f t="array" ref="H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6" s="416">
        <f>IFERROR(Table_Main[[#This Row],[Giá trị tồn đầu ngày]]/Table_Main[[#This Row],[Tồn kho đầu ngày]],0)</f>
        <v>0</v>
      </c>
      <c r="J56" s="416">
        <f>IFERROR(Table_Main[[#This Row],[Giá trị tồn cuối ngày]]/Table_Main[[#This Row],[Tồn kho cuối ngày]],0)</f>
        <v>0</v>
      </c>
      <c r="K56" s="411">
        <v>45746</v>
      </c>
      <c r="L56" s="47">
        <f xml:space="preserve">
IFERROR(
IFERROR(
VLOOKUP(Table_Main[[#This Row],[Đơn Mua]],Table_DonMua[[Mã Đơn mua]:[Add]],COUNTA(Table_DonMua[[#Headers],[Mã Đơn mua]:[Ngày lập]]),0),
VLOOKUP(Table_Main[[#This Row],[Đơn bán]],Table_DonBan[[Mã Đơn bán]:[Add]], COUNTA(Table_DonBan[[#Headers],[Mã Đơn bán]:[Ngày lập]]),0)),0)</f>
        <v>45746</v>
      </c>
      <c r="M56" s="29">
        <f>IFERROR(MONTH(Table_Main[[#This Row],[Ngày lên đơn]]),0)</f>
        <v>3</v>
      </c>
      <c r="N56" s="51">
        <f>IF(Table_Main[[#This Row],[Ngày lên đơn]]=0,"",Table_Main[[#This Row],[Ngày xuất nhập]]-Table_Main[[#This Row],[Ngày lên đơn]])</f>
        <v>0</v>
      </c>
      <c r="O56" s="230" t="s">
        <v>53</v>
      </c>
      <c r="P56" s="230" t="s">
        <v>1155</v>
      </c>
      <c r="Q56" s="404">
        <v>31</v>
      </c>
      <c r="R56" s="516"/>
      <c r="S56" s="530">
        <f>IFERROR(VLOOKUP(Table_Main[[#This Row],[Đơn Mua]],Table_DonMua[[Mã Đơn mua]:[Add]],COUNTA(Table_DonMua[[#Headers],[Mã Đơn mua]:[Mã Đối tác]]),0),0)</f>
        <v>0</v>
      </c>
      <c r="T56" s="405"/>
      <c r="U56" s="48">
        <f xml:space="preserve">
IF(NOT(ISBLANK(Table_Main[[#This Row],[Đơn Mua]])),Table_Main[[#This Row],[Số lượng]]*Table_Main[[#This Row],[Giá nhập]],Table_Main[[#This Row],[Số lượng]]*Table_Main[[#This Row],[Giá trị bình quân đầu ngày]])</f>
        <v>0</v>
      </c>
      <c r="V5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6" s="48">
        <f>IF(Table_Main[[#This Row],[Đơn Mua]]="", 0,IFERROR(Table_Main[[#This Row],[Tỷ suất VAT khấu trừ]]*(Table_Main[[#This Row],[Giá trị hàng nhập]]/(1+Table_Main[[#This Row],[Tỷ suất VAT khấu trừ]])),0))</f>
        <v>0</v>
      </c>
      <c r="X56" s="516" t="s">
        <v>1203</v>
      </c>
      <c r="Y56" s="28" t="str">
        <f>IFERROR(VLOOKUP(Table_Main[[#This Row],[Đơn bán]],Table_DonBan[[Mã Đơn bán]:[Add]],COUNTA(Table_DonBan[[#Headers],[Mã Đơn bán]:[Mã Khách]]),0),0)</f>
        <v>KH2</v>
      </c>
      <c r="Z56" s="48">
        <f>IF(ISBLANK(Table_Main[[#This Row],[Đơn bán]]),0,
VLOOKUP(Table_Main[[#This Row],[Mã SKU]],Table_SKU[[Mã SKU]:[Giá bán]],COUNTA(Table_SKU[[#Headers],[Mã SKU]:[Giá bán]]),0))</f>
        <v>500000</v>
      </c>
      <c r="AA56" s="48">
        <f>IF(ISBLANK(Table_Main[[#This Row],[Đơn bán]]),0,
IF(Table_Main[[#This Row],[Loại]] = "Xuất",Table_Main[[#This Row],[Giá bán niêm yết]]*Table_Main[[#This Row],[Số lượng]],-Table_Main[[#This Row],[Giá bán niêm yết]]*Table_Main[[#This Row],[Số lượng]]))</f>
        <v>15500000</v>
      </c>
      <c r="AB56" s="230"/>
      <c r="AC5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15500000</v>
      </c>
      <c r="AF56" s="66">
        <f>IFERROR(
VLOOKUP(Table_Main[[#This Row],[Mã SKU]],Table_SKU[[Mã SKU]:[Tỷ suất VAT]],COUNTA(Table_SKU[[#Headers],[Mã SKU]:[Tỷ suất VAT]]),0),0)</f>
        <v>0</v>
      </c>
      <c r="AG56" s="48">
        <f xml:space="preserve">
IF(Table_Main[[#This Row],[Đơn bán]]="", 0,Table_Main[[#This Row],[Tỷ suất VAT]]*Table_Main[[#This Row],[Giá trị bán trước VAT]])</f>
        <v>0</v>
      </c>
      <c r="AH56" s="51">
        <f>IFERROR(VLOOKUP(Table_Main[[#This Row],[Đơn bán]],Table_DonBan[[Mã Đơn bán]:[Add]],COUNTA(Table_DonBan[[#Headers],[Mã Đơn bán]:[Mã NV]]),0),0)</f>
        <v>0</v>
      </c>
      <c r="AI5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6" s="48">
        <f>IFERROR(Table_Main[[#This Row],[Giá trị bán trước VAT]]*Table_Main[[#This Row],[Tỷ lệ hoa hồng]],"")</f>
        <v>0</v>
      </c>
      <c r="AK56" s="48">
        <f>IFERROR(VLOOKUP(Table_Main[[#This Row],[Đơn bán]],Table_DonBan[[Mã Đơn bán]:[Add]],COUNTA(Table_DonBan[[#Headers],[Mã Đơn bán]:[Kênh]]),0),0)</f>
        <v>0</v>
      </c>
      <c r="AL5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6" s="48">
        <f>IFERROR(Table_Main[[#This Row],[Giá trị bán trước VAT]]*Table_Main[[#This Row],[Tỷ lệ CK kênh]],"")</f>
        <v>0</v>
      </c>
      <c r="AN56" s="230"/>
      <c r="AO56" s="232"/>
      <c r="AP56" s="226">
        <f>Table_Main[[#This Row],[ĐK - Phân loại]]*Table_Main[[#This Row],[ĐK - Thời gian]]*Table_Main[[#This Row],[ĐK - Giá trị]]*Table_Main[[#This Row],[ĐK - Số lượng]]*Table_Main[[#This Row],[ĐK - Sinh nhật]]*Table_Main[[#This Row],[ĐK - Ngày mua cuối]]</f>
        <v>1</v>
      </c>
      <c r="AQ56" s="226">
        <f xml:space="preserve">
IF(ISBLANK(Table_Main[[#This Row],[Chương trình]]),1,
IF(VLOOKUP(Table_Main[[#This Row],[Chương trình]],Table_ChuongTrinh[[Mã Chương trình]:[Đối tượng CK]],Sheet_ChuongTrinh!$C$1,0) = "Sản phẩm",1,0))</f>
        <v>1</v>
      </c>
      <c r="AR5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7" spans="2:48" ht="18" customHeight="1" x14ac:dyDescent="0.3">
      <c r="B57" s="236"/>
      <c r="C57" s="238" t="s">
        <v>1153</v>
      </c>
      <c r="D57" s="531" t="str">
        <f>IF(ISBLANK(Table_Main[[#This Row],[Mã SKU]]),Table_Main[[#This Row],[Mã Nguyên liệu]],Table_Main[[#This Row],[Mã SKU]])</f>
        <v>NL1</v>
      </c>
      <c r="E57" s="416" cm="1">
        <f t="array" ref="E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165</v>
      </c>
      <c r="F57" s="416" cm="1">
        <f t="array" ref="F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171</v>
      </c>
      <c r="G57" s="416" cm="1">
        <f t="array" ref="G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16618566</v>
      </c>
      <c r="H57" s="416" cm="1">
        <f t="array" ref="H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17503962</v>
      </c>
      <c r="I57" s="416">
        <f>IFERROR(Table_Main[[#This Row],[Giá trị tồn đầu ngày]]/Table_Main[[#This Row],[Tồn kho đầu ngày]],0)</f>
        <v>100718.58181818182</v>
      </c>
      <c r="J57" s="416">
        <f>IFERROR(Table_Main[[#This Row],[Giá trị tồn cuối ngày]]/Table_Main[[#This Row],[Tồn kho cuối ngày]],0)</f>
        <v>102362.35087719298</v>
      </c>
      <c r="K57" s="411">
        <v>45746</v>
      </c>
      <c r="L57" s="47">
        <f xml:space="preserve">
IFERROR(
IFERROR(
VLOOKUP(Table_Main[[#This Row],[Đơn Mua]],Table_DonMua[[Mã Đơn mua]:[Add]],COUNTA(Table_DonMua[[#Headers],[Mã Đơn mua]:[Ngày lập]]),0),
VLOOKUP(Table_Main[[#This Row],[Đơn bán]],Table_DonBan[[Mã Đơn bán]:[Add]], COUNTA(Table_DonBan[[#Headers],[Mã Đơn bán]:[Ngày lập]]),0)),0)</f>
        <v>45744</v>
      </c>
      <c r="M57" s="29">
        <f>IFERROR(MONTH(Table_Main[[#This Row],[Ngày lên đơn]]),0)</f>
        <v>3</v>
      </c>
      <c r="N57" s="51">
        <f>IF(Table_Main[[#This Row],[Ngày lên đơn]]=0,"",Table_Main[[#This Row],[Ngày xuất nhập]]-Table_Main[[#This Row],[Ngày lên đơn]])</f>
        <v>2</v>
      </c>
      <c r="O57" s="230" t="s">
        <v>1154</v>
      </c>
      <c r="P57" s="230" t="s">
        <v>1155</v>
      </c>
      <c r="Q57" s="404">
        <v>6</v>
      </c>
      <c r="R57" s="516" t="s">
        <v>1167</v>
      </c>
      <c r="S57" s="530" t="str">
        <f>IFERROR(VLOOKUP(Table_Main[[#This Row],[Đơn Mua]],Table_DonMua[[Mã Đơn mua]:[Add]],COUNTA(Table_DonMua[[#Headers],[Mã Đơn mua]:[Mã Đối tác]]),0),0)</f>
        <v>NCC2</v>
      </c>
      <c r="T57" s="405">
        <v>147566</v>
      </c>
      <c r="U57" s="48">
        <f xml:space="preserve">
IF(NOT(ISBLANK(Table_Main[[#This Row],[Đơn Mua]])),Table_Main[[#This Row],[Số lượng]]*Table_Main[[#This Row],[Giá nhập]],Table_Main[[#This Row],[Số lượng]]*Table_Main[[#This Row],[Giá trị bình quân đầu ngày]])</f>
        <v>885396</v>
      </c>
      <c r="V5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7" s="48">
        <f>IF(Table_Main[[#This Row],[Đơn Mua]]="", 0,IFERROR(Table_Main[[#This Row],[Tỷ suất VAT khấu trừ]]*(Table_Main[[#This Row],[Giá trị hàng nhập]]/(1+Table_Main[[#This Row],[Tỷ suất VAT khấu trừ]])),0))</f>
        <v>0</v>
      </c>
      <c r="X57" s="516"/>
      <c r="Y57" s="28">
        <f>IFERROR(VLOOKUP(Table_Main[[#This Row],[Đơn bán]],Table_DonBan[[Mã Đơn bán]:[Add]],COUNTA(Table_DonBan[[#Headers],[Mã Đơn bán]:[Mã Khách]]),0),0)</f>
        <v>0</v>
      </c>
      <c r="Z57" s="48">
        <f>IF(ISBLANK(Table_Main[[#This Row],[Đơn bán]]),0,
VLOOKUP(Table_Main[[#This Row],[Mã SKU]],Table_SKU[[Mã SKU]:[Giá bán]],COUNTA(Table_SKU[[#Headers],[Mã SKU]:[Giá bán]]),0))</f>
        <v>0</v>
      </c>
      <c r="AA57" s="48">
        <f>IF(ISBLANK(Table_Main[[#This Row],[Đơn bán]]),0,
IF(Table_Main[[#This Row],[Loại]] = "Xuất",Table_Main[[#This Row],[Giá bán niêm yết]]*Table_Main[[#This Row],[Số lượng]],-Table_Main[[#This Row],[Giá bán niêm yết]]*Table_Main[[#This Row],[Số lượng]]))</f>
        <v>0</v>
      </c>
      <c r="AB57" s="230"/>
      <c r="AC5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7" s="66">
        <f>IFERROR(
VLOOKUP(Table_Main[[#This Row],[Mã SKU]],Table_SKU[[Mã SKU]:[Tỷ suất VAT]],COUNTA(Table_SKU[[#Headers],[Mã SKU]:[Tỷ suất VAT]]),0),0)</f>
        <v>0</v>
      </c>
      <c r="AG57" s="48">
        <f xml:space="preserve">
IF(Table_Main[[#This Row],[Đơn bán]]="", 0,Table_Main[[#This Row],[Tỷ suất VAT]]*Table_Main[[#This Row],[Giá trị bán trước VAT]])</f>
        <v>0</v>
      </c>
      <c r="AH57" s="51">
        <f>IFERROR(VLOOKUP(Table_Main[[#This Row],[Đơn bán]],Table_DonBan[[Mã Đơn bán]:[Add]],COUNTA(Table_DonBan[[#Headers],[Mã Đơn bán]:[Mã NV]]),0),0)</f>
        <v>0</v>
      </c>
      <c r="AI5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7" s="48">
        <f>IFERROR(Table_Main[[#This Row],[Giá trị bán trước VAT]]*Table_Main[[#This Row],[Tỷ lệ hoa hồng]],"")</f>
        <v>0</v>
      </c>
      <c r="AK57" s="48">
        <f>IFERROR(VLOOKUP(Table_Main[[#This Row],[Đơn bán]],Table_DonBan[[Mã Đơn bán]:[Add]],COUNTA(Table_DonBan[[#Headers],[Mã Đơn bán]:[Kênh]]),0),0)</f>
        <v>0</v>
      </c>
      <c r="AL5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7" s="48">
        <f>IFERROR(Table_Main[[#This Row],[Giá trị bán trước VAT]]*Table_Main[[#This Row],[Tỷ lệ CK kênh]],"")</f>
        <v>0</v>
      </c>
      <c r="AN57" s="230"/>
      <c r="AO57" s="232"/>
      <c r="AP57" s="226">
        <f>Table_Main[[#This Row],[ĐK - Phân loại]]*Table_Main[[#This Row],[ĐK - Thời gian]]*Table_Main[[#This Row],[ĐK - Giá trị]]*Table_Main[[#This Row],[ĐK - Số lượng]]*Table_Main[[#This Row],[ĐK - Sinh nhật]]*Table_Main[[#This Row],[ĐK - Ngày mua cuối]]</f>
        <v>1</v>
      </c>
      <c r="AQ57" s="226">
        <f xml:space="preserve">
IF(ISBLANK(Table_Main[[#This Row],[Chương trình]]),1,
IF(VLOOKUP(Table_Main[[#This Row],[Chương trình]],Table_ChuongTrinh[[Mã Chương trình]:[Đối tượng CK]],Sheet_ChuongTrinh!$C$1,0) = "Sản phẩm",1,0))</f>
        <v>1</v>
      </c>
      <c r="AR5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8" spans="2:48" ht="18" customHeight="1" x14ac:dyDescent="0.3">
      <c r="B58" s="524" t="s">
        <v>1150</v>
      </c>
      <c r="C58" s="516"/>
      <c r="D58" s="530" t="str">
        <f>IF(ISBLANK(Table_Main[[#This Row],[Mã SKU]]),Table_Main[[#This Row],[Mã Nguyên liệu]],Table_Main[[#This Row],[Mã SKU]])</f>
        <v>TP1</v>
      </c>
      <c r="E58" s="416" cm="1">
        <f t="array" ref="E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v>
      </c>
      <c r="F58" s="416" cm="1">
        <f t="array" ref="F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8" s="416" cm="1">
        <f t="array" ref="G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8" s="416" cm="1">
        <f t="array" ref="H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8" s="416">
        <f>IFERROR(Table_Main[[#This Row],[Giá trị tồn đầu ngày]]/Table_Main[[#This Row],[Tồn kho đầu ngày]],0)</f>
        <v>0</v>
      </c>
      <c r="J58" s="416">
        <f>IFERROR(Table_Main[[#This Row],[Giá trị tồn cuối ngày]]/Table_Main[[#This Row],[Tồn kho cuối ngày]],0)</f>
        <v>0</v>
      </c>
      <c r="K58" s="411">
        <v>45743</v>
      </c>
      <c r="L58" s="47">
        <f xml:space="preserve">
IFERROR(
IFERROR(
VLOOKUP(Table_Main[[#This Row],[Đơn Mua]],Table_DonMua[[Mã Đơn mua]:[Add]],COUNTA(Table_DonMua[[#Headers],[Mã Đơn mua]:[Ngày lập]]),0),
VLOOKUP(Table_Main[[#This Row],[Đơn bán]],Table_DonBan[[Mã Đơn bán]:[Add]], COUNTA(Table_DonBan[[#Headers],[Mã Đơn bán]:[Ngày lập]]),0)),0)</f>
        <v>45743</v>
      </c>
      <c r="M58" s="29">
        <f>IFERROR(MONTH(Table_Main[[#This Row],[Ngày lên đơn]]),0)</f>
        <v>3</v>
      </c>
      <c r="N58" s="51">
        <f>IF(Table_Main[[#This Row],[Ngày lên đơn]]=0,"",Table_Main[[#This Row],[Ngày xuất nhập]]-Table_Main[[#This Row],[Ngày lên đơn]])</f>
        <v>0</v>
      </c>
      <c r="O58" s="230" t="s">
        <v>53</v>
      </c>
      <c r="P58" s="230" t="s">
        <v>1155</v>
      </c>
      <c r="Q58" s="404">
        <v>14</v>
      </c>
      <c r="R58" s="516"/>
      <c r="S58" s="530">
        <f>IFERROR(VLOOKUP(Table_Main[[#This Row],[Đơn Mua]],Table_DonMua[[Mã Đơn mua]:[Add]],COUNTA(Table_DonMua[[#Headers],[Mã Đơn mua]:[Mã Đối tác]]),0),0)</f>
        <v>0</v>
      </c>
      <c r="T58" s="405"/>
      <c r="U58" s="48">
        <f xml:space="preserve">
IF(NOT(ISBLANK(Table_Main[[#This Row],[Đơn Mua]])),Table_Main[[#This Row],[Số lượng]]*Table_Main[[#This Row],[Giá nhập]],Table_Main[[#This Row],[Số lượng]]*Table_Main[[#This Row],[Giá trị bình quân đầu ngày]])</f>
        <v>0</v>
      </c>
      <c r="V5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8" s="48">
        <f>IF(Table_Main[[#This Row],[Đơn Mua]]="", 0,IFERROR(Table_Main[[#This Row],[Tỷ suất VAT khấu trừ]]*(Table_Main[[#This Row],[Giá trị hàng nhập]]/(1+Table_Main[[#This Row],[Tỷ suất VAT khấu trừ]])),0))</f>
        <v>0</v>
      </c>
      <c r="X58" s="516" t="s">
        <v>1202</v>
      </c>
      <c r="Y58" s="28" t="str">
        <f>IFERROR(VLOOKUP(Table_Main[[#This Row],[Đơn bán]],Table_DonBan[[Mã Đơn bán]:[Add]],COUNTA(Table_DonBan[[#Headers],[Mã Đơn bán]:[Mã Khách]]),0),0)</f>
        <v>KH1</v>
      </c>
      <c r="Z58" s="48">
        <f>IF(ISBLANK(Table_Main[[#This Row],[Đơn bán]]),0,
VLOOKUP(Table_Main[[#This Row],[Mã SKU]],Table_SKU[[Mã SKU]:[Giá bán]],COUNTA(Table_SKU[[#Headers],[Mã SKU]:[Giá bán]]),0))</f>
        <v>300000</v>
      </c>
      <c r="AA58" s="48">
        <f>IF(ISBLANK(Table_Main[[#This Row],[Đơn bán]]),0,
IF(Table_Main[[#This Row],[Loại]] = "Xuất",Table_Main[[#This Row],[Giá bán niêm yết]]*Table_Main[[#This Row],[Số lượng]],-Table_Main[[#This Row],[Giá bán niêm yết]]*Table_Main[[#This Row],[Số lượng]]))</f>
        <v>4200000</v>
      </c>
      <c r="AB58" s="230"/>
      <c r="AC5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58" s="66">
        <f>IFERROR(
VLOOKUP(Table_Main[[#This Row],[Mã SKU]],Table_SKU[[Mã SKU]:[Tỷ suất VAT]],COUNTA(Table_SKU[[#Headers],[Mã SKU]:[Tỷ suất VAT]]),0),0)</f>
        <v>0</v>
      </c>
      <c r="AG58" s="48">
        <f xml:space="preserve">
IF(Table_Main[[#This Row],[Đơn bán]]="", 0,Table_Main[[#This Row],[Tỷ suất VAT]]*Table_Main[[#This Row],[Giá trị bán trước VAT]])</f>
        <v>0</v>
      </c>
      <c r="AH58" s="51">
        <f>IFERROR(VLOOKUP(Table_Main[[#This Row],[Đơn bán]],Table_DonBan[[Mã Đơn bán]:[Add]],COUNTA(Table_DonBan[[#Headers],[Mã Đơn bán]:[Mã NV]]),0),0)</f>
        <v>0</v>
      </c>
      <c r="AI5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8" s="48">
        <f>IFERROR(Table_Main[[#This Row],[Giá trị bán trước VAT]]*Table_Main[[#This Row],[Tỷ lệ hoa hồng]],"")</f>
        <v>0</v>
      </c>
      <c r="AK58" s="48">
        <f>IFERROR(VLOOKUP(Table_Main[[#This Row],[Đơn bán]],Table_DonBan[[Mã Đơn bán]:[Add]],COUNTA(Table_DonBan[[#Headers],[Mã Đơn bán]:[Kênh]]),0),0)</f>
        <v>0</v>
      </c>
      <c r="AL5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8" s="48">
        <f>IFERROR(Table_Main[[#This Row],[Giá trị bán trước VAT]]*Table_Main[[#This Row],[Tỷ lệ CK kênh]],"")</f>
        <v>0</v>
      </c>
      <c r="AN58" s="230"/>
      <c r="AO58" s="232"/>
      <c r="AP58" s="226">
        <f>Table_Main[[#This Row],[ĐK - Phân loại]]*Table_Main[[#This Row],[ĐK - Thời gian]]*Table_Main[[#This Row],[ĐK - Giá trị]]*Table_Main[[#This Row],[ĐK - Số lượng]]*Table_Main[[#This Row],[ĐK - Sinh nhật]]*Table_Main[[#This Row],[ĐK - Ngày mua cuối]]</f>
        <v>1</v>
      </c>
      <c r="AQ58" s="226">
        <f xml:space="preserve">
IF(ISBLANK(Table_Main[[#This Row],[Chương trình]]),1,
IF(VLOOKUP(Table_Main[[#This Row],[Chương trình]],Table_ChuongTrinh[[Mã Chương trình]:[Đối tượng CK]],Sheet_ChuongTrinh!$C$1,0) = "Sản phẩm",1,0))</f>
        <v>1</v>
      </c>
      <c r="AR5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9" spans="2:48" ht="18" customHeight="1" x14ac:dyDescent="0.3">
      <c r="B59" s="524" t="s">
        <v>1150</v>
      </c>
      <c r="C59" s="516"/>
      <c r="D59" s="530" t="str">
        <f>IF(ISBLANK(Table_Main[[#This Row],[Mã SKU]]),Table_Main[[#This Row],[Mã Nguyên liệu]],Table_Main[[#This Row],[Mã SKU]])</f>
        <v>TP1</v>
      </c>
      <c r="E59" s="416" cm="1">
        <f t="array" ref="E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91</v>
      </c>
      <c r="F59" s="416" cm="1">
        <f t="array" ref="F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v>
      </c>
      <c r="G59" s="416" cm="1">
        <f t="array" ref="G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9" s="416" cm="1">
        <f t="array" ref="H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9" s="416">
        <f>IFERROR(Table_Main[[#This Row],[Giá trị tồn đầu ngày]]/Table_Main[[#This Row],[Tồn kho đầu ngày]],0)</f>
        <v>0</v>
      </c>
      <c r="J59" s="416">
        <f>IFERROR(Table_Main[[#This Row],[Giá trị tồn cuối ngày]]/Table_Main[[#This Row],[Tồn kho cuối ngày]],0)</f>
        <v>0</v>
      </c>
      <c r="K59" s="411">
        <v>45742</v>
      </c>
      <c r="L5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9" s="29">
        <f>IFERROR(MONTH(Table_Main[[#This Row],[Ngày lên đơn]]),0)</f>
        <v>1</v>
      </c>
      <c r="N59" s="51" t="str">
        <f>IF(Table_Main[[#This Row],[Ngày lên đơn]]=0,"",Table_Main[[#This Row],[Ngày xuất nhập]]-Table_Main[[#This Row],[Ngày lên đơn]])</f>
        <v/>
      </c>
      <c r="O59" s="230" t="s">
        <v>1154</v>
      </c>
      <c r="P59" s="230" t="s">
        <v>1155</v>
      </c>
      <c r="Q59" s="404">
        <v>29</v>
      </c>
      <c r="R59" s="516"/>
      <c r="S59" s="530">
        <f>IFERROR(VLOOKUP(Table_Main[[#This Row],[Đơn Mua]],Table_DonMua[[Mã Đơn mua]:[Add]],COUNTA(Table_DonMua[[#Headers],[Mã Đơn mua]:[Mã Đối tác]]),0),0)</f>
        <v>0</v>
      </c>
      <c r="T59" s="405"/>
      <c r="U59" s="48">
        <f xml:space="preserve">
IF(NOT(ISBLANK(Table_Main[[#This Row],[Đơn Mua]])),Table_Main[[#This Row],[Số lượng]]*Table_Main[[#This Row],[Giá nhập]],Table_Main[[#This Row],[Số lượng]]*Table_Main[[#This Row],[Giá trị bình quân đầu ngày]])</f>
        <v>0</v>
      </c>
      <c r="V5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9" s="48">
        <f>IF(Table_Main[[#This Row],[Đơn Mua]]="", 0,IFERROR(Table_Main[[#This Row],[Tỷ suất VAT khấu trừ]]*(Table_Main[[#This Row],[Giá trị hàng nhập]]/(1+Table_Main[[#This Row],[Tỷ suất VAT khấu trừ]])),0))</f>
        <v>0</v>
      </c>
      <c r="X59" s="516"/>
      <c r="Y59" s="28">
        <f>IFERROR(VLOOKUP(Table_Main[[#This Row],[Đơn bán]],Table_DonBan[[Mã Đơn bán]:[Add]],COUNTA(Table_DonBan[[#Headers],[Mã Đơn bán]:[Mã Khách]]),0),0)</f>
        <v>0</v>
      </c>
      <c r="Z59" s="48">
        <f>IF(ISBLANK(Table_Main[[#This Row],[Đơn bán]]),0,
VLOOKUP(Table_Main[[#This Row],[Mã SKU]],Table_SKU[[Mã SKU]:[Giá bán]],COUNTA(Table_SKU[[#Headers],[Mã SKU]:[Giá bán]]),0))</f>
        <v>0</v>
      </c>
      <c r="AA59" s="48">
        <f>IF(ISBLANK(Table_Main[[#This Row],[Đơn bán]]),0,
IF(Table_Main[[#This Row],[Loại]] = "Xuất",Table_Main[[#This Row],[Giá bán niêm yết]]*Table_Main[[#This Row],[Số lượng]],-Table_Main[[#This Row],[Giá bán niêm yết]]*Table_Main[[#This Row],[Số lượng]]))</f>
        <v>0</v>
      </c>
      <c r="AB59" s="230"/>
      <c r="AC5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9" s="66">
        <f>IFERROR(
VLOOKUP(Table_Main[[#This Row],[Mã SKU]],Table_SKU[[Mã SKU]:[Tỷ suất VAT]],COUNTA(Table_SKU[[#Headers],[Mã SKU]:[Tỷ suất VAT]]),0),0)</f>
        <v>0</v>
      </c>
      <c r="AG59" s="48">
        <f xml:space="preserve">
IF(Table_Main[[#This Row],[Đơn bán]]="", 0,Table_Main[[#This Row],[Tỷ suất VAT]]*Table_Main[[#This Row],[Giá trị bán trước VAT]])</f>
        <v>0</v>
      </c>
      <c r="AH59" s="51">
        <f>IFERROR(VLOOKUP(Table_Main[[#This Row],[Đơn bán]],Table_DonBan[[Mã Đơn bán]:[Add]],COUNTA(Table_DonBan[[#Headers],[Mã Đơn bán]:[Mã NV]]),0),0)</f>
        <v>0</v>
      </c>
      <c r="AI5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9" s="48">
        <f>IFERROR(Table_Main[[#This Row],[Giá trị bán trước VAT]]*Table_Main[[#This Row],[Tỷ lệ hoa hồng]],"")</f>
        <v>0</v>
      </c>
      <c r="AK59" s="48">
        <f>IFERROR(VLOOKUP(Table_Main[[#This Row],[Đơn bán]],Table_DonBan[[Mã Đơn bán]:[Add]],COUNTA(Table_DonBan[[#Headers],[Mã Đơn bán]:[Kênh]]),0),0)</f>
        <v>0</v>
      </c>
      <c r="AL5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9" s="48">
        <f>IFERROR(Table_Main[[#This Row],[Giá trị bán trước VAT]]*Table_Main[[#This Row],[Tỷ lệ CK kênh]],"")</f>
        <v>0</v>
      </c>
      <c r="AN59" s="230"/>
      <c r="AO59" s="232"/>
      <c r="AP59" s="226">
        <f>Table_Main[[#This Row],[ĐK - Phân loại]]*Table_Main[[#This Row],[ĐK - Thời gian]]*Table_Main[[#This Row],[ĐK - Giá trị]]*Table_Main[[#This Row],[ĐK - Số lượng]]*Table_Main[[#This Row],[ĐK - Sinh nhật]]*Table_Main[[#This Row],[ĐK - Ngày mua cuối]]</f>
        <v>1</v>
      </c>
      <c r="AQ59" s="226">
        <f xml:space="preserve">
IF(ISBLANK(Table_Main[[#This Row],[Chương trình]]),1,
IF(VLOOKUP(Table_Main[[#This Row],[Chương trình]],Table_ChuongTrinh[[Mã Chương trình]:[Đối tượng CK]],Sheet_ChuongTrinh!$C$1,0) = "Sản phẩm",1,0))</f>
        <v>1</v>
      </c>
      <c r="AR5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0" spans="2:48" ht="18" customHeight="1" x14ac:dyDescent="0.3">
      <c r="B60" s="524" t="s">
        <v>1151</v>
      </c>
      <c r="C60" s="516"/>
      <c r="D60" s="530" t="str">
        <f>IF(ISBLANK(Table_Main[[#This Row],[Mã SKU]]),Table_Main[[#This Row],[Mã Nguyên liệu]],Table_Main[[#This Row],[Mã SKU]])</f>
        <v>TP2</v>
      </c>
      <c r="E60" s="416" cm="1">
        <f t="array" ref="E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v>
      </c>
      <c r="F60" s="416" cm="1">
        <f t="array" ref="F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0" s="416" cm="1">
        <f t="array" ref="G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0" s="416" cm="1">
        <f t="array" ref="H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0" s="416">
        <f>IFERROR(Table_Main[[#This Row],[Giá trị tồn đầu ngày]]/Table_Main[[#This Row],[Tồn kho đầu ngày]],0)</f>
        <v>0</v>
      </c>
      <c r="J60" s="416">
        <f>IFERROR(Table_Main[[#This Row],[Giá trị tồn cuối ngày]]/Table_Main[[#This Row],[Tồn kho cuối ngày]],0)</f>
        <v>0</v>
      </c>
      <c r="K60" s="411">
        <v>45742</v>
      </c>
      <c r="L6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0" s="29">
        <f>IFERROR(MONTH(Table_Main[[#This Row],[Ngày lên đơn]]),0)</f>
        <v>1</v>
      </c>
      <c r="N60" s="51" t="str">
        <f>IF(Table_Main[[#This Row],[Ngày lên đơn]]=0,"",Table_Main[[#This Row],[Ngày xuất nhập]]-Table_Main[[#This Row],[Ngày lên đơn]])</f>
        <v/>
      </c>
      <c r="O60" s="230" t="s">
        <v>1154</v>
      </c>
      <c r="P60" s="230" t="s">
        <v>1155</v>
      </c>
      <c r="Q60" s="404">
        <v>38</v>
      </c>
      <c r="R60" s="516"/>
      <c r="S60" s="530">
        <f>IFERROR(VLOOKUP(Table_Main[[#This Row],[Đơn Mua]],Table_DonMua[[Mã Đơn mua]:[Add]],COUNTA(Table_DonMua[[#Headers],[Mã Đơn mua]:[Mã Đối tác]]),0),0)</f>
        <v>0</v>
      </c>
      <c r="T60" s="405"/>
      <c r="U60" s="48">
        <f xml:space="preserve">
IF(NOT(ISBLANK(Table_Main[[#This Row],[Đơn Mua]])),Table_Main[[#This Row],[Số lượng]]*Table_Main[[#This Row],[Giá nhập]],Table_Main[[#This Row],[Số lượng]]*Table_Main[[#This Row],[Giá trị bình quân đầu ngày]])</f>
        <v>0</v>
      </c>
      <c r="V6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0" s="48">
        <f>IF(Table_Main[[#This Row],[Đơn Mua]]="", 0,IFERROR(Table_Main[[#This Row],[Tỷ suất VAT khấu trừ]]*(Table_Main[[#This Row],[Giá trị hàng nhập]]/(1+Table_Main[[#This Row],[Tỷ suất VAT khấu trừ]])),0))</f>
        <v>0</v>
      </c>
      <c r="X60" s="516"/>
      <c r="Y60" s="28">
        <f>IFERROR(VLOOKUP(Table_Main[[#This Row],[Đơn bán]],Table_DonBan[[Mã Đơn bán]:[Add]],COUNTA(Table_DonBan[[#Headers],[Mã Đơn bán]:[Mã Khách]]),0),0)</f>
        <v>0</v>
      </c>
      <c r="Z60" s="48">
        <f>IF(ISBLANK(Table_Main[[#This Row],[Đơn bán]]),0,
VLOOKUP(Table_Main[[#This Row],[Mã SKU]],Table_SKU[[Mã SKU]:[Giá bán]],COUNTA(Table_SKU[[#Headers],[Mã SKU]:[Giá bán]]),0))</f>
        <v>0</v>
      </c>
      <c r="AA60" s="48">
        <f>IF(ISBLANK(Table_Main[[#This Row],[Đơn bán]]),0,
IF(Table_Main[[#This Row],[Loại]] = "Xuất",Table_Main[[#This Row],[Giá bán niêm yết]]*Table_Main[[#This Row],[Số lượng]],-Table_Main[[#This Row],[Giá bán niêm yết]]*Table_Main[[#This Row],[Số lượng]]))</f>
        <v>0</v>
      </c>
      <c r="AB60" s="230"/>
      <c r="AC6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0" s="66">
        <f>IFERROR(
VLOOKUP(Table_Main[[#This Row],[Mã SKU]],Table_SKU[[Mã SKU]:[Tỷ suất VAT]],COUNTA(Table_SKU[[#Headers],[Mã SKU]:[Tỷ suất VAT]]),0),0)</f>
        <v>0</v>
      </c>
      <c r="AG60" s="48">
        <f xml:space="preserve">
IF(Table_Main[[#This Row],[Đơn bán]]="", 0,Table_Main[[#This Row],[Tỷ suất VAT]]*Table_Main[[#This Row],[Giá trị bán trước VAT]])</f>
        <v>0</v>
      </c>
      <c r="AH60" s="51">
        <f>IFERROR(VLOOKUP(Table_Main[[#This Row],[Đơn bán]],Table_DonBan[[Mã Đơn bán]:[Add]],COUNTA(Table_DonBan[[#Headers],[Mã Đơn bán]:[Mã NV]]),0),0)</f>
        <v>0</v>
      </c>
      <c r="AI6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0" s="48">
        <f>IFERROR(Table_Main[[#This Row],[Giá trị bán trước VAT]]*Table_Main[[#This Row],[Tỷ lệ hoa hồng]],"")</f>
        <v>0</v>
      </c>
      <c r="AK60" s="48">
        <f>IFERROR(VLOOKUP(Table_Main[[#This Row],[Đơn bán]],Table_DonBan[[Mã Đơn bán]:[Add]],COUNTA(Table_DonBan[[#Headers],[Mã Đơn bán]:[Kênh]]),0),0)</f>
        <v>0</v>
      </c>
      <c r="AL6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0" s="48">
        <f>IFERROR(Table_Main[[#This Row],[Giá trị bán trước VAT]]*Table_Main[[#This Row],[Tỷ lệ CK kênh]],"")</f>
        <v>0</v>
      </c>
      <c r="AN60" s="230"/>
      <c r="AO60" s="232"/>
      <c r="AP60" s="226">
        <f>Table_Main[[#This Row],[ĐK - Phân loại]]*Table_Main[[#This Row],[ĐK - Thời gian]]*Table_Main[[#This Row],[ĐK - Giá trị]]*Table_Main[[#This Row],[ĐK - Số lượng]]*Table_Main[[#This Row],[ĐK - Sinh nhật]]*Table_Main[[#This Row],[ĐK - Ngày mua cuối]]</f>
        <v>1</v>
      </c>
      <c r="AQ60" s="226">
        <f xml:space="preserve">
IF(ISBLANK(Table_Main[[#This Row],[Chương trình]]),1,
IF(VLOOKUP(Table_Main[[#This Row],[Chương trình]],Table_ChuongTrinh[[Mã Chương trình]:[Đối tượng CK]],Sheet_ChuongTrinh!$C$1,0) = "Sản phẩm",1,0))</f>
        <v>1</v>
      </c>
      <c r="AR6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1" spans="2:48" ht="18" customHeight="1" x14ac:dyDescent="0.3">
      <c r="B61" s="524" t="s">
        <v>1149</v>
      </c>
      <c r="C61" s="516"/>
      <c r="D61" s="530" t="str">
        <f>IF(ISBLANK(Table_Main[[#This Row],[Mã SKU]]),Table_Main[[#This Row],[Mã Nguyên liệu]],Table_Main[[#This Row],[Mã SKU]])</f>
        <v>HH1</v>
      </c>
      <c r="E61" s="416" cm="1">
        <f t="array" ref="E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133</v>
      </c>
      <c r="F61" s="416" cm="1">
        <f t="array" ref="F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61" s="416" cm="1">
        <f t="array" ref="G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11987649.298507463</v>
      </c>
      <c r="H61" s="416" cm="1">
        <f t="array" ref="H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9283668.2537313439</v>
      </c>
      <c r="I61" s="416">
        <f>IFERROR(Table_Main[[#This Row],[Giá trị tồn đầu ngày]]/Table_Main[[#This Row],[Tồn kho đầu ngày]],0)</f>
        <v>90132.701492537322</v>
      </c>
      <c r="J61" s="416">
        <f>IFERROR(Table_Main[[#This Row],[Giá trị tồn cuối ngày]]/Table_Main[[#This Row],[Tồn kho cuối ngày]],0)</f>
        <v>90132.701492537322</v>
      </c>
      <c r="K61" s="411">
        <v>45741</v>
      </c>
      <c r="L61" s="47">
        <f xml:space="preserve">
IFERROR(
IFERROR(
VLOOKUP(Table_Main[[#This Row],[Đơn Mua]],Table_DonMua[[Mã Đơn mua]:[Add]],COUNTA(Table_DonMua[[#Headers],[Mã Đơn mua]:[Ngày lập]]),0),
VLOOKUP(Table_Main[[#This Row],[Đơn bán]],Table_DonBan[[Mã Đơn bán]:[Add]], COUNTA(Table_DonBan[[#Headers],[Mã Đơn bán]:[Ngày lập]]),0)),0)</f>
        <v>45741</v>
      </c>
      <c r="M61" s="29">
        <f>IFERROR(MONTH(Table_Main[[#This Row],[Ngày lên đơn]]),0)</f>
        <v>3</v>
      </c>
      <c r="N61" s="51">
        <f>IF(Table_Main[[#This Row],[Ngày lên đơn]]=0,"",Table_Main[[#This Row],[Ngày xuất nhập]]-Table_Main[[#This Row],[Ngày lên đơn]])</f>
        <v>0</v>
      </c>
      <c r="O61" s="230" t="s">
        <v>53</v>
      </c>
      <c r="P61" s="230" t="s">
        <v>1155</v>
      </c>
      <c r="Q61" s="404">
        <v>30</v>
      </c>
      <c r="R61" s="516"/>
      <c r="S61" s="530">
        <f>IFERROR(VLOOKUP(Table_Main[[#This Row],[Đơn Mua]],Table_DonMua[[Mã Đơn mua]:[Add]],COUNTA(Table_DonMua[[#Headers],[Mã Đơn mua]:[Mã Đối tác]]),0),0)</f>
        <v>0</v>
      </c>
      <c r="T61" s="405"/>
      <c r="U61" s="48">
        <f xml:space="preserve">
IF(NOT(ISBLANK(Table_Main[[#This Row],[Đơn Mua]])),Table_Main[[#This Row],[Số lượng]]*Table_Main[[#This Row],[Giá nhập]],Table_Main[[#This Row],[Số lượng]]*Table_Main[[#This Row],[Giá trị bình quân đầu ngày]])</f>
        <v>2703981.0447761198</v>
      </c>
      <c r="V6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1" s="48">
        <f>IF(Table_Main[[#This Row],[Đơn Mua]]="", 0,IFERROR(Table_Main[[#This Row],[Tỷ suất VAT khấu trừ]]*(Table_Main[[#This Row],[Giá trị hàng nhập]]/(1+Table_Main[[#This Row],[Tỷ suất VAT khấu trừ]])),0))</f>
        <v>0</v>
      </c>
      <c r="X61" s="516" t="s">
        <v>1201</v>
      </c>
      <c r="Y61" s="28" t="str">
        <f>IFERROR(VLOOKUP(Table_Main[[#This Row],[Đơn bán]],Table_DonBan[[Mã Đơn bán]:[Add]],COUNTA(Table_DonBan[[#Headers],[Mã Đơn bán]:[Mã Khách]]),0),0)</f>
        <v>KH3</v>
      </c>
      <c r="Z61" s="48">
        <f>IF(ISBLANK(Table_Main[[#This Row],[Đơn bán]]),0,
VLOOKUP(Table_Main[[#This Row],[Mã SKU]],Table_SKU[[Mã SKU]:[Giá bán]],COUNTA(Table_SKU[[#Headers],[Mã SKU]:[Giá bán]]),0))</f>
        <v>100000</v>
      </c>
      <c r="AA61" s="48">
        <f>IF(ISBLANK(Table_Main[[#This Row],[Đơn bán]]),0,
IF(Table_Main[[#This Row],[Loại]] = "Xuất",Table_Main[[#This Row],[Giá bán niêm yết]]*Table_Main[[#This Row],[Số lượng]],-Table_Main[[#This Row],[Giá bán niêm yết]]*Table_Main[[#This Row],[Số lượng]]))</f>
        <v>3000000</v>
      </c>
      <c r="AB61" s="230"/>
      <c r="AC6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3000000</v>
      </c>
      <c r="AF61" s="66">
        <f>IFERROR(
VLOOKUP(Table_Main[[#This Row],[Mã SKU]],Table_SKU[[Mã SKU]:[Tỷ suất VAT]],COUNTA(Table_SKU[[#Headers],[Mã SKU]:[Tỷ suất VAT]]),0),0)</f>
        <v>0</v>
      </c>
      <c r="AG61" s="48">
        <f xml:space="preserve">
IF(Table_Main[[#This Row],[Đơn bán]]="", 0,Table_Main[[#This Row],[Tỷ suất VAT]]*Table_Main[[#This Row],[Giá trị bán trước VAT]])</f>
        <v>0</v>
      </c>
      <c r="AH61" s="51">
        <f>IFERROR(VLOOKUP(Table_Main[[#This Row],[Đơn bán]],Table_DonBan[[Mã Đơn bán]:[Add]],COUNTA(Table_DonBan[[#Headers],[Mã Đơn bán]:[Mã NV]]),0),0)</f>
        <v>0</v>
      </c>
      <c r="AI6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1" s="48">
        <f>IFERROR(Table_Main[[#This Row],[Giá trị bán trước VAT]]*Table_Main[[#This Row],[Tỷ lệ hoa hồng]],"")</f>
        <v>0</v>
      </c>
      <c r="AK61" s="48">
        <f>IFERROR(VLOOKUP(Table_Main[[#This Row],[Đơn bán]],Table_DonBan[[Mã Đơn bán]:[Add]],COUNTA(Table_DonBan[[#Headers],[Mã Đơn bán]:[Kênh]]),0),0)</f>
        <v>0</v>
      </c>
      <c r="AL6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1" s="48">
        <f>IFERROR(Table_Main[[#This Row],[Giá trị bán trước VAT]]*Table_Main[[#This Row],[Tỷ lệ CK kênh]],"")</f>
        <v>0</v>
      </c>
      <c r="AN61" s="230"/>
      <c r="AO61" s="232"/>
      <c r="AP61" s="226">
        <f>Table_Main[[#This Row],[ĐK - Phân loại]]*Table_Main[[#This Row],[ĐK - Thời gian]]*Table_Main[[#This Row],[ĐK - Giá trị]]*Table_Main[[#This Row],[ĐK - Số lượng]]*Table_Main[[#This Row],[ĐK - Sinh nhật]]*Table_Main[[#This Row],[ĐK - Ngày mua cuối]]</f>
        <v>1</v>
      </c>
      <c r="AQ61" s="226">
        <f xml:space="preserve">
IF(ISBLANK(Table_Main[[#This Row],[Chương trình]]),1,
IF(VLOOKUP(Table_Main[[#This Row],[Chương trình]],Table_ChuongTrinh[[Mã Chương trình]:[Đối tượng CK]],Sheet_ChuongTrinh!$C$1,0) = "Sản phẩm",1,0))</f>
        <v>1</v>
      </c>
      <c r="AR6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2" spans="2:48" ht="18" customHeight="1" x14ac:dyDescent="0.3">
      <c r="B62" s="236"/>
      <c r="C62" s="238" t="s">
        <v>1152</v>
      </c>
      <c r="D62" s="531" t="str">
        <f>IF(ISBLANK(Table_Main[[#This Row],[Mã SKU]]),Table_Main[[#This Row],[Mã Nguyên liệu]],Table_Main[[#This Row],[Mã SKU]])</f>
        <v>NL2</v>
      </c>
      <c r="E62" s="416" cm="1">
        <f t="array" ref="E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62" s="416" cm="1">
        <f t="array" ref="F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138</v>
      </c>
      <c r="G62" s="416" cm="1">
        <f t="array" ref="G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18536292</v>
      </c>
      <c r="H62" s="416" cm="1">
        <f t="array" ref="H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19326564</v>
      </c>
      <c r="I62" s="416">
        <f>IFERROR(Table_Main[[#This Row],[Giá trị tồn đầu ngày]]/Table_Main[[#This Row],[Tồn kho đầu ngày]],0)</f>
        <v>142586.86153846153</v>
      </c>
      <c r="J62" s="416">
        <f>IFERROR(Table_Main[[#This Row],[Giá trị tồn cuối ngày]]/Table_Main[[#This Row],[Tồn kho cuối ngày]],0)</f>
        <v>140047.5652173913</v>
      </c>
      <c r="K62" s="411">
        <v>45737</v>
      </c>
      <c r="L62" s="47">
        <f xml:space="preserve">
IFERROR(
IFERROR(
VLOOKUP(Table_Main[[#This Row],[Đơn Mua]],Table_DonMua[[Mã Đơn mua]:[Add]],COUNTA(Table_DonMua[[#Headers],[Mã Đơn mua]:[Ngày lập]]),0),
VLOOKUP(Table_Main[[#This Row],[Đơn bán]],Table_DonBan[[Mã Đơn bán]:[Add]], COUNTA(Table_DonBan[[#Headers],[Mã Đơn bán]:[Ngày lập]]),0)),0)</f>
        <v>45737</v>
      </c>
      <c r="M62" s="29">
        <f>IFERROR(MONTH(Table_Main[[#This Row],[Ngày lên đơn]]),0)</f>
        <v>3</v>
      </c>
      <c r="N62" s="51">
        <f>IF(Table_Main[[#This Row],[Ngày lên đơn]]=0,"",Table_Main[[#This Row],[Ngày xuất nhập]]-Table_Main[[#This Row],[Ngày lên đơn]])</f>
        <v>0</v>
      </c>
      <c r="O62" s="230" t="s">
        <v>1154</v>
      </c>
      <c r="P62" s="230" t="s">
        <v>1155</v>
      </c>
      <c r="Q62" s="404">
        <v>8</v>
      </c>
      <c r="R62" s="516" t="s">
        <v>1166</v>
      </c>
      <c r="S62" s="530" t="str">
        <f>IFERROR(VLOOKUP(Table_Main[[#This Row],[Đơn Mua]],Table_DonMua[[Mã Đơn mua]:[Add]],COUNTA(Table_DonMua[[#Headers],[Mã Đơn mua]:[Mã Đối tác]]),0),0)</f>
        <v>NCC1</v>
      </c>
      <c r="T62" s="405">
        <v>98784</v>
      </c>
      <c r="U62" s="48">
        <f xml:space="preserve">
IF(NOT(ISBLANK(Table_Main[[#This Row],[Đơn Mua]])),Table_Main[[#This Row],[Số lượng]]*Table_Main[[#This Row],[Giá nhập]],Table_Main[[#This Row],[Số lượng]]*Table_Main[[#This Row],[Giá trị bình quân đầu ngày]])</f>
        <v>790272</v>
      </c>
      <c r="V6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2" s="48">
        <f>IF(Table_Main[[#This Row],[Đơn Mua]]="", 0,IFERROR(Table_Main[[#This Row],[Tỷ suất VAT khấu trừ]]*(Table_Main[[#This Row],[Giá trị hàng nhập]]/(1+Table_Main[[#This Row],[Tỷ suất VAT khấu trừ]])),0))</f>
        <v>0</v>
      </c>
      <c r="X62" s="516"/>
      <c r="Y62" s="28">
        <f>IFERROR(VLOOKUP(Table_Main[[#This Row],[Đơn bán]],Table_DonBan[[Mã Đơn bán]:[Add]],COUNTA(Table_DonBan[[#Headers],[Mã Đơn bán]:[Mã Khách]]),0),0)</f>
        <v>0</v>
      </c>
      <c r="Z62" s="48">
        <f>IF(ISBLANK(Table_Main[[#This Row],[Đơn bán]]),0,
VLOOKUP(Table_Main[[#This Row],[Mã SKU]],Table_SKU[[Mã SKU]:[Giá bán]],COUNTA(Table_SKU[[#Headers],[Mã SKU]:[Giá bán]]),0))</f>
        <v>0</v>
      </c>
      <c r="AA62" s="48">
        <f>IF(ISBLANK(Table_Main[[#This Row],[Đơn bán]]),0,
IF(Table_Main[[#This Row],[Loại]] = "Xuất",Table_Main[[#This Row],[Giá bán niêm yết]]*Table_Main[[#This Row],[Số lượng]],-Table_Main[[#This Row],[Giá bán niêm yết]]*Table_Main[[#This Row],[Số lượng]]))</f>
        <v>0</v>
      </c>
      <c r="AB62" s="230"/>
      <c r="AC6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2" s="66">
        <f>IFERROR(
VLOOKUP(Table_Main[[#This Row],[Mã SKU]],Table_SKU[[Mã SKU]:[Tỷ suất VAT]],COUNTA(Table_SKU[[#Headers],[Mã SKU]:[Tỷ suất VAT]]),0),0)</f>
        <v>0</v>
      </c>
      <c r="AG62" s="48">
        <f xml:space="preserve">
IF(Table_Main[[#This Row],[Đơn bán]]="", 0,Table_Main[[#This Row],[Tỷ suất VAT]]*Table_Main[[#This Row],[Giá trị bán trước VAT]])</f>
        <v>0</v>
      </c>
      <c r="AH62" s="51">
        <f>IFERROR(VLOOKUP(Table_Main[[#This Row],[Đơn bán]],Table_DonBan[[Mã Đơn bán]:[Add]],COUNTA(Table_DonBan[[#Headers],[Mã Đơn bán]:[Mã NV]]),0),0)</f>
        <v>0</v>
      </c>
      <c r="AI6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2" s="48">
        <f>IFERROR(Table_Main[[#This Row],[Giá trị bán trước VAT]]*Table_Main[[#This Row],[Tỷ lệ hoa hồng]],"")</f>
        <v>0</v>
      </c>
      <c r="AK62" s="48">
        <f>IFERROR(VLOOKUP(Table_Main[[#This Row],[Đơn bán]],Table_DonBan[[Mã Đơn bán]:[Add]],COUNTA(Table_DonBan[[#Headers],[Mã Đơn bán]:[Kênh]]),0),0)</f>
        <v>0</v>
      </c>
      <c r="AL6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2" s="48">
        <f>IFERROR(Table_Main[[#This Row],[Giá trị bán trước VAT]]*Table_Main[[#This Row],[Tỷ lệ CK kênh]],"")</f>
        <v>0</v>
      </c>
      <c r="AN62" s="230"/>
      <c r="AO62" s="232"/>
      <c r="AP62" s="226">
        <f>Table_Main[[#This Row],[ĐK - Phân loại]]*Table_Main[[#This Row],[ĐK - Thời gian]]*Table_Main[[#This Row],[ĐK - Giá trị]]*Table_Main[[#This Row],[ĐK - Số lượng]]*Table_Main[[#This Row],[ĐK - Sinh nhật]]*Table_Main[[#This Row],[ĐK - Ngày mua cuối]]</f>
        <v>1</v>
      </c>
      <c r="AQ62" s="226">
        <f xml:space="preserve">
IF(ISBLANK(Table_Main[[#This Row],[Chương trình]]),1,
IF(VLOOKUP(Table_Main[[#This Row],[Chương trình]],Table_ChuongTrinh[[Mã Chương trình]:[Đối tượng CK]],Sheet_ChuongTrinh!$C$1,0) = "Sản phẩm",1,0))</f>
        <v>1</v>
      </c>
      <c r="AR6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3" spans="2:48" ht="18" customHeight="1" x14ac:dyDescent="0.3">
      <c r="B63" s="524" t="s">
        <v>1149</v>
      </c>
      <c r="C63" s="516"/>
      <c r="D63" s="530" t="str">
        <f>IF(ISBLANK(Table_Main[[#This Row],[Mã SKU]]),Table_Main[[#This Row],[Mã Nguyên liệu]],Table_Main[[#This Row],[Mã SKU]])</f>
        <v>HH1</v>
      </c>
      <c r="E63" s="416" cm="1">
        <f t="array" ref="E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134</v>
      </c>
      <c r="F63" s="416" cm="1">
        <f t="array" ref="F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133</v>
      </c>
      <c r="G63" s="416" cm="1">
        <f t="array" ref="G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12077782</v>
      </c>
      <c r="H63" s="416" cm="1">
        <f t="array" ref="H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11987649.298507463</v>
      </c>
      <c r="I63" s="416">
        <f>IFERROR(Table_Main[[#This Row],[Giá trị tồn đầu ngày]]/Table_Main[[#This Row],[Tồn kho đầu ngày]],0)</f>
        <v>90132.701492537308</v>
      </c>
      <c r="J63" s="416">
        <f>IFERROR(Table_Main[[#This Row],[Giá trị tồn cuối ngày]]/Table_Main[[#This Row],[Tồn kho cuối ngày]],0)</f>
        <v>90132.701492537322</v>
      </c>
      <c r="K63" s="411">
        <v>45736</v>
      </c>
      <c r="L63" s="47">
        <f xml:space="preserve">
IFERROR(
IFERROR(
VLOOKUP(Table_Main[[#This Row],[Đơn Mua]],Table_DonMua[[Mã Đơn mua]:[Add]],COUNTA(Table_DonMua[[#Headers],[Mã Đơn mua]:[Ngày lập]]),0),
VLOOKUP(Table_Main[[#This Row],[Đơn bán]],Table_DonBan[[Mã Đơn bán]:[Add]], COUNTA(Table_DonBan[[#Headers],[Mã Đơn bán]:[Ngày lập]]),0)),0)</f>
        <v>45736</v>
      </c>
      <c r="M63" s="29">
        <f>IFERROR(MONTH(Table_Main[[#This Row],[Ngày lên đơn]]),0)</f>
        <v>3</v>
      </c>
      <c r="N63" s="51">
        <f>IF(Table_Main[[#This Row],[Ngày lên đơn]]=0,"",Table_Main[[#This Row],[Ngày xuất nhập]]-Table_Main[[#This Row],[Ngày lên đơn]])</f>
        <v>0</v>
      </c>
      <c r="O63" s="230" t="s">
        <v>53</v>
      </c>
      <c r="P63" s="230" t="s">
        <v>1155</v>
      </c>
      <c r="Q63" s="404">
        <v>1</v>
      </c>
      <c r="R63" s="516"/>
      <c r="S63" s="530">
        <f>IFERROR(VLOOKUP(Table_Main[[#This Row],[Đơn Mua]],Table_DonMua[[Mã Đơn mua]:[Add]],COUNTA(Table_DonMua[[#Headers],[Mã Đơn mua]:[Mã Đối tác]]),0),0)</f>
        <v>0</v>
      </c>
      <c r="T63" s="405"/>
      <c r="U63" s="48">
        <f xml:space="preserve">
IF(NOT(ISBLANK(Table_Main[[#This Row],[Đơn Mua]])),Table_Main[[#This Row],[Số lượng]]*Table_Main[[#This Row],[Giá nhập]],Table_Main[[#This Row],[Số lượng]]*Table_Main[[#This Row],[Giá trị bình quân đầu ngày]])</f>
        <v>90132.701492537308</v>
      </c>
      <c r="V6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3" s="48">
        <f>IF(Table_Main[[#This Row],[Đơn Mua]]="", 0,IFERROR(Table_Main[[#This Row],[Tỷ suất VAT khấu trừ]]*(Table_Main[[#This Row],[Giá trị hàng nhập]]/(1+Table_Main[[#This Row],[Tỷ suất VAT khấu trừ]])),0))</f>
        <v>0</v>
      </c>
      <c r="X63" s="516" t="s">
        <v>1200</v>
      </c>
      <c r="Y63" s="28" t="str">
        <f>IFERROR(VLOOKUP(Table_Main[[#This Row],[Đơn bán]],Table_DonBan[[Mã Đơn bán]:[Add]],COUNTA(Table_DonBan[[#Headers],[Mã Đơn bán]:[Mã Khách]]),0),0)</f>
        <v>KH1</v>
      </c>
      <c r="Z63" s="48">
        <f>IF(ISBLANK(Table_Main[[#This Row],[Đơn bán]]),0,
VLOOKUP(Table_Main[[#This Row],[Mã SKU]],Table_SKU[[Mã SKU]:[Giá bán]],COUNTA(Table_SKU[[#Headers],[Mã SKU]:[Giá bán]]),0))</f>
        <v>100000</v>
      </c>
      <c r="AA63" s="48">
        <f>IF(ISBLANK(Table_Main[[#This Row],[Đơn bán]]),0,
IF(Table_Main[[#This Row],[Loại]] = "Xuất",Table_Main[[#This Row],[Giá bán niêm yết]]*Table_Main[[#This Row],[Số lượng]],-Table_Main[[#This Row],[Giá bán niêm yết]]*Table_Main[[#This Row],[Số lượng]]))</f>
        <v>100000</v>
      </c>
      <c r="AB63" s="230"/>
      <c r="AC6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100000</v>
      </c>
      <c r="AF63" s="66">
        <f>IFERROR(
VLOOKUP(Table_Main[[#This Row],[Mã SKU]],Table_SKU[[Mã SKU]:[Tỷ suất VAT]],COUNTA(Table_SKU[[#Headers],[Mã SKU]:[Tỷ suất VAT]]),0),0)</f>
        <v>0</v>
      </c>
      <c r="AG63" s="48">
        <f xml:space="preserve">
IF(Table_Main[[#This Row],[Đơn bán]]="", 0,Table_Main[[#This Row],[Tỷ suất VAT]]*Table_Main[[#This Row],[Giá trị bán trước VAT]])</f>
        <v>0</v>
      </c>
      <c r="AH63" s="51">
        <f>IFERROR(VLOOKUP(Table_Main[[#This Row],[Đơn bán]],Table_DonBan[[Mã Đơn bán]:[Add]],COUNTA(Table_DonBan[[#Headers],[Mã Đơn bán]:[Mã NV]]),0),0)</f>
        <v>0</v>
      </c>
      <c r="AI6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3" s="48">
        <f>IFERROR(Table_Main[[#This Row],[Giá trị bán trước VAT]]*Table_Main[[#This Row],[Tỷ lệ hoa hồng]],"")</f>
        <v>0</v>
      </c>
      <c r="AK63" s="48">
        <f>IFERROR(VLOOKUP(Table_Main[[#This Row],[Đơn bán]],Table_DonBan[[Mã Đơn bán]:[Add]],COUNTA(Table_DonBan[[#Headers],[Mã Đơn bán]:[Kênh]]),0),0)</f>
        <v>0</v>
      </c>
      <c r="AL6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3" s="48">
        <f>IFERROR(Table_Main[[#This Row],[Giá trị bán trước VAT]]*Table_Main[[#This Row],[Tỷ lệ CK kênh]],"")</f>
        <v>0</v>
      </c>
      <c r="AN63" s="230"/>
      <c r="AO63" s="232"/>
      <c r="AP63" s="226">
        <f>Table_Main[[#This Row],[ĐK - Phân loại]]*Table_Main[[#This Row],[ĐK - Thời gian]]*Table_Main[[#This Row],[ĐK - Giá trị]]*Table_Main[[#This Row],[ĐK - Số lượng]]*Table_Main[[#This Row],[ĐK - Sinh nhật]]*Table_Main[[#This Row],[ĐK - Ngày mua cuối]]</f>
        <v>1</v>
      </c>
      <c r="AQ63" s="226">
        <f xml:space="preserve">
IF(ISBLANK(Table_Main[[#This Row],[Chương trình]]),1,
IF(VLOOKUP(Table_Main[[#This Row],[Chương trình]],Table_ChuongTrinh[[Mã Chương trình]:[Đối tượng CK]],Sheet_ChuongTrinh!$C$1,0) = "Sản phẩm",1,0))</f>
        <v>1</v>
      </c>
      <c r="AR6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4" spans="2:48" ht="18" customHeight="1" x14ac:dyDescent="0.3">
      <c r="B64" s="524" t="s">
        <v>1151</v>
      </c>
      <c r="C64" s="516"/>
      <c r="D64" s="530" t="str">
        <f>IF(ISBLANK(Table_Main[[#This Row],[Mã SKU]]),Table_Main[[#This Row],[Mã Nguyên liệu]],Table_Main[[#This Row],[Mã SKU]])</f>
        <v>TP2</v>
      </c>
      <c r="E64" s="416" cm="1">
        <f t="array" ref="E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76</v>
      </c>
      <c r="F64" s="416" cm="1">
        <f t="array" ref="F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v>
      </c>
      <c r="G64" s="416" cm="1">
        <f t="array" ref="G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4" s="416" cm="1">
        <f t="array" ref="H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4" s="416">
        <f>IFERROR(Table_Main[[#This Row],[Giá trị tồn đầu ngày]]/Table_Main[[#This Row],[Tồn kho đầu ngày]],0)</f>
        <v>0</v>
      </c>
      <c r="J64" s="416">
        <f>IFERROR(Table_Main[[#This Row],[Giá trị tồn cuối ngày]]/Table_Main[[#This Row],[Tồn kho cuối ngày]],0)</f>
        <v>0</v>
      </c>
      <c r="K64" s="411">
        <v>45735</v>
      </c>
      <c r="L64" s="47">
        <f xml:space="preserve">
IFERROR(
IFERROR(
VLOOKUP(Table_Main[[#This Row],[Đơn Mua]],Table_DonMua[[Mã Đơn mua]:[Add]],COUNTA(Table_DonMua[[#Headers],[Mã Đơn mua]:[Ngày lập]]),0),
VLOOKUP(Table_Main[[#This Row],[Đơn bán]],Table_DonBan[[Mã Đơn bán]:[Add]], COUNTA(Table_DonBan[[#Headers],[Mã Đơn bán]:[Ngày lập]]),0)),0)</f>
        <v>45735</v>
      </c>
      <c r="M64" s="29">
        <f>IFERROR(MONTH(Table_Main[[#This Row],[Ngày lên đơn]]),0)</f>
        <v>3</v>
      </c>
      <c r="N64" s="51">
        <f>IF(Table_Main[[#This Row],[Ngày lên đơn]]=0,"",Table_Main[[#This Row],[Ngày xuất nhập]]-Table_Main[[#This Row],[Ngày lên đơn]])</f>
        <v>0</v>
      </c>
      <c r="O64" s="230" t="s">
        <v>53</v>
      </c>
      <c r="P64" s="230" t="s">
        <v>1155</v>
      </c>
      <c r="Q64" s="404">
        <v>48</v>
      </c>
      <c r="R64" s="516"/>
      <c r="S64" s="530">
        <f>IFERROR(VLOOKUP(Table_Main[[#This Row],[Đơn Mua]],Table_DonMua[[Mã Đơn mua]:[Add]],COUNTA(Table_DonMua[[#Headers],[Mã Đơn mua]:[Mã Đối tác]]),0),0)</f>
        <v>0</v>
      </c>
      <c r="T64" s="405"/>
      <c r="U64" s="48">
        <f xml:space="preserve">
IF(NOT(ISBLANK(Table_Main[[#This Row],[Đơn Mua]])),Table_Main[[#This Row],[Số lượng]]*Table_Main[[#This Row],[Giá nhập]],Table_Main[[#This Row],[Số lượng]]*Table_Main[[#This Row],[Giá trị bình quân đầu ngày]])</f>
        <v>0</v>
      </c>
      <c r="V6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4" s="48">
        <f>IF(Table_Main[[#This Row],[Đơn Mua]]="", 0,IFERROR(Table_Main[[#This Row],[Tỷ suất VAT khấu trừ]]*(Table_Main[[#This Row],[Giá trị hàng nhập]]/(1+Table_Main[[#This Row],[Tỷ suất VAT khấu trừ]])),0))</f>
        <v>0</v>
      </c>
      <c r="X64" s="516" t="s">
        <v>1199</v>
      </c>
      <c r="Y64" s="28" t="str">
        <f>IFERROR(VLOOKUP(Table_Main[[#This Row],[Đơn bán]],Table_DonBan[[Mã Đơn bán]:[Add]],COUNTA(Table_DonBan[[#Headers],[Mã Đơn bán]:[Mã Khách]]),0),0)</f>
        <v>KH2</v>
      </c>
      <c r="Z64" s="48">
        <f>IF(ISBLANK(Table_Main[[#This Row],[Đơn bán]]),0,
VLOOKUP(Table_Main[[#This Row],[Mã SKU]],Table_SKU[[Mã SKU]:[Giá bán]],COUNTA(Table_SKU[[#Headers],[Mã SKU]:[Giá bán]]),0))</f>
        <v>500000</v>
      </c>
      <c r="AA64" s="48">
        <f>IF(ISBLANK(Table_Main[[#This Row],[Đơn bán]]),0,
IF(Table_Main[[#This Row],[Loại]] = "Xuất",Table_Main[[#This Row],[Giá bán niêm yết]]*Table_Main[[#This Row],[Số lượng]],-Table_Main[[#This Row],[Giá bán niêm yết]]*Table_Main[[#This Row],[Số lượng]]))</f>
        <v>24000000</v>
      </c>
      <c r="AB64" s="230"/>
      <c r="AC6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24000000</v>
      </c>
      <c r="AF64" s="66">
        <f>IFERROR(
VLOOKUP(Table_Main[[#This Row],[Mã SKU]],Table_SKU[[Mã SKU]:[Tỷ suất VAT]],COUNTA(Table_SKU[[#Headers],[Mã SKU]:[Tỷ suất VAT]]),0),0)</f>
        <v>0</v>
      </c>
      <c r="AG64" s="48">
        <f xml:space="preserve">
IF(Table_Main[[#This Row],[Đơn bán]]="", 0,Table_Main[[#This Row],[Tỷ suất VAT]]*Table_Main[[#This Row],[Giá trị bán trước VAT]])</f>
        <v>0</v>
      </c>
      <c r="AH64" s="51">
        <f>IFERROR(VLOOKUP(Table_Main[[#This Row],[Đơn bán]],Table_DonBan[[Mã Đơn bán]:[Add]],COUNTA(Table_DonBan[[#Headers],[Mã Đơn bán]:[Mã NV]]),0),0)</f>
        <v>0</v>
      </c>
      <c r="AI6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4" s="48">
        <f>IFERROR(Table_Main[[#This Row],[Giá trị bán trước VAT]]*Table_Main[[#This Row],[Tỷ lệ hoa hồng]],"")</f>
        <v>0</v>
      </c>
      <c r="AK64" s="48">
        <f>IFERROR(VLOOKUP(Table_Main[[#This Row],[Đơn bán]],Table_DonBan[[Mã Đơn bán]:[Add]],COUNTA(Table_DonBan[[#Headers],[Mã Đơn bán]:[Kênh]]),0),0)</f>
        <v>0</v>
      </c>
      <c r="AL6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4" s="48">
        <f>IFERROR(Table_Main[[#This Row],[Giá trị bán trước VAT]]*Table_Main[[#This Row],[Tỷ lệ CK kênh]],"")</f>
        <v>0</v>
      </c>
      <c r="AN64" s="230"/>
      <c r="AO64" s="232"/>
      <c r="AP64" s="226">
        <f>Table_Main[[#This Row],[ĐK - Phân loại]]*Table_Main[[#This Row],[ĐK - Thời gian]]*Table_Main[[#This Row],[ĐK - Giá trị]]*Table_Main[[#This Row],[ĐK - Số lượng]]*Table_Main[[#This Row],[ĐK - Sinh nhật]]*Table_Main[[#This Row],[ĐK - Ngày mua cuối]]</f>
        <v>1</v>
      </c>
      <c r="AQ64" s="226">
        <f xml:space="preserve">
IF(ISBLANK(Table_Main[[#This Row],[Chương trình]]),1,
IF(VLOOKUP(Table_Main[[#This Row],[Chương trình]],Table_ChuongTrinh[[Mã Chương trình]:[Đối tượng CK]],Sheet_ChuongTrinh!$C$1,0) = "Sản phẩm",1,0))</f>
        <v>1</v>
      </c>
      <c r="AR6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5" spans="2:48" ht="18" customHeight="1" x14ac:dyDescent="0.3">
      <c r="B65" s="524" t="s">
        <v>1150</v>
      </c>
      <c r="C65" s="516"/>
      <c r="D65" s="530" t="str">
        <f>IF(ISBLANK(Table_Main[[#This Row],[Mã SKU]]),Table_Main[[#This Row],[Mã Nguyên liệu]],Table_Main[[#This Row],[Mã SKU]])</f>
        <v>TP1</v>
      </c>
      <c r="E65" s="416" cm="1">
        <f t="array" ref="E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68</v>
      </c>
      <c r="F65" s="416" cm="1">
        <f t="array" ref="F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91</v>
      </c>
      <c r="G65" s="416" cm="1">
        <f t="array" ref="G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5" s="416" cm="1">
        <f t="array" ref="H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5" s="416">
        <f>IFERROR(Table_Main[[#This Row],[Giá trị tồn đầu ngày]]/Table_Main[[#This Row],[Tồn kho đầu ngày]],0)</f>
        <v>0</v>
      </c>
      <c r="J65" s="416">
        <f>IFERROR(Table_Main[[#This Row],[Giá trị tồn cuối ngày]]/Table_Main[[#This Row],[Tồn kho cuối ngày]],0)</f>
        <v>0</v>
      </c>
      <c r="K65" s="411">
        <v>45734</v>
      </c>
      <c r="L6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5" s="29">
        <f>IFERROR(MONTH(Table_Main[[#This Row],[Ngày lên đơn]]),0)</f>
        <v>1</v>
      </c>
      <c r="N65" s="51" t="str">
        <f>IF(Table_Main[[#This Row],[Ngày lên đơn]]=0,"",Table_Main[[#This Row],[Ngày xuất nhập]]-Table_Main[[#This Row],[Ngày lên đơn]])</f>
        <v/>
      </c>
      <c r="O65" s="230" t="s">
        <v>1154</v>
      </c>
      <c r="P65" s="230" t="s">
        <v>1155</v>
      </c>
      <c r="Q65" s="404">
        <v>23</v>
      </c>
      <c r="R65" s="516"/>
      <c r="S65" s="530">
        <f>IFERROR(VLOOKUP(Table_Main[[#This Row],[Đơn Mua]],Table_DonMua[[Mã Đơn mua]:[Add]],COUNTA(Table_DonMua[[#Headers],[Mã Đơn mua]:[Mã Đối tác]]),0),0)</f>
        <v>0</v>
      </c>
      <c r="T65" s="405"/>
      <c r="U65" s="48">
        <f xml:space="preserve">
IF(NOT(ISBLANK(Table_Main[[#This Row],[Đơn Mua]])),Table_Main[[#This Row],[Số lượng]]*Table_Main[[#This Row],[Giá nhập]],Table_Main[[#This Row],[Số lượng]]*Table_Main[[#This Row],[Giá trị bình quân đầu ngày]])</f>
        <v>0</v>
      </c>
      <c r="V6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5" s="48">
        <f>IF(Table_Main[[#This Row],[Đơn Mua]]="", 0,IFERROR(Table_Main[[#This Row],[Tỷ suất VAT khấu trừ]]*(Table_Main[[#This Row],[Giá trị hàng nhập]]/(1+Table_Main[[#This Row],[Tỷ suất VAT khấu trừ]])),0))</f>
        <v>0</v>
      </c>
      <c r="X65" s="516"/>
      <c r="Y65" s="28">
        <f>IFERROR(VLOOKUP(Table_Main[[#This Row],[Đơn bán]],Table_DonBan[[Mã Đơn bán]:[Add]],COUNTA(Table_DonBan[[#Headers],[Mã Đơn bán]:[Mã Khách]]),0),0)</f>
        <v>0</v>
      </c>
      <c r="Z65" s="48">
        <f>IF(ISBLANK(Table_Main[[#This Row],[Đơn bán]]),0,
VLOOKUP(Table_Main[[#This Row],[Mã SKU]],Table_SKU[[Mã SKU]:[Giá bán]],COUNTA(Table_SKU[[#Headers],[Mã SKU]:[Giá bán]]),0))</f>
        <v>0</v>
      </c>
      <c r="AA65" s="48">
        <f>IF(ISBLANK(Table_Main[[#This Row],[Đơn bán]]),0,
IF(Table_Main[[#This Row],[Loại]] = "Xuất",Table_Main[[#This Row],[Giá bán niêm yết]]*Table_Main[[#This Row],[Số lượng]],-Table_Main[[#This Row],[Giá bán niêm yết]]*Table_Main[[#This Row],[Số lượng]]))</f>
        <v>0</v>
      </c>
      <c r="AB65" s="230"/>
      <c r="AC6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5" s="66">
        <f>IFERROR(
VLOOKUP(Table_Main[[#This Row],[Mã SKU]],Table_SKU[[Mã SKU]:[Tỷ suất VAT]],COUNTA(Table_SKU[[#Headers],[Mã SKU]:[Tỷ suất VAT]]),0),0)</f>
        <v>0</v>
      </c>
      <c r="AG65" s="48">
        <f xml:space="preserve">
IF(Table_Main[[#This Row],[Đơn bán]]="", 0,Table_Main[[#This Row],[Tỷ suất VAT]]*Table_Main[[#This Row],[Giá trị bán trước VAT]])</f>
        <v>0</v>
      </c>
      <c r="AH65" s="51">
        <f>IFERROR(VLOOKUP(Table_Main[[#This Row],[Đơn bán]],Table_DonBan[[Mã Đơn bán]:[Add]],COUNTA(Table_DonBan[[#Headers],[Mã Đơn bán]:[Mã NV]]),0),0)</f>
        <v>0</v>
      </c>
      <c r="AI6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5" s="48">
        <f>IFERROR(Table_Main[[#This Row],[Giá trị bán trước VAT]]*Table_Main[[#This Row],[Tỷ lệ hoa hồng]],"")</f>
        <v>0</v>
      </c>
      <c r="AK65" s="48">
        <f>IFERROR(VLOOKUP(Table_Main[[#This Row],[Đơn bán]],Table_DonBan[[Mã Đơn bán]:[Add]],COUNTA(Table_DonBan[[#Headers],[Mã Đơn bán]:[Kênh]]),0),0)</f>
        <v>0</v>
      </c>
      <c r="AL6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5" s="48">
        <f>IFERROR(Table_Main[[#This Row],[Giá trị bán trước VAT]]*Table_Main[[#This Row],[Tỷ lệ CK kênh]],"")</f>
        <v>0</v>
      </c>
      <c r="AN65" s="230"/>
      <c r="AO65" s="232"/>
      <c r="AP65" s="226">
        <f>Table_Main[[#This Row],[ĐK - Phân loại]]*Table_Main[[#This Row],[ĐK - Thời gian]]*Table_Main[[#This Row],[ĐK - Giá trị]]*Table_Main[[#This Row],[ĐK - Số lượng]]*Table_Main[[#This Row],[ĐK - Sinh nhật]]*Table_Main[[#This Row],[ĐK - Ngày mua cuối]]</f>
        <v>1</v>
      </c>
      <c r="AQ65" s="226">
        <f xml:space="preserve">
IF(ISBLANK(Table_Main[[#This Row],[Chương trình]]),1,
IF(VLOOKUP(Table_Main[[#This Row],[Chương trình]],Table_ChuongTrinh[[Mã Chương trình]:[Đối tượng CK]],Sheet_ChuongTrinh!$C$1,0) = "Sản phẩm",1,0))</f>
        <v>1</v>
      </c>
      <c r="AR6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6" spans="2:48" ht="18" customHeight="1" x14ac:dyDescent="0.3">
      <c r="B66" s="524" t="s">
        <v>1150</v>
      </c>
      <c r="C66" s="516"/>
      <c r="D66" s="530" t="str">
        <f>IF(ISBLANK(Table_Main[[#This Row],[Mã SKU]]),Table_Main[[#This Row],[Mã Nguyên liệu]],Table_Main[[#This Row],[Mã SKU]])</f>
        <v>TP1</v>
      </c>
      <c r="E66" s="416" cm="1">
        <f t="array" ref="E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66" s="416" cm="1">
        <f t="array" ref="F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68</v>
      </c>
      <c r="G66" s="416" cm="1">
        <f t="array" ref="G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6" s="416" cm="1">
        <f t="array" ref="H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6" s="416">
        <f>IFERROR(Table_Main[[#This Row],[Giá trị tồn đầu ngày]]/Table_Main[[#This Row],[Tồn kho đầu ngày]],0)</f>
        <v>0</v>
      </c>
      <c r="J66" s="416">
        <f>IFERROR(Table_Main[[#This Row],[Giá trị tồn cuối ngày]]/Table_Main[[#This Row],[Tồn kho cuối ngày]],0)</f>
        <v>0</v>
      </c>
      <c r="K66" s="411">
        <v>45733</v>
      </c>
      <c r="L6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6" s="29">
        <f>IFERROR(MONTH(Table_Main[[#This Row],[Ngày lên đơn]]),0)</f>
        <v>1</v>
      </c>
      <c r="N66" s="51" t="str">
        <f>IF(Table_Main[[#This Row],[Ngày lên đơn]]=0,"",Table_Main[[#This Row],[Ngày xuất nhập]]-Table_Main[[#This Row],[Ngày lên đơn]])</f>
        <v/>
      </c>
      <c r="O66" s="230" t="s">
        <v>1154</v>
      </c>
      <c r="P66" s="230" t="s">
        <v>1155</v>
      </c>
      <c r="Q66" s="404">
        <v>33</v>
      </c>
      <c r="R66" s="516"/>
      <c r="S66" s="530">
        <f>IFERROR(VLOOKUP(Table_Main[[#This Row],[Đơn Mua]],Table_DonMua[[Mã Đơn mua]:[Add]],COUNTA(Table_DonMua[[#Headers],[Mã Đơn mua]:[Mã Đối tác]]),0),0)</f>
        <v>0</v>
      </c>
      <c r="T66" s="405"/>
      <c r="U66" s="48">
        <f xml:space="preserve">
IF(NOT(ISBLANK(Table_Main[[#This Row],[Đơn Mua]])),Table_Main[[#This Row],[Số lượng]]*Table_Main[[#This Row],[Giá nhập]],Table_Main[[#This Row],[Số lượng]]*Table_Main[[#This Row],[Giá trị bình quân đầu ngày]])</f>
        <v>0</v>
      </c>
      <c r="V6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6" s="48">
        <f>IF(Table_Main[[#This Row],[Đơn Mua]]="", 0,IFERROR(Table_Main[[#This Row],[Tỷ suất VAT khấu trừ]]*(Table_Main[[#This Row],[Giá trị hàng nhập]]/(1+Table_Main[[#This Row],[Tỷ suất VAT khấu trừ]])),0))</f>
        <v>0</v>
      </c>
      <c r="X66" s="516"/>
      <c r="Y66" s="28">
        <f>IFERROR(VLOOKUP(Table_Main[[#This Row],[Đơn bán]],Table_DonBan[[Mã Đơn bán]:[Add]],COUNTA(Table_DonBan[[#Headers],[Mã Đơn bán]:[Mã Khách]]),0),0)</f>
        <v>0</v>
      </c>
      <c r="Z66" s="48">
        <f>IF(ISBLANK(Table_Main[[#This Row],[Đơn bán]]),0,
VLOOKUP(Table_Main[[#This Row],[Mã SKU]],Table_SKU[[Mã SKU]:[Giá bán]],COUNTA(Table_SKU[[#Headers],[Mã SKU]:[Giá bán]]),0))</f>
        <v>0</v>
      </c>
      <c r="AA66" s="48">
        <f>IF(ISBLANK(Table_Main[[#This Row],[Đơn bán]]),0,
IF(Table_Main[[#This Row],[Loại]] = "Xuất",Table_Main[[#This Row],[Giá bán niêm yết]]*Table_Main[[#This Row],[Số lượng]],-Table_Main[[#This Row],[Giá bán niêm yết]]*Table_Main[[#This Row],[Số lượng]]))</f>
        <v>0</v>
      </c>
      <c r="AB66" s="230"/>
      <c r="AC6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6" s="66">
        <f>IFERROR(
VLOOKUP(Table_Main[[#This Row],[Mã SKU]],Table_SKU[[Mã SKU]:[Tỷ suất VAT]],COUNTA(Table_SKU[[#Headers],[Mã SKU]:[Tỷ suất VAT]]),0),0)</f>
        <v>0</v>
      </c>
      <c r="AG66" s="48">
        <f xml:space="preserve">
IF(Table_Main[[#This Row],[Đơn bán]]="", 0,Table_Main[[#This Row],[Tỷ suất VAT]]*Table_Main[[#This Row],[Giá trị bán trước VAT]])</f>
        <v>0</v>
      </c>
      <c r="AH66" s="51">
        <f>IFERROR(VLOOKUP(Table_Main[[#This Row],[Đơn bán]],Table_DonBan[[Mã Đơn bán]:[Add]],COUNTA(Table_DonBan[[#Headers],[Mã Đơn bán]:[Mã NV]]),0),0)</f>
        <v>0</v>
      </c>
      <c r="AI6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6" s="48">
        <f>IFERROR(Table_Main[[#This Row],[Giá trị bán trước VAT]]*Table_Main[[#This Row],[Tỷ lệ hoa hồng]],"")</f>
        <v>0</v>
      </c>
      <c r="AK66" s="48">
        <f>IFERROR(VLOOKUP(Table_Main[[#This Row],[Đơn bán]],Table_DonBan[[Mã Đơn bán]:[Add]],COUNTA(Table_DonBan[[#Headers],[Mã Đơn bán]:[Kênh]]),0),0)</f>
        <v>0</v>
      </c>
      <c r="AL6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6" s="48">
        <f>IFERROR(Table_Main[[#This Row],[Giá trị bán trước VAT]]*Table_Main[[#This Row],[Tỷ lệ CK kênh]],"")</f>
        <v>0</v>
      </c>
      <c r="AN66" s="230"/>
      <c r="AO66" s="232"/>
      <c r="AP66" s="226">
        <f>Table_Main[[#This Row],[ĐK - Phân loại]]*Table_Main[[#This Row],[ĐK - Thời gian]]*Table_Main[[#This Row],[ĐK - Giá trị]]*Table_Main[[#This Row],[ĐK - Số lượng]]*Table_Main[[#This Row],[ĐK - Sinh nhật]]*Table_Main[[#This Row],[ĐK - Ngày mua cuối]]</f>
        <v>1</v>
      </c>
      <c r="AQ66" s="226">
        <f xml:space="preserve">
IF(ISBLANK(Table_Main[[#This Row],[Chương trình]]),1,
IF(VLOOKUP(Table_Main[[#This Row],[Chương trình]],Table_ChuongTrinh[[Mã Chương trình]:[Đối tượng CK]],Sheet_ChuongTrinh!$C$1,0) = "Sản phẩm",1,0))</f>
        <v>1</v>
      </c>
      <c r="AR6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7" spans="2:48" ht="18" customHeight="1" x14ac:dyDescent="0.3">
      <c r="B67" s="524" t="s">
        <v>1149</v>
      </c>
      <c r="C67" s="516"/>
      <c r="D67" s="530" t="str">
        <f>IF(ISBLANK(Table_Main[[#This Row],[Mã SKU]]),Table_Main[[#This Row],[Mã Nguyên liệu]],Table_Main[[#This Row],[Mã SKU]])</f>
        <v>HH1</v>
      </c>
      <c r="E67" s="416" cm="1">
        <f t="array" ref="E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111</v>
      </c>
      <c r="F67" s="416" cm="1">
        <f t="array" ref="F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134</v>
      </c>
      <c r="G67" s="416" cm="1">
        <f t="array" ref="G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8880000</v>
      </c>
      <c r="H67" s="416" cm="1">
        <f t="array" ref="H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12077782</v>
      </c>
      <c r="I67" s="416">
        <f>IFERROR(Table_Main[[#This Row],[Giá trị tồn đầu ngày]]/Table_Main[[#This Row],[Tồn kho đầu ngày]],0)</f>
        <v>80000</v>
      </c>
      <c r="J67" s="416">
        <f>IFERROR(Table_Main[[#This Row],[Giá trị tồn cuối ngày]]/Table_Main[[#This Row],[Tồn kho cuối ngày]],0)</f>
        <v>90132.701492537308</v>
      </c>
      <c r="K67" s="411">
        <v>45732</v>
      </c>
      <c r="L67" s="47">
        <f xml:space="preserve">
IFERROR(
IFERROR(
VLOOKUP(Table_Main[[#This Row],[Đơn Mua]],Table_DonMua[[Mã Đơn mua]:[Add]],COUNTA(Table_DonMua[[#Headers],[Mã Đơn mua]:[Ngày lập]]),0),
VLOOKUP(Table_Main[[#This Row],[Đơn bán]],Table_DonBan[[Mã Đơn bán]:[Add]], COUNTA(Table_DonBan[[#Headers],[Mã Đơn bán]:[Ngày lập]]),0)),0)</f>
        <v>45732</v>
      </c>
      <c r="M67" s="29">
        <f>IFERROR(MONTH(Table_Main[[#This Row],[Ngày lên đơn]]),0)</f>
        <v>3</v>
      </c>
      <c r="N67" s="51">
        <f>IF(Table_Main[[#This Row],[Ngày lên đơn]]=0,"",Table_Main[[#This Row],[Ngày xuất nhập]]-Table_Main[[#This Row],[Ngày lên đơn]])</f>
        <v>0</v>
      </c>
      <c r="O67" s="230" t="s">
        <v>1154</v>
      </c>
      <c r="P67" s="230" t="s">
        <v>1155</v>
      </c>
      <c r="Q67" s="404">
        <v>23</v>
      </c>
      <c r="R67" s="516" t="s">
        <v>1165</v>
      </c>
      <c r="S67" s="530" t="str">
        <f>IFERROR(VLOOKUP(Table_Main[[#This Row],[Đơn Mua]],Table_DonMua[[Mã Đơn mua]:[Add]],COUNTA(Table_DonMua[[#Headers],[Mã Đơn mua]:[Mã Đối tác]]),0),0)</f>
        <v>NCC1</v>
      </c>
      <c r="T67" s="405">
        <v>139034</v>
      </c>
      <c r="U67" s="48">
        <f xml:space="preserve">
IF(NOT(ISBLANK(Table_Main[[#This Row],[Đơn Mua]])),Table_Main[[#This Row],[Số lượng]]*Table_Main[[#This Row],[Giá nhập]],Table_Main[[#This Row],[Số lượng]]*Table_Main[[#This Row],[Giá trị bình quân đầu ngày]])</f>
        <v>3197782</v>
      </c>
      <c r="V6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7" s="48">
        <f>IF(Table_Main[[#This Row],[Đơn Mua]]="", 0,IFERROR(Table_Main[[#This Row],[Tỷ suất VAT khấu trừ]]*(Table_Main[[#This Row],[Giá trị hàng nhập]]/(1+Table_Main[[#This Row],[Tỷ suất VAT khấu trừ]])),0))</f>
        <v>0</v>
      </c>
      <c r="X67" s="516"/>
      <c r="Y67" s="28">
        <f>IFERROR(VLOOKUP(Table_Main[[#This Row],[Đơn bán]],Table_DonBan[[Mã Đơn bán]:[Add]],COUNTA(Table_DonBan[[#Headers],[Mã Đơn bán]:[Mã Khách]]),0),0)</f>
        <v>0</v>
      </c>
      <c r="Z67" s="48">
        <f>IF(ISBLANK(Table_Main[[#This Row],[Đơn bán]]),0,
VLOOKUP(Table_Main[[#This Row],[Mã SKU]],Table_SKU[[Mã SKU]:[Giá bán]],COUNTA(Table_SKU[[#Headers],[Mã SKU]:[Giá bán]]),0))</f>
        <v>0</v>
      </c>
      <c r="AA67" s="48">
        <f>IF(ISBLANK(Table_Main[[#This Row],[Đơn bán]]),0,
IF(Table_Main[[#This Row],[Loại]] = "Xuất",Table_Main[[#This Row],[Giá bán niêm yết]]*Table_Main[[#This Row],[Số lượng]],-Table_Main[[#This Row],[Giá bán niêm yết]]*Table_Main[[#This Row],[Số lượng]]))</f>
        <v>0</v>
      </c>
      <c r="AB67" s="230"/>
      <c r="AC6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7" s="66">
        <f>IFERROR(
VLOOKUP(Table_Main[[#This Row],[Mã SKU]],Table_SKU[[Mã SKU]:[Tỷ suất VAT]],COUNTA(Table_SKU[[#Headers],[Mã SKU]:[Tỷ suất VAT]]),0),0)</f>
        <v>0</v>
      </c>
      <c r="AG67" s="48">
        <f xml:space="preserve">
IF(Table_Main[[#This Row],[Đơn bán]]="", 0,Table_Main[[#This Row],[Tỷ suất VAT]]*Table_Main[[#This Row],[Giá trị bán trước VAT]])</f>
        <v>0</v>
      </c>
      <c r="AH67" s="51">
        <f>IFERROR(VLOOKUP(Table_Main[[#This Row],[Đơn bán]],Table_DonBan[[Mã Đơn bán]:[Add]],COUNTA(Table_DonBan[[#Headers],[Mã Đơn bán]:[Mã NV]]),0),0)</f>
        <v>0</v>
      </c>
      <c r="AI6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7" s="48">
        <f>IFERROR(Table_Main[[#This Row],[Giá trị bán trước VAT]]*Table_Main[[#This Row],[Tỷ lệ hoa hồng]],"")</f>
        <v>0</v>
      </c>
      <c r="AK67" s="48">
        <f>IFERROR(VLOOKUP(Table_Main[[#This Row],[Đơn bán]],Table_DonBan[[Mã Đơn bán]:[Add]],COUNTA(Table_DonBan[[#Headers],[Mã Đơn bán]:[Kênh]]),0),0)</f>
        <v>0</v>
      </c>
      <c r="AL6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7" s="48">
        <f>IFERROR(Table_Main[[#This Row],[Giá trị bán trước VAT]]*Table_Main[[#This Row],[Tỷ lệ CK kênh]],"")</f>
        <v>0</v>
      </c>
      <c r="AN67" s="230"/>
      <c r="AO67" s="232"/>
      <c r="AP67" s="226">
        <f>Table_Main[[#This Row],[ĐK - Phân loại]]*Table_Main[[#This Row],[ĐK - Thời gian]]*Table_Main[[#This Row],[ĐK - Giá trị]]*Table_Main[[#This Row],[ĐK - Số lượng]]*Table_Main[[#This Row],[ĐK - Sinh nhật]]*Table_Main[[#This Row],[ĐK - Ngày mua cuối]]</f>
        <v>1</v>
      </c>
      <c r="AQ67" s="226">
        <f xml:space="preserve">
IF(ISBLANK(Table_Main[[#This Row],[Chương trình]]),1,
IF(VLOOKUP(Table_Main[[#This Row],[Chương trình]],Table_ChuongTrinh[[Mã Chương trình]:[Đối tượng CK]],Sheet_ChuongTrinh!$C$1,0) = "Sản phẩm",1,0))</f>
        <v>1</v>
      </c>
      <c r="AR6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8" spans="2:48" ht="18" customHeight="1" x14ac:dyDescent="0.15">
      <c r="B68" s="236"/>
      <c r="C68" s="517" t="s">
        <v>1152</v>
      </c>
      <c r="D68" s="532" t="str">
        <f>IF(ISBLANK(Table_Main[[#This Row],[Mã SKU]]),Table_Main[[#This Row],[Mã Nguyên liệu]],Table_Main[[#This Row],[Mã SKU]])</f>
        <v>NL2</v>
      </c>
      <c r="E68" s="416" cm="1">
        <f t="array" ref="E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68" s="416" cm="1">
        <f t="array" ref="F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118</v>
      </c>
      <c r="G68" s="416" cm="1">
        <f t="array" ref="G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22500000</v>
      </c>
      <c r="H68" s="416" cm="1">
        <f t="array" ref="H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17700000</v>
      </c>
      <c r="I68" s="416">
        <f>IFERROR(Table_Main[[#This Row],[Giá trị tồn đầu ngày]]/Table_Main[[#This Row],[Tồn kho đầu ngày]],0)</f>
        <v>150000</v>
      </c>
      <c r="J68" s="416">
        <f>IFERROR(Table_Main[[#This Row],[Giá trị tồn cuối ngày]]/Table_Main[[#This Row],[Tồn kho cuối ngày]],0)</f>
        <v>150000</v>
      </c>
      <c r="K68" s="411">
        <v>45730</v>
      </c>
      <c r="L6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8" s="29">
        <f>IFERROR(MONTH(Table_Main[[#This Row],[Ngày lên đơn]]),0)</f>
        <v>1</v>
      </c>
      <c r="N68" s="544" t="str">
        <f>IF(Table_Main[[#This Row],[Ngày lên đơn]]=0,"",Table_Main[[#This Row],[Ngày xuất nhập]]-Table_Main[[#This Row],[Ngày lên đơn]])</f>
        <v/>
      </c>
      <c r="O68" s="7" t="s">
        <v>53</v>
      </c>
      <c r="P68" s="230" t="s">
        <v>1155</v>
      </c>
      <c r="Q68" s="518">
        <v>32</v>
      </c>
      <c r="R68" s="516"/>
      <c r="S68" s="543">
        <f>IFERROR(VLOOKUP(Table_Main[[#This Row],[Đơn Mua]],Table_DonMua[[Mã Đơn mua]:[Add]],COUNTA(Table_DonMua[[#Headers],[Mã Đơn mua]:[Mã Đối tác]]),0),0)</f>
        <v>0</v>
      </c>
      <c r="T68" s="427"/>
      <c r="U68" s="48">
        <f xml:space="preserve">
IF(NOT(ISBLANK(Table_Main[[#This Row],[Đơn Mua]])),Table_Main[[#This Row],[Số lượng]]*Table_Main[[#This Row],[Giá nhập]],Table_Main[[#This Row],[Số lượng]]*Table_Main[[#This Row],[Giá trị bình quân đầu ngày]])</f>
        <v>4800000</v>
      </c>
      <c r="V6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8" s="48">
        <f>IF(Table_Main[[#This Row],[Đơn Mua]]="", 0,IFERROR(Table_Main[[#This Row],[Tỷ suất VAT khấu trừ]]*(Table_Main[[#This Row],[Giá trị hàng nhập]]/(1+Table_Main[[#This Row],[Tỷ suất VAT khấu trừ]])),0))</f>
        <v>0</v>
      </c>
      <c r="X68" s="516"/>
      <c r="Y68" s="28">
        <f>IFERROR(VLOOKUP(Table_Main[[#This Row],[Đơn bán]],Table_DonBan[[Mã Đơn bán]:[Add]],COUNTA(Table_DonBan[[#Headers],[Mã Đơn bán]:[Mã Khách]]),0),0)</f>
        <v>0</v>
      </c>
      <c r="Z68" s="48">
        <f>IF(ISBLANK(Table_Main[[#This Row],[Đơn bán]]),0,
VLOOKUP(Table_Main[[#This Row],[Mã SKU]],Table_SKU[[Mã SKU]:[Giá bán]],COUNTA(Table_SKU[[#Headers],[Mã SKU]:[Giá bán]]),0))</f>
        <v>0</v>
      </c>
      <c r="AA68" s="48">
        <f>IF(ISBLANK(Table_Main[[#This Row],[Đơn bán]]),0,
IF(Table_Main[[#This Row],[Loại]] = "Xuất",Table_Main[[#This Row],[Giá bán niêm yết]]*Table_Main[[#This Row],[Số lượng]],-Table_Main[[#This Row],[Giá bán niêm yết]]*Table_Main[[#This Row],[Số lượng]]))</f>
        <v>0</v>
      </c>
      <c r="AB68" s="230"/>
      <c r="AC6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8" s="66">
        <f>IFERROR(
VLOOKUP(Table_Main[[#This Row],[Mã SKU]],Table_SKU[[Mã SKU]:[Tỷ suất VAT]],COUNTA(Table_SKU[[#Headers],[Mã SKU]:[Tỷ suất VAT]]),0),0)</f>
        <v>0</v>
      </c>
      <c r="AG68" s="48">
        <f xml:space="preserve">
IF(Table_Main[[#This Row],[Đơn bán]]="", 0,Table_Main[[#This Row],[Tỷ suất VAT]]*Table_Main[[#This Row],[Giá trị bán trước VAT]])</f>
        <v>0</v>
      </c>
      <c r="AH68" s="51">
        <f>IFERROR(VLOOKUP(Table_Main[[#This Row],[Đơn bán]],Table_DonBan[[Mã Đơn bán]:[Add]],COUNTA(Table_DonBan[[#Headers],[Mã Đơn bán]:[Mã NV]]),0),0)</f>
        <v>0</v>
      </c>
      <c r="AI6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8" s="48">
        <f>IFERROR(Table_Main[[#This Row],[Giá trị bán trước VAT]]*Table_Main[[#This Row],[Tỷ lệ hoa hồng]],"")</f>
        <v>0</v>
      </c>
      <c r="AK68" s="48">
        <f>IFERROR(VLOOKUP(Table_Main[[#This Row],[Đơn bán]],Table_DonBan[[Mã Đơn bán]:[Add]],COUNTA(Table_DonBan[[#Headers],[Mã Đơn bán]:[Kênh]]),0),0)</f>
        <v>0</v>
      </c>
      <c r="AL6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8" s="48">
        <f>IFERROR(Table_Main[[#This Row],[Giá trị bán trước VAT]]*Table_Main[[#This Row],[Tỷ lệ CK kênh]],"")</f>
        <v>0</v>
      </c>
      <c r="AN68" s="230"/>
      <c r="AO68" s="232"/>
      <c r="AP68" s="226">
        <f>Table_Main[[#This Row],[ĐK - Phân loại]]*Table_Main[[#This Row],[ĐK - Thời gian]]*Table_Main[[#This Row],[ĐK - Giá trị]]*Table_Main[[#This Row],[ĐK - Số lượng]]*Table_Main[[#This Row],[ĐK - Sinh nhật]]*Table_Main[[#This Row],[ĐK - Ngày mua cuối]]</f>
        <v>1</v>
      </c>
      <c r="AQ68" s="226">
        <f xml:space="preserve">
IF(ISBLANK(Table_Main[[#This Row],[Chương trình]]),1,
IF(VLOOKUP(Table_Main[[#This Row],[Chương trình]],Table_ChuongTrinh[[Mã Chương trình]:[Đối tượng CK]],Sheet_ChuongTrinh!$C$1,0) = "Sản phẩm",1,0))</f>
        <v>1</v>
      </c>
      <c r="AR6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9" spans="2:48" ht="18" customHeight="1" x14ac:dyDescent="0.3">
      <c r="B69" s="236"/>
      <c r="C69" s="238" t="s">
        <v>1153</v>
      </c>
      <c r="D69" s="531" t="str">
        <f>IF(ISBLANK(Table_Main[[#This Row],[Mã SKU]]),Table_Main[[#This Row],[Mã Nguyên liệu]],Table_Main[[#This Row],[Mã SKU]])</f>
        <v>NL1</v>
      </c>
      <c r="E69" s="416" cm="1">
        <f t="array" ref="E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v>
      </c>
      <c r="F69" s="416" cm="1">
        <f t="array" ref="F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165</v>
      </c>
      <c r="G69" s="416" cm="1">
        <f t="array" ref="G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15100000</v>
      </c>
      <c r="H69" s="416" cm="1">
        <f t="array" ref="H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16618566</v>
      </c>
      <c r="I69" s="416">
        <f>IFERROR(Table_Main[[#This Row],[Giá trị tồn đầu ngày]]/Table_Main[[#This Row],[Tồn kho đầu ngày]],0)</f>
        <v>100000</v>
      </c>
      <c r="J69" s="416">
        <f>IFERROR(Table_Main[[#This Row],[Giá trị tồn cuối ngày]]/Table_Main[[#This Row],[Tồn kho cuối ngày]],0)</f>
        <v>100718.58181818182</v>
      </c>
      <c r="K69" s="411">
        <v>45731</v>
      </c>
      <c r="L69" s="47">
        <f xml:space="preserve">
IFERROR(
IFERROR(
VLOOKUP(Table_Main[[#This Row],[Đơn Mua]],Table_DonMua[[Mã Đơn mua]:[Add]],COUNTA(Table_DonMua[[#Headers],[Mã Đơn mua]:[Ngày lập]]),0),
VLOOKUP(Table_Main[[#This Row],[Đơn bán]],Table_DonBan[[Mã Đơn bán]:[Add]], COUNTA(Table_DonBan[[#Headers],[Mã Đơn bán]:[Ngày lập]]),0)),0)</f>
        <v>45730</v>
      </c>
      <c r="M69" s="29">
        <f>IFERROR(MONTH(Table_Main[[#This Row],[Ngày lên đơn]]),0)</f>
        <v>3</v>
      </c>
      <c r="N69" s="51">
        <f>IF(Table_Main[[#This Row],[Ngày lên đơn]]=0,"",Table_Main[[#This Row],[Ngày xuất nhập]]-Table_Main[[#This Row],[Ngày lên đơn]])</f>
        <v>1</v>
      </c>
      <c r="O69" s="230" t="s">
        <v>1154</v>
      </c>
      <c r="P69" s="230" t="s">
        <v>1155</v>
      </c>
      <c r="Q69" s="404">
        <v>14</v>
      </c>
      <c r="R69" s="516" t="s">
        <v>1164</v>
      </c>
      <c r="S69" s="530" t="str">
        <f>IFERROR(VLOOKUP(Table_Main[[#This Row],[Đơn Mua]],Table_DonMua[[Mã Đơn mua]:[Add]],COUNTA(Table_DonMua[[#Headers],[Mã Đơn mua]:[Mã Đối tác]]),0),0)</f>
        <v>NCC2</v>
      </c>
      <c r="T69" s="405">
        <v>108469</v>
      </c>
      <c r="U69" s="48">
        <f xml:space="preserve">
IF(NOT(ISBLANK(Table_Main[[#This Row],[Đơn Mua]])),Table_Main[[#This Row],[Số lượng]]*Table_Main[[#This Row],[Giá nhập]],Table_Main[[#This Row],[Số lượng]]*Table_Main[[#This Row],[Giá trị bình quân đầu ngày]])</f>
        <v>1518566</v>
      </c>
      <c r="V6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9" s="48">
        <f>IF(Table_Main[[#This Row],[Đơn Mua]]="", 0,IFERROR(Table_Main[[#This Row],[Tỷ suất VAT khấu trừ]]*(Table_Main[[#This Row],[Giá trị hàng nhập]]/(1+Table_Main[[#This Row],[Tỷ suất VAT khấu trừ]])),0))</f>
        <v>0</v>
      </c>
      <c r="X69" s="516"/>
      <c r="Y69" s="28">
        <f>IFERROR(VLOOKUP(Table_Main[[#This Row],[Đơn bán]],Table_DonBan[[Mã Đơn bán]:[Add]],COUNTA(Table_DonBan[[#Headers],[Mã Đơn bán]:[Mã Khách]]),0),0)</f>
        <v>0</v>
      </c>
      <c r="Z69" s="48">
        <f>IF(ISBLANK(Table_Main[[#This Row],[Đơn bán]]),0,
VLOOKUP(Table_Main[[#This Row],[Mã SKU]],Table_SKU[[Mã SKU]:[Giá bán]],COUNTA(Table_SKU[[#Headers],[Mã SKU]:[Giá bán]]),0))</f>
        <v>0</v>
      </c>
      <c r="AA69" s="48">
        <f>IF(ISBLANK(Table_Main[[#This Row],[Đơn bán]]),0,
IF(Table_Main[[#This Row],[Loại]] = "Xuất",Table_Main[[#This Row],[Giá bán niêm yết]]*Table_Main[[#This Row],[Số lượng]],-Table_Main[[#This Row],[Giá bán niêm yết]]*Table_Main[[#This Row],[Số lượng]]))</f>
        <v>0</v>
      </c>
      <c r="AB69" s="230"/>
      <c r="AC6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9" s="66">
        <f>IFERROR(
VLOOKUP(Table_Main[[#This Row],[Mã SKU]],Table_SKU[[Mã SKU]:[Tỷ suất VAT]],COUNTA(Table_SKU[[#Headers],[Mã SKU]:[Tỷ suất VAT]]),0),0)</f>
        <v>0</v>
      </c>
      <c r="AG69" s="48">
        <f xml:space="preserve">
IF(Table_Main[[#This Row],[Đơn bán]]="", 0,Table_Main[[#This Row],[Tỷ suất VAT]]*Table_Main[[#This Row],[Giá trị bán trước VAT]])</f>
        <v>0</v>
      </c>
      <c r="AH69" s="51">
        <f>IFERROR(VLOOKUP(Table_Main[[#This Row],[Đơn bán]],Table_DonBan[[Mã Đơn bán]:[Add]],COUNTA(Table_DonBan[[#Headers],[Mã Đơn bán]:[Mã NV]]),0),0)</f>
        <v>0</v>
      </c>
      <c r="AI6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9" s="48">
        <f>IFERROR(Table_Main[[#This Row],[Giá trị bán trước VAT]]*Table_Main[[#This Row],[Tỷ lệ hoa hồng]],"")</f>
        <v>0</v>
      </c>
      <c r="AK69" s="48">
        <f>IFERROR(VLOOKUP(Table_Main[[#This Row],[Đơn bán]],Table_DonBan[[Mã Đơn bán]:[Add]],COUNTA(Table_DonBan[[#Headers],[Mã Đơn bán]:[Kênh]]),0),0)</f>
        <v>0</v>
      </c>
      <c r="AL6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9" s="48">
        <f>IFERROR(Table_Main[[#This Row],[Giá trị bán trước VAT]]*Table_Main[[#This Row],[Tỷ lệ CK kênh]],"")</f>
        <v>0</v>
      </c>
      <c r="AN69" s="230"/>
      <c r="AO69" s="232"/>
      <c r="AP69" s="226">
        <f>Table_Main[[#This Row],[ĐK - Phân loại]]*Table_Main[[#This Row],[ĐK - Thời gian]]*Table_Main[[#This Row],[ĐK - Giá trị]]*Table_Main[[#This Row],[ĐK - Số lượng]]*Table_Main[[#This Row],[ĐK - Sinh nhật]]*Table_Main[[#This Row],[ĐK - Ngày mua cuối]]</f>
        <v>1</v>
      </c>
      <c r="AQ69" s="226">
        <f xml:space="preserve">
IF(ISBLANK(Table_Main[[#This Row],[Chương trình]]),1,
IF(VLOOKUP(Table_Main[[#This Row],[Chương trình]],Table_ChuongTrinh[[Mã Chương trình]:[Đối tượng CK]],Sheet_ChuongTrinh!$C$1,0) = "Sản phẩm",1,0))</f>
        <v>1</v>
      </c>
      <c r="AR6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0" spans="2:48" ht="18" customHeight="1" x14ac:dyDescent="0.3">
      <c r="B70" s="524" t="s">
        <v>1149</v>
      </c>
      <c r="C70" s="516"/>
      <c r="D70" s="530" t="str">
        <f>IF(ISBLANK(Table_Main[[#This Row],[Mã SKU]]),Table_Main[[#This Row],[Mã Nguyên liệu]],Table_Main[[#This Row],[Mã SKU]])</f>
        <v>HH1</v>
      </c>
      <c r="E70" s="416" cm="1">
        <f t="array" ref="E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70" s="416" cm="1">
        <f t="array" ref="F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111</v>
      </c>
      <c r="G70" s="416" cm="1">
        <f t="array" ref="G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12000000</v>
      </c>
      <c r="H70" s="416" cm="1">
        <f t="array" ref="H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8880000</v>
      </c>
      <c r="I70" s="416">
        <f>IFERROR(Table_Main[[#This Row],[Giá trị tồn đầu ngày]]/Table_Main[[#This Row],[Tồn kho đầu ngày]],0)</f>
        <v>80000</v>
      </c>
      <c r="J70" s="416">
        <f>IFERROR(Table_Main[[#This Row],[Giá trị tồn cuối ngày]]/Table_Main[[#This Row],[Tồn kho cuối ngày]],0)</f>
        <v>80000</v>
      </c>
      <c r="K70" s="411">
        <v>45729</v>
      </c>
      <c r="L70" s="47">
        <f xml:space="preserve">
IFERROR(
IFERROR(
VLOOKUP(Table_Main[[#This Row],[Đơn Mua]],Table_DonMua[[Mã Đơn mua]:[Add]],COUNTA(Table_DonMua[[#Headers],[Mã Đơn mua]:[Ngày lập]]),0),
VLOOKUP(Table_Main[[#This Row],[Đơn bán]],Table_DonBan[[Mã Đơn bán]:[Add]], COUNTA(Table_DonBan[[#Headers],[Mã Đơn bán]:[Ngày lập]]),0)),0)</f>
        <v>45729</v>
      </c>
      <c r="M70" s="29">
        <f>IFERROR(MONTH(Table_Main[[#This Row],[Ngày lên đơn]]),0)</f>
        <v>3</v>
      </c>
      <c r="N70" s="51">
        <f>IF(Table_Main[[#This Row],[Ngày lên đơn]]=0,"",Table_Main[[#This Row],[Ngày xuất nhập]]-Table_Main[[#This Row],[Ngày lên đơn]])</f>
        <v>0</v>
      </c>
      <c r="O70" s="230" t="s">
        <v>53</v>
      </c>
      <c r="P70" s="230" t="s">
        <v>1155</v>
      </c>
      <c r="Q70" s="404">
        <v>39</v>
      </c>
      <c r="R70" s="516"/>
      <c r="S70" s="530">
        <f>IFERROR(VLOOKUP(Table_Main[[#This Row],[Đơn Mua]],Table_DonMua[[Mã Đơn mua]:[Add]],COUNTA(Table_DonMua[[#Headers],[Mã Đơn mua]:[Mã Đối tác]]),0),0)</f>
        <v>0</v>
      </c>
      <c r="T70" s="405"/>
      <c r="U70" s="48">
        <f xml:space="preserve">
IF(NOT(ISBLANK(Table_Main[[#This Row],[Đơn Mua]])),Table_Main[[#This Row],[Số lượng]]*Table_Main[[#This Row],[Giá nhập]],Table_Main[[#This Row],[Số lượng]]*Table_Main[[#This Row],[Giá trị bình quân đầu ngày]])</f>
        <v>3120000</v>
      </c>
      <c r="V7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0" s="48">
        <f>IF(Table_Main[[#This Row],[Đơn Mua]]="", 0,IFERROR(Table_Main[[#This Row],[Tỷ suất VAT khấu trừ]]*(Table_Main[[#This Row],[Giá trị hàng nhập]]/(1+Table_Main[[#This Row],[Tỷ suất VAT khấu trừ]])),0))</f>
        <v>0</v>
      </c>
      <c r="X70" s="516" t="s">
        <v>1198</v>
      </c>
      <c r="Y70" s="28" t="str">
        <f>IFERROR(VLOOKUP(Table_Main[[#This Row],[Đơn bán]],Table_DonBan[[Mã Đơn bán]:[Add]],COUNTA(Table_DonBan[[#Headers],[Mã Đơn bán]:[Mã Khách]]),0),0)</f>
        <v>KH2</v>
      </c>
      <c r="Z70" s="48">
        <f>IF(ISBLANK(Table_Main[[#This Row],[Đơn bán]]),0,
VLOOKUP(Table_Main[[#This Row],[Mã SKU]],Table_SKU[[Mã SKU]:[Giá bán]],COUNTA(Table_SKU[[#Headers],[Mã SKU]:[Giá bán]]),0))</f>
        <v>100000</v>
      </c>
      <c r="AA70" s="48">
        <f>IF(ISBLANK(Table_Main[[#This Row],[Đơn bán]]),0,
IF(Table_Main[[#This Row],[Loại]] = "Xuất",Table_Main[[#This Row],[Giá bán niêm yết]]*Table_Main[[#This Row],[Số lượng]],-Table_Main[[#This Row],[Giá bán niêm yết]]*Table_Main[[#This Row],[Số lượng]]))</f>
        <v>3900000</v>
      </c>
      <c r="AB70" s="230"/>
      <c r="AC7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7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70" s="66">
        <f>IFERROR(
VLOOKUP(Table_Main[[#This Row],[Mã SKU]],Table_SKU[[Mã SKU]:[Tỷ suất VAT]],COUNTA(Table_SKU[[#Headers],[Mã SKU]:[Tỷ suất VAT]]),0),0)</f>
        <v>0</v>
      </c>
      <c r="AG70" s="48">
        <f xml:space="preserve">
IF(Table_Main[[#This Row],[Đơn bán]]="", 0,Table_Main[[#This Row],[Tỷ suất VAT]]*Table_Main[[#This Row],[Giá trị bán trước VAT]])</f>
        <v>0</v>
      </c>
      <c r="AH70" s="51">
        <f>IFERROR(VLOOKUP(Table_Main[[#This Row],[Đơn bán]],Table_DonBan[[Mã Đơn bán]:[Add]],COUNTA(Table_DonBan[[#Headers],[Mã Đơn bán]:[Mã NV]]),0),0)</f>
        <v>0</v>
      </c>
      <c r="AI7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0" s="48">
        <f>IFERROR(Table_Main[[#This Row],[Giá trị bán trước VAT]]*Table_Main[[#This Row],[Tỷ lệ hoa hồng]],"")</f>
        <v>0</v>
      </c>
      <c r="AK70" s="48">
        <f>IFERROR(VLOOKUP(Table_Main[[#This Row],[Đơn bán]],Table_DonBan[[Mã Đơn bán]:[Add]],COUNTA(Table_DonBan[[#Headers],[Mã Đơn bán]:[Kênh]]),0),0)</f>
        <v>0</v>
      </c>
      <c r="AL7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0" s="48">
        <f>IFERROR(Table_Main[[#This Row],[Giá trị bán trước VAT]]*Table_Main[[#This Row],[Tỷ lệ CK kênh]],"")</f>
        <v>0</v>
      </c>
      <c r="AN70" s="230"/>
      <c r="AO70" s="232"/>
      <c r="AP70" s="226">
        <f>Table_Main[[#This Row],[ĐK - Phân loại]]*Table_Main[[#This Row],[ĐK - Thời gian]]*Table_Main[[#This Row],[ĐK - Giá trị]]*Table_Main[[#This Row],[ĐK - Số lượng]]*Table_Main[[#This Row],[ĐK - Sinh nhật]]*Table_Main[[#This Row],[ĐK - Ngày mua cuối]]</f>
        <v>1</v>
      </c>
      <c r="AQ70" s="226">
        <f xml:space="preserve">
IF(ISBLANK(Table_Main[[#This Row],[Chương trình]]),1,
IF(VLOOKUP(Table_Main[[#This Row],[Chương trình]],Table_ChuongTrinh[[Mã Chương trình]:[Đối tượng CK]],Sheet_ChuongTrinh!$C$1,0) = "Sản phẩm",1,0))</f>
        <v>1</v>
      </c>
      <c r="AR7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1" spans="2:48" ht="18" customHeight="1" x14ac:dyDescent="0.3">
      <c r="B71" s="524" t="s">
        <v>1151</v>
      </c>
      <c r="C71" s="516"/>
      <c r="D71" s="530" t="str">
        <f>IF(ISBLANK(Table_Main[[#This Row],[Mã SKU]]),Table_Main[[#This Row],[Mã Nguyên liệu]],Table_Main[[#This Row],[Mã SKU]])</f>
        <v>TP2</v>
      </c>
      <c r="E71" s="416" cm="1">
        <f t="array" ref="E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v>
      </c>
      <c r="F71" s="416" cm="1">
        <f t="array" ref="F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76</v>
      </c>
      <c r="G71" s="416" cm="1">
        <f t="array" ref="G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1" s="416" cm="1">
        <f t="array" ref="H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1" s="416">
        <f>IFERROR(Table_Main[[#This Row],[Giá trị tồn đầu ngày]]/Table_Main[[#This Row],[Tồn kho đầu ngày]],0)</f>
        <v>0</v>
      </c>
      <c r="J71" s="416">
        <f>IFERROR(Table_Main[[#This Row],[Giá trị tồn cuối ngày]]/Table_Main[[#This Row],[Tồn kho cuối ngày]],0)</f>
        <v>0</v>
      </c>
      <c r="K71" s="411">
        <v>45729</v>
      </c>
      <c r="L7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1" s="29">
        <f>IFERROR(MONTH(Table_Main[[#This Row],[Ngày lên đơn]]),0)</f>
        <v>1</v>
      </c>
      <c r="N71" s="51" t="str">
        <f>IF(Table_Main[[#This Row],[Ngày lên đơn]]=0,"",Table_Main[[#This Row],[Ngày xuất nhập]]-Table_Main[[#This Row],[Ngày lên đơn]])</f>
        <v/>
      </c>
      <c r="O71" s="230" t="s">
        <v>1154</v>
      </c>
      <c r="P71" s="230" t="s">
        <v>1155</v>
      </c>
      <c r="Q71" s="404">
        <v>31</v>
      </c>
      <c r="R71" s="516"/>
      <c r="S71" s="530">
        <f>IFERROR(VLOOKUP(Table_Main[[#This Row],[Đơn Mua]],Table_DonMua[[Mã Đơn mua]:[Add]],COUNTA(Table_DonMua[[#Headers],[Mã Đơn mua]:[Mã Đối tác]]),0),0)</f>
        <v>0</v>
      </c>
      <c r="T71" s="405"/>
      <c r="U71" s="48">
        <f xml:space="preserve">
IF(NOT(ISBLANK(Table_Main[[#This Row],[Đơn Mua]])),Table_Main[[#This Row],[Số lượng]]*Table_Main[[#This Row],[Giá nhập]],Table_Main[[#This Row],[Số lượng]]*Table_Main[[#This Row],[Giá trị bình quân đầu ngày]])</f>
        <v>0</v>
      </c>
      <c r="V7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1" s="48">
        <f>IF(Table_Main[[#This Row],[Đơn Mua]]="", 0,IFERROR(Table_Main[[#This Row],[Tỷ suất VAT khấu trừ]]*(Table_Main[[#This Row],[Giá trị hàng nhập]]/(1+Table_Main[[#This Row],[Tỷ suất VAT khấu trừ]])),0))</f>
        <v>0</v>
      </c>
      <c r="X71" s="516"/>
      <c r="Y71" s="28">
        <f>IFERROR(VLOOKUP(Table_Main[[#This Row],[Đơn bán]],Table_DonBan[[Mã Đơn bán]:[Add]],COUNTA(Table_DonBan[[#Headers],[Mã Đơn bán]:[Mã Khách]]),0),0)</f>
        <v>0</v>
      </c>
      <c r="Z71" s="48">
        <f>IF(ISBLANK(Table_Main[[#This Row],[Đơn bán]]),0,
VLOOKUP(Table_Main[[#This Row],[Mã SKU]],Table_SKU[[Mã SKU]:[Giá bán]],COUNTA(Table_SKU[[#Headers],[Mã SKU]:[Giá bán]]),0))</f>
        <v>0</v>
      </c>
      <c r="AA71" s="48">
        <f>IF(ISBLANK(Table_Main[[#This Row],[Đơn bán]]),0,
IF(Table_Main[[#This Row],[Loại]] = "Xuất",Table_Main[[#This Row],[Giá bán niêm yết]]*Table_Main[[#This Row],[Số lượng]],-Table_Main[[#This Row],[Giá bán niêm yết]]*Table_Main[[#This Row],[Số lượng]]))</f>
        <v>0</v>
      </c>
      <c r="AB71" s="230"/>
      <c r="AC7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1" s="66">
        <f>IFERROR(
VLOOKUP(Table_Main[[#This Row],[Mã SKU]],Table_SKU[[Mã SKU]:[Tỷ suất VAT]],COUNTA(Table_SKU[[#Headers],[Mã SKU]:[Tỷ suất VAT]]),0),0)</f>
        <v>0</v>
      </c>
      <c r="AG71" s="48">
        <f xml:space="preserve">
IF(Table_Main[[#This Row],[Đơn bán]]="", 0,Table_Main[[#This Row],[Tỷ suất VAT]]*Table_Main[[#This Row],[Giá trị bán trước VAT]])</f>
        <v>0</v>
      </c>
      <c r="AH71" s="51">
        <f>IFERROR(VLOOKUP(Table_Main[[#This Row],[Đơn bán]],Table_DonBan[[Mã Đơn bán]:[Add]],COUNTA(Table_DonBan[[#Headers],[Mã Đơn bán]:[Mã NV]]),0),0)</f>
        <v>0</v>
      </c>
      <c r="AI7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1" s="48">
        <f>IFERROR(Table_Main[[#This Row],[Giá trị bán trước VAT]]*Table_Main[[#This Row],[Tỷ lệ hoa hồng]],"")</f>
        <v>0</v>
      </c>
      <c r="AK71" s="48">
        <f>IFERROR(VLOOKUP(Table_Main[[#This Row],[Đơn bán]],Table_DonBan[[Mã Đơn bán]:[Add]],COUNTA(Table_DonBan[[#Headers],[Mã Đơn bán]:[Kênh]]),0),0)</f>
        <v>0</v>
      </c>
      <c r="AL7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1" s="48">
        <f>IFERROR(Table_Main[[#This Row],[Giá trị bán trước VAT]]*Table_Main[[#This Row],[Tỷ lệ CK kênh]],"")</f>
        <v>0</v>
      </c>
      <c r="AN71" s="230"/>
      <c r="AO71" s="232"/>
      <c r="AP71" s="226">
        <f>Table_Main[[#This Row],[ĐK - Phân loại]]*Table_Main[[#This Row],[ĐK - Thời gian]]*Table_Main[[#This Row],[ĐK - Giá trị]]*Table_Main[[#This Row],[ĐK - Số lượng]]*Table_Main[[#This Row],[ĐK - Sinh nhật]]*Table_Main[[#This Row],[ĐK - Ngày mua cuối]]</f>
        <v>1</v>
      </c>
      <c r="AQ71" s="226">
        <f xml:space="preserve">
IF(ISBLANK(Table_Main[[#This Row],[Chương trình]]),1,
IF(VLOOKUP(Table_Main[[#This Row],[Chương trình]],Table_ChuongTrinh[[Mã Chương trình]:[Đối tượng CK]],Sheet_ChuongTrinh!$C$1,0) = "Sản phẩm",1,0))</f>
        <v>1</v>
      </c>
      <c r="AR7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2" spans="2:48" ht="18" customHeight="1" x14ac:dyDescent="0.3">
      <c r="B72" s="236"/>
      <c r="C72" s="238" t="s">
        <v>1153</v>
      </c>
      <c r="D72" s="531" t="str">
        <f>IF(ISBLANK(Table_Main[[#This Row],[Mã SKU]]),Table_Main[[#This Row],[Mã Nguyên liệu]],Table_Main[[#This Row],[Mã SKU]])</f>
        <v>NL1</v>
      </c>
      <c r="E72" s="416" cm="1">
        <f t="array" ref="E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2" s="416" cm="1">
        <f t="array" ref="F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v>
      </c>
      <c r="G72" s="416" cm="1">
        <f t="array" ref="G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20000000</v>
      </c>
      <c r="H72" s="416" cm="1">
        <f t="array" ref="H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15100000</v>
      </c>
      <c r="I72" s="416">
        <f>IFERROR(Table_Main[[#This Row],[Giá trị tồn đầu ngày]]/Table_Main[[#This Row],[Tồn kho đầu ngày]],0)</f>
        <v>100000</v>
      </c>
      <c r="J72" s="416">
        <f>IFERROR(Table_Main[[#This Row],[Giá trị tồn cuối ngày]]/Table_Main[[#This Row],[Tồn kho cuối ngày]],0)</f>
        <v>100000</v>
      </c>
      <c r="K72" s="411">
        <v>45728</v>
      </c>
      <c r="L7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2" s="29">
        <f>IFERROR(MONTH(Table_Main[[#This Row],[Ngày lên đơn]]),0)</f>
        <v>1</v>
      </c>
      <c r="N72" s="51" t="str">
        <f>IF(Table_Main[[#This Row],[Ngày lên đơn]]=0,"",Table_Main[[#This Row],[Ngày xuất nhập]]-Table_Main[[#This Row],[Ngày lên đơn]])</f>
        <v/>
      </c>
      <c r="O72" s="230" t="s">
        <v>53</v>
      </c>
      <c r="P72" s="230" t="s">
        <v>1155</v>
      </c>
      <c r="Q72" s="404">
        <v>49</v>
      </c>
      <c r="R72" s="516"/>
      <c r="S72" s="530">
        <f>IFERROR(VLOOKUP(Table_Main[[#This Row],[Đơn Mua]],Table_DonMua[[Mã Đơn mua]:[Add]],COUNTA(Table_DonMua[[#Headers],[Mã Đơn mua]:[Mã Đối tác]]),0),0)</f>
        <v>0</v>
      </c>
      <c r="T72" s="405"/>
      <c r="U72" s="48">
        <f xml:space="preserve">
IF(NOT(ISBLANK(Table_Main[[#This Row],[Đơn Mua]])),Table_Main[[#This Row],[Số lượng]]*Table_Main[[#This Row],[Giá nhập]],Table_Main[[#This Row],[Số lượng]]*Table_Main[[#This Row],[Giá trị bình quân đầu ngày]])</f>
        <v>4900000</v>
      </c>
      <c r="V7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2" s="48">
        <f>IF(Table_Main[[#This Row],[Đơn Mua]]="", 0,IFERROR(Table_Main[[#This Row],[Tỷ suất VAT khấu trừ]]*(Table_Main[[#This Row],[Giá trị hàng nhập]]/(1+Table_Main[[#This Row],[Tỷ suất VAT khấu trừ]])),0))</f>
        <v>0</v>
      </c>
      <c r="X72" s="516"/>
      <c r="Y72" s="28">
        <f>IFERROR(VLOOKUP(Table_Main[[#This Row],[Đơn bán]],Table_DonBan[[Mã Đơn bán]:[Add]],COUNTA(Table_DonBan[[#Headers],[Mã Đơn bán]:[Mã Khách]]),0),0)</f>
        <v>0</v>
      </c>
      <c r="Z72" s="48">
        <f>IF(ISBLANK(Table_Main[[#This Row],[Đơn bán]]),0,
VLOOKUP(Table_Main[[#This Row],[Mã SKU]],Table_SKU[[Mã SKU]:[Giá bán]],COUNTA(Table_SKU[[#Headers],[Mã SKU]:[Giá bán]]),0))</f>
        <v>0</v>
      </c>
      <c r="AA72" s="48">
        <f>IF(ISBLANK(Table_Main[[#This Row],[Đơn bán]]),0,
IF(Table_Main[[#This Row],[Loại]] = "Xuất",Table_Main[[#This Row],[Giá bán niêm yết]]*Table_Main[[#This Row],[Số lượng]],-Table_Main[[#This Row],[Giá bán niêm yết]]*Table_Main[[#This Row],[Số lượng]]))</f>
        <v>0</v>
      </c>
      <c r="AB72" s="230"/>
      <c r="AC7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2" s="66">
        <f>IFERROR(
VLOOKUP(Table_Main[[#This Row],[Mã SKU]],Table_SKU[[Mã SKU]:[Tỷ suất VAT]],COUNTA(Table_SKU[[#Headers],[Mã SKU]:[Tỷ suất VAT]]),0),0)</f>
        <v>0</v>
      </c>
      <c r="AG72" s="48">
        <f xml:space="preserve">
IF(Table_Main[[#This Row],[Đơn bán]]="", 0,Table_Main[[#This Row],[Tỷ suất VAT]]*Table_Main[[#This Row],[Giá trị bán trước VAT]])</f>
        <v>0</v>
      </c>
      <c r="AH72" s="51">
        <f>IFERROR(VLOOKUP(Table_Main[[#This Row],[Đơn bán]],Table_DonBan[[Mã Đơn bán]:[Add]],COUNTA(Table_DonBan[[#Headers],[Mã Đơn bán]:[Mã NV]]),0),0)</f>
        <v>0</v>
      </c>
      <c r="AI7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2" s="48">
        <f>IFERROR(Table_Main[[#This Row],[Giá trị bán trước VAT]]*Table_Main[[#This Row],[Tỷ lệ hoa hồng]],"")</f>
        <v>0</v>
      </c>
      <c r="AK72" s="48">
        <f>IFERROR(VLOOKUP(Table_Main[[#This Row],[Đơn bán]],Table_DonBan[[Mã Đơn bán]:[Add]],COUNTA(Table_DonBan[[#Headers],[Mã Đơn bán]:[Kênh]]),0),0)</f>
        <v>0</v>
      </c>
      <c r="AL7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2" s="48">
        <f>IFERROR(Table_Main[[#This Row],[Giá trị bán trước VAT]]*Table_Main[[#This Row],[Tỷ lệ CK kênh]],"")</f>
        <v>0</v>
      </c>
      <c r="AN72" s="230"/>
      <c r="AO72" s="232"/>
      <c r="AP72" s="226">
        <f>Table_Main[[#This Row],[ĐK - Phân loại]]*Table_Main[[#This Row],[ĐK - Thời gian]]*Table_Main[[#This Row],[ĐK - Giá trị]]*Table_Main[[#This Row],[ĐK - Số lượng]]*Table_Main[[#This Row],[ĐK - Sinh nhật]]*Table_Main[[#This Row],[ĐK - Ngày mua cuối]]</f>
        <v>1</v>
      </c>
      <c r="AQ72" s="226">
        <f xml:space="preserve">
IF(ISBLANK(Table_Main[[#This Row],[Chương trình]]),1,
IF(VLOOKUP(Table_Main[[#This Row],[Chương trình]],Table_ChuongTrinh[[Mã Chương trình]:[Đối tượng CK]],Sheet_ChuongTrinh!$C$1,0) = "Sản phẩm",1,0))</f>
        <v>1</v>
      </c>
      <c r="AR7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3" spans="2:48" ht="18" customHeight="1" x14ac:dyDescent="0.3">
      <c r="B73" s="236"/>
      <c r="C73" s="238" t="s">
        <v>1152</v>
      </c>
      <c r="D73" s="531" t="str">
        <f>IF(ISBLANK(Table_Main[[#This Row],[Mã SKU]]),Table_Main[[#This Row],[Mã Nguyên liệu]],Table_Main[[#This Row],[Mã SKU]])</f>
        <v>NL2</v>
      </c>
      <c r="E73" s="416" cm="1">
        <f t="array" ref="E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118</v>
      </c>
      <c r="F73" s="416" cm="1">
        <f t="array" ref="F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73" s="416" cm="1">
        <f t="array" ref="G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17700000</v>
      </c>
      <c r="H73" s="416" cm="1">
        <f t="array" ref="H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18536292</v>
      </c>
      <c r="I73" s="416">
        <f>IFERROR(Table_Main[[#This Row],[Giá trị tồn đầu ngày]]/Table_Main[[#This Row],[Tồn kho đầu ngày]],0)</f>
        <v>150000</v>
      </c>
      <c r="J73" s="416">
        <f>IFERROR(Table_Main[[#This Row],[Giá trị tồn cuối ngày]]/Table_Main[[#This Row],[Tồn kho cuối ngày]],0)</f>
        <v>142586.86153846153</v>
      </c>
      <c r="K73" s="411">
        <v>45731</v>
      </c>
      <c r="L73" s="47">
        <f xml:space="preserve">
IFERROR(
IFERROR(
VLOOKUP(Table_Main[[#This Row],[Đơn Mua]],Table_DonMua[[Mã Đơn mua]:[Add]],COUNTA(Table_DonMua[[#Headers],[Mã Đơn mua]:[Ngày lập]]),0),
VLOOKUP(Table_Main[[#This Row],[Đơn bán]],Table_DonBan[[Mã Đơn bán]:[Add]], COUNTA(Table_DonBan[[#Headers],[Mã Đơn bán]:[Ngày lập]]),0)),0)</f>
        <v>45728</v>
      </c>
      <c r="M73" s="29">
        <f>IFERROR(MONTH(Table_Main[[#This Row],[Ngày lên đơn]]),0)</f>
        <v>3</v>
      </c>
      <c r="N73" s="51">
        <f>IF(Table_Main[[#This Row],[Ngày lên đơn]]=0,"",Table_Main[[#This Row],[Ngày xuất nhập]]-Table_Main[[#This Row],[Ngày lên đơn]])</f>
        <v>3</v>
      </c>
      <c r="O73" s="230" t="s">
        <v>1154</v>
      </c>
      <c r="P73" s="230" t="s">
        <v>1155</v>
      </c>
      <c r="Q73" s="404">
        <v>12</v>
      </c>
      <c r="R73" s="516" t="s">
        <v>1163</v>
      </c>
      <c r="S73" s="530" t="str">
        <f>IFERROR(VLOOKUP(Table_Main[[#This Row],[Đơn Mua]],Table_DonMua[[Mã Đơn mua]:[Add]],COUNTA(Table_DonMua[[#Headers],[Mã Đơn mua]:[Mã Đối tác]]),0),0)</f>
        <v>NCC3</v>
      </c>
      <c r="T73" s="405">
        <v>69691</v>
      </c>
      <c r="U73" s="48">
        <f xml:space="preserve">
IF(NOT(ISBLANK(Table_Main[[#This Row],[Đơn Mua]])),Table_Main[[#This Row],[Số lượng]]*Table_Main[[#This Row],[Giá nhập]],Table_Main[[#This Row],[Số lượng]]*Table_Main[[#This Row],[Giá trị bình quân đầu ngày]])</f>
        <v>836292</v>
      </c>
      <c r="V7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3" s="48">
        <f>IF(Table_Main[[#This Row],[Đơn Mua]]="", 0,IFERROR(Table_Main[[#This Row],[Tỷ suất VAT khấu trừ]]*(Table_Main[[#This Row],[Giá trị hàng nhập]]/(1+Table_Main[[#This Row],[Tỷ suất VAT khấu trừ]])),0))</f>
        <v>0</v>
      </c>
      <c r="X73" s="516"/>
      <c r="Y73" s="28">
        <f>IFERROR(VLOOKUP(Table_Main[[#This Row],[Đơn bán]],Table_DonBan[[Mã Đơn bán]:[Add]],COUNTA(Table_DonBan[[#Headers],[Mã Đơn bán]:[Mã Khách]]),0),0)</f>
        <v>0</v>
      </c>
      <c r="Z73" s="48">
        <f>IF(ISBLANK(Table_Main[[#This Row],[Đơn bán]]),0,
VLOOKUP(Table_Main[[#This Row],[Mã SKU]],Table_SKU[[Mã SKU]:[Giá bán]],COUNTA(Table_SKU[[#Headers],[Mã SKU]:[Giá bán]]),0))</f>
        <v>0</v>
      </c>
      <c r="AA73" s="48">
        <f>IF(ISBLANK(Table_Main[[#This Row],[Đơn bán]]),0,
IF(Table_Main[[#This Row],[Loại]] = "Xuất",Table_Main[[#This Row],[Giá bán niêm yết]]*Table_Main[[#This Row],[Số lượng]],-Table_Main[[#This Row],[Giá bán niêm yết]]*Table_Main[[#This Row],[Số lượng]]))</f>
        <v>0</v>
      </c>
      <c r="AB73" s="230"/>
      <c r="AC7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3" s="66">
        <f>IFERROR(
VLOOKUP(Table_Main[[#This Row],[Mã SKU]],Table_SKU[[Mã SKU]:[Tỷ suất VAT]],COUNTA(Table_SKU[[#Headers],[Mã SKU]:[Tỷ suất VAT]]),0),0)</f>
        <v>0</v>
      </c>
      <c r="AG73" s="48">
        <f xml:space="preserve">
IF(Table_Main[[#This Row],[Đơn bán]]="", 0,Table_Main[[#This Row],[Tỷ suất VAT]]*Table_Main[[#This Row],[Giá trị bán trước VAT]])</f>
        <v>0</v>
      </c>
      <c r="AH73" s="51">
        <f>IFERROR(VLOOKUP(Table_Main[[#This Row],[Đơn bán]],Table_DonBan[[Mã Đơn bán]:[Add]],COUNTA(Table_DonBan[[#Headers],[Mã Đơn bán]:[Mã NV]]),0),0)</f>
        <v>0</v>
      </c>
      <c r="AI7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3" s="48">
        <f>IFERROR(Table_Main[[#This Row],[Giá trị bán trước VAT]]*Table_Main[[#This Row],[Tỷ lệ hoa hồng]],"")</f>
        <v>0</v>
      </c>
      <c r="AK73" s="48">
        <f>IFERROR(VLOOKUP(Table_Main[[#This Row],[Đơn bán]],Table_DonBan[[Mã Đơn bán]:[Add]],COUNTA(Table_DonBan[[#Headers],[Mã Đơn bán]:[Kênh]]),0),0)</f>
        <v>0</v>
      </c>
      <c r="AL7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3" s="48">
        <f>IFERROR(Table_Main[[#This Row],[Giá trị bán trước VAT]]*Table_Main[[#This Row],[Tỷ lệ CK kênh]],"")</f>
        <v>0</v>
      </c>
      <c r="AN73" s="230"/>
      <c r="AO73" s="232"/>
      <c r="AP73" s="226">
        <f>Table_Main[[#This Row],[ĐK - Phân loại]]*Table_Main[[#This Row],[ĐK - Thời gian]]*Table_Main[[#This Row],[ĐK - Giá trị]]*Table_Main[[#This Row],[ĐK - Số lượng]]*Table_Main[[#This Row],[ĐK - Sinh nhật]]*Table_Main[[#This Row],[ĐK - Ngày mua cuối]]</f>
        <v>1</v>
      </c>
      <c r="AQ73" s="226">
        <f xml:space="preserve">
IF(ISBLANK(Table_Main[[#This Row],[Chương trình]]),1,
IF(VLOOKUP(Table_Main[[#This Row],[Chương trình]],Table_ChuongTrinh[[Mã Chương trình]:[Đối tượng CK]],Sheet_ChuongTrinh!$C$1,0) = "Sản phẩm",1,0))</f>
        <v>1</v>
      </c>
      <c r="AR7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4" spans="2:48" ht="18" customHeight="1" x14ac:dyDescent="0.3">
      <c r="B74" s="525" t="s">
        <v>1150</v>
      </c>
      <c r="C74" s="516"/>
      <c r="D74" s="530" t="str">
        <f>IF(ISBLANK(Table_Main[[#This Row],[Mã SKU]]),Table_Main[[#This Row],[Mã Nguyên liệu]],Table_Main[[#This Row],[Mã SKU]])</f>
        <v>TP1</v>
      </c>
      <c r="E74" s="416" cm="1">
        <f t="array" ref="E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4" s="416" cm="1">
        <f t="array" ref="F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74" s="416" cm="1">
        <f t="array" ref="G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4" s="416" cm="1">
        <f t="array" ref="H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4" s="416">
        <f>IFERROR(Table_Main[[#This Row],[Giá trị tồn đầu ngày]]/Table_Main[[#This Row],[Tồn kho đầu ngày]],0)</f>
        <v>0</v>
      </c>
      <c r="J74" s="416">
        <f>IFERROR(Table_Main[[#This Row],[Giá trị tồn cuối ngày]]/Table_Main[[#This Row],[Tồn kho cuối ngày]],0)</f>
        <v>0</v>
      </c>
      <c r="K74" s="411">
        <v>45726</v>
      </c>
      <c r="L7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4" s="29">
        <f>IFERROR(MONTH(Table_Main[[#This Row],[Ngày lên đơn]]),0)</f>
        <v>1</v>
      </c>
      <c r="N74" s="51" t="str">
        <f>IF(Table_Main[[#This Row],[Ngày lên đơn]]=0,"",Table_Main[[#This Row],[Ngày xuất nhập]]-Table_Main[[#This Row],[Ngày lên đơn]])</f>
        <v/>
      </c>
      <c r="O74" s="230" t="s">
        <v>1154</v>
      </c>
      <c r="P74" s="230" t="s">
        <v>1155</v>
      </c>
      <c r="Q74" s="404">
        <v>35</v>
      </c>
      <c r="R74" s="516"/>
      <c r="S74" s="530">
        <f>IFERROR(VLOOKUP(Table_Main[[#This Row],[Đơn Mua]],Table_DonMua[[Mã Đơn mua]:[Add]],COUNTA(Table_DonMua[[#Headers],[Mã Đơn mua]:[Mã Đối tác]]),0),0)</f>
        <v>0</v>
      </c>
      <c r="T74" s="405"/>
      <c r="U74" s="48">
        <f xml:space="preserve">
IF(NOT(ISBLANK(Table_Main[[#This Row],[Đơn Mua]])),Table_Main[[#This Row],[Số lượng]]*Table_Main[[#This Row],[Giá nhập]],Table_Main[[#This Row],[Số lượng]]*Table_Main[[#This Row],[Giá trị bình quân đầu ngày]])</f>
        <v>0</v>
      </c>
      <c r="V7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4" s="48">
        <f>IF(Table_Main[[#This Row],[Đơn Mua]]="", 0,IFERROR(Table_Main[[#This Row],[Tỷ suất VAT khấu trừ]]*(Table_Main[[#This Row],[Giá trị hàng nhập]]/(1+Table_Main[[#This Row],[Tỷ suất VAT khấu trừ]])),0))</f>
        <v>0</v>
      </c>
      <c r="X74" s="516"/>
      <c r="Y74" s="28">
        <f>IFERROR(VLOOKUP(Table_Main[[#This Row],[Đơn bán]],Table_DonBan[[Mã Đơn bán]:[Add]],COUNTA(Table_DonBan[[#Headers],[Mã Đơn bán]:[Mã Khách]]),0),0)</f>
        <v>0</v>
      </c>
      <c r="Z74" s="48">
        <f>IF(ISBLANK(Table_Main[[#This Row],[Đơn bán]]),0,
VLOOKUP(Table_Main[[#This Row],[Mã SKU]],Table_SKU[[Mã SKU]:[Giá bán]],COUNTA(Table_SKU[[#Headers],[Mã SKU]:[Giá bán]]),0))</f>
        <v>0</v>
      </c>
      <c r="AA74" s="48">
        <f>IF(ISBLANK(Table_Main[[#This Row],[Đơn bán]]),0,
IF(Table_Main[[#This Row],[Loại]] = "Xuất",Table_Main[[#This Row],[Giá bán niêm yết]]*Table_Main[[#This Row],[Số lượng]],-Table_Main[[#This Row],[Giá bán niêm yết]]*Table_Main[[#This Row],[Số lượng]]))</f>
        <v>0</v>
      </c>
      <c r="AB74" s="230"/>
      <c r="AC7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4" s="66">
        <f>IFERROR(
VLOOKUP(Table_Main[[#This Row],[Mã SKU]],Table_SKU[[Mã SKU]:[Tỷ suất VAT]],COUNTA(Table_SKU[[#Headers],[Mã SKU]:[Tỷ suất VAT]]),0),0)</f>
        <v>0</v>
      </c>
      <c r="AG74" s="48">
        <f xml:space="preserve">
IF(Table_Main[[#This Row],[Đơn bán]]="", 0,Table_Main[[#This Row],[Tỷ suất VAT]]*Table_Main[[#This Row],[Giá trị bán trước VAT]])</f>
        <v>0</v>
      </c>
      <c r="AH74" s="51">
        <f>IFERROR(VLOOKUP(Table_Main[[#This Row],[Đơn bán]],Table_DonBan[[Mã Đơn bán]:[Add]],COUNTA(Table_DonBan[[#Headers],[Mã Đơn bán]:[Mã NV]]),0),0)</f>
        <v>0</v>
      </c>
      <c r="AI7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4" s="48">
        <f>IFERROR(Table_Main[[#This Row],[Giá trị bán trước VAT]]*Table_Main[[#This Row],[Tỷ lệ hoa hồng]],"")</f>
        <v>0</v>
      </c>
      <c r="AK74" s="48">
        <f>IFERROR(VLOOKUP(Table_Main[[#This Row],[Đơn bán]],Table_DonBan[[Mã Đơn bán]:[Add]],COUNTA(Table_DonBan[[#Headers],[Mã Đơn bán]:[Kênh]]),0),0)</f>
        <v>0</v>
      </c>
      <c r="AL7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4" s="48">
        <f>IFERROR(Table_Main[[#This Row],[Giá trị bán trước VAT]]*Table_Main[[#This Row],[Tỷ lệ CK kênh]],"")</f>
        <v>0</v>
      </c>
      <c r="AN74" s="230"/>
      <c r="AO74" s="232"/>
      <c r="AP74" s="226">
        <f>Table_Main[[#This Row],[ĐK - Phân loại]]*Table_Main[[#This Row],[ĐK - Thời gian]]*Table_Main[[#This Row],[ĐK - Giá trị]]*Table_Main[[#This Row],[ĐK - Số lượng]]*Table_Main[[#This Row],[ĐK - Sinh nhật]]*Table_Main[[#This Row],[ĐK - Ngày mua cuối]]</f>
        <v>1</v>
      </c>
      <c r="AQ74" s="226">
        <f xml:space="preserve">
IF(ISBLANK(Table_Main[[#This Row],[Chương trình]]),1,
IF(VLOOKUP(Table_Main[[#This Row],[Chương trình]],Table_ChuongTrinh[[Mã Chương trình]:[Đối tượng CK]],Sheet_ChuongTrinh!$C$1,0) = "Sản phẩm",1,0))</f>
        <v>1</v>
      </c>
      <c r="AR7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5" spans="2:48" ht="18" customHeight="1" x14ac:dyDescent="0.3">
      <c r="B75" s="525" t="s">
        <v>1151</v>
      </c>
      <c r="C75" s="516"/>
      <c r="D75" s="530" t="str">
        <f>IF(ISBLANK(Table_Main[[#This Row],[Mã SKU]]),Table_Main[[#This Row],[Mã Nguyên liệu]],Table_Main[[#This Row],[Mã SKU]])</f>
        <v>TP2</v>
      </c>
      <c r="E75" s="416" cm="1">
        <f t="array" ref="E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5" s="416" cm="1">
        <f t="array" ref="F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75" s="416" cm="1">
        <f t="array" ref="G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5" s="416" cm="1">
        <f t="array" ref="H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5" s="416">
        <f>IFERROR(Table_Main[[#This Row],[Giá trị tồn đầu ngày]]/Table_Main[[#This Row],[Tồn kho đầu ngày]],0)</f>
        <v>0</v>
      </c>
      <c r="J75" s="416">
        <f>IFERROR(Table_Main[[#This Row],[Giá trị tồn cuối ngày]]/Table_Main[[#This Row],[Tồn kho cuối ngày]],0)</f>
        <v>0</v>
      </c>
      <c r="K75" s="411">
        <v>45726</v>
      </c>
      <c r="L7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5" s="29">
        <f>IFERROR(MONTH(Table_Main[[#This Row],[Ngày lên đơn]]),0)</f>
        <v>1</v>
      </c>
      <c r="N75" s="51" t="str">
        <f>IF(Table_Main[[#This Row],[Ngày lên đơn]]=0,"",Table_Main[[#This Row],[Ngày xuất nhập]]-Table_Main[[#This Row],[Ngày lên đơn]])</f>
        <v/>
      </c>
      <c r="O75" s="230" t="s">
        <v>1154</v>
      </c>
      <c r="P75" s="230" t="s">
        <v>1155</v>
      </c>
      <c r="Q75" s="404">
        <v>45</v>
      </c>
      <c r="R75" s="516"/>
      <c r="S75" s="530">
        <f>IFERROR(VLOOKUP(Table_Main[[#This Row],[Đơn Mua]],Table_DonMua[[Mã Đơn mua]:[Add]],COUNTA(Table_DonMua[[#Headers],[Mã Đơn mua]:[Mã Đối tác]]),0),0)</f>
        <v>0</v>
      </c>
      <c r="T75" s="405"/>
      <c r="U75" s="48">
        <f xml:space="preserve">
IF(NOT(ISBLANK(Table_Main[[#This Row],[Đơn Mua]])),Table_Main[[#This Row],[Số lượng]]*Table_Main[[#This Row],[Giá nhập]],Table_Main[[#This Row],[Số lượng]]*Table_Main[[#This Row],[Giá trị bình quân đầu ngày]])</f>
        <v>0</v>
      </c>
      <c r="V7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5" s="48">
        <f>IF(Table_Main[[#This Row],[Đơn Mua]]="", 0,IFERROR(Table_Main[[#This Row],[Tỷ suất VAT khấu trừ]]*(Table_Main[[#This Row],[Giá trị hàng nhập]]/(1+Table_Main[[#This Row],[Tỷ suất VAT khấu trừ]])),0))</f>
        <v>0</v>
      </c>
      <c r="X75" s="516"/>
      <c r="Y75" s="28">
        <f>IFERROR(VLOOKUP(Table_Main[[#This Row],[Đơn bán]],Table_DonBan[[Mã Đơn bán]:[Add]],COUNTA(Table_DonBan[[#Headers],[Mã Đơn bán]:[Mã Khách]]),0),0)</f>
        <v>0</v>
      </c>
      <c r="Z75" s="48">
        <f>IF(ISBLANK(Table_Main[[#This Row],[Đơn bán]]),0,
VLOOKUP(Table_Main[[#This Row],[Mã SKU]],Table_SKU[[Mã SKU]:[Giá bán]],COUNTA(Table_SKU[[#Headers],[Mã SKU]:[Giá bán]]),0))</f>
        <v>0</v>
      </c>
      <c r="AA75" s="48">
        <f>IF(ISBLANK(Table_Main[[#This Row],[Đơn bán]]),0,
IF(Table_Main[[#This Row],[Loại]] = "Xuất",Table_Main[[#This Row],[Giá bán niêm yết]]*Table_Main[[#This Row],[Số lượng]],-Table_Main[[#This Row],[Giá bán niêm yết]]*Table_Main[[#This Row],[Số lượng]]))</f>
        <v>0</v>
      </c>
      <c r="AB75" s="230"/>
      <c r="AC7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5" s="66">
        <f>IFERROR(
VLOOKUP(Table_Main[[#This Row],[Mã SKU]],Table_SKU[[Mã SKU]:[Tỷ suất VAT]],COUNTA(Table_SKU[[#Headers],[Mã SKU]:[Tỷ suất VAT]]),0),0)</f>
        <v>0</v>
      </c>
      <c r="AG75" s="48">
        <f xml:space="preserve">
IF(Table_Main[[#This Row],[Đơn bán]]="", 0,Table_Main[[#This Row],[Tỷ suất VAT]]*Table_Main[[#This Row],[Giá trị bán trước VAT]])</f>
        <v>0</v>
      </c>
      <c r="AH75" s="51">
        <f>IFERROR(VLOOKUP(Table_Main[[#This Row],[Đơn bán]],Table_DonBan[[Mã Đơn bán]:[Add]],COUNTA(Table_DonBan[[#Headers],[Mã Đơn bán]:[Mã NV]]),0),0)</f>
        <v>0</v>
      </c>
      <c r="AI7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5" s="48">
        <f>IFERROR(Table_Main[[#This Row],[Giá trị bán trước VAT]]*Table_Main[[#This Row],[Tỷ lệ hoa hồng]],"")</f>
        <v>0</v>
      </c>
      <c r="AK75" s="48">
        <f>IFERROR(VLOOKUP(Table_Main[[#This Row],[Đơn bán]],Table_DonBan[[Mã Đơn bán]:[Add]],COUNTA(Table_DonBan[[#Headers],[Mã Đơn bán]:[Kênh]]),0),0)</f>
        <v>0</v>
      </c>
      <c r="AL7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5" s="48">
        <f>IFERROR(Table_Main[[#This Row],[Giá trị bán trước VAT]]*Table_Main[[#This Row],[Tỷ lệ CK kênh]],"")</f>
        <v>0</v>
      </c>
      <c r="AN75" s="230"/>
      <c r="AO75" s="232"/>
      <c r="AP75" s="226">
        <f>Table_Main[[#This Row],[ĐK - Phân loại]]*Table_Main[[#This Row],[ĐK - Thời gian]]*Table_Main[[#This Row],[ĐK - Giá trị]]*Table_Main[[#This Row],[ĐK - Số lượng]]*Table_Main[[#This Row],[ĐK - Sinh nhật]]*Table_Main[[#This Row],[ĐK - Ngày mua cuối]]</f>
        <v>1</v>
      </c>
      <c r="AQ75" s="226">
        <f xml:space="preserve">
IF(ISBLANK(Table_Main[[#This Row],[Chương trình]]),1,
IF(VLOOKUP(Table_Main[[#This Row],[Chương trình]],Table_ChuongTrinh[[Mã Chương trình]:[Đối tượng CK]],Sheet_ChuongTrinh!$C$1,0) = "Sản phẩm",1,0))</f>
        <v>1</v>
      </c>
      <c r="AR7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6" spans="2:48" ht="18" customHeight="1" x14ac:dyDescent="0.3">
      <c r="B76" s="236"/>
      <c r="C76" s="238" t="s">
        <v>1153</v>
      </c>
      <c r="D76" s="531" t="str">
        <f>IF(ISBLANK(Table_Main[[#This Row],[Mã SKU]]),Table_Main[[#This Row],[Mã Nguyên liệu]],Table_Main[[#This Row],[Mã SKU]])</f>
        <v>NL1</v>
      </c>
      <c r="E76" s="416" cm="1">
        <f t="array" ref="E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v>
      </c>
      <c r="F76" s="416" cm="1">
        <f t="array" ref="F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6" s="416" cm="1">
        <f t="array" ref="G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6" s="416" cm="1">
        <f t="array" ref="H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20000000</v>
      </c>
      <c r="I76" s="416">
        <f>IFERROR(Table_Main[[#This Row],[Giá trị tồn đầu ngày]]/Table_Main[[#This Row],[Tồn kho đầu ngày]],0)</f>
        <v>100000</v>
      </c>
      <c r="J76" s="416">
        <f>IFERROR(Table_Main[[#This Row],[Giá trị tồn cuối ngày]]/Table_Main[[#This Row],[Tồn kho cuối ngày]],0)</f>
        <v>100000</v>
      </c>
      <c r="K76" s="411">
        <v>45724</v>
      </c>
      <c r="L7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6" s="29">
        <f>IFERROR(MONTH(Table_Main[[#This Row],[Ngày lên đơn]]),0)</f>
        <v>1</v>
      </c>
      <c r="N76" s="51" t="str">
        <f>IF(Table_Main[[#This Row],[Ngày lên đơn]]=0,"",Table_Main[[#This Row],[Ngày xuất nhập]]-Table_Main[[#This Row],[Ngày lên đơn]])</f>
        <v/>
      </c>
      <c r="O76" s="230" t="s">
        <v>53</v>
      </c>
      <c r="P76" s="230" t="s">
        <v>1155</v>
      </c>
      <c r="Q76" s="404">
        <v>100</v>
      </c>
      <c r="R76" s="516"/>
      <c r="S76" s="530">
        <f>IFERROR(VLOOKUP(Table_Main[[#This Row],[Đơn Mua]],Table_DonMua[[Mã Đơn mua]:[Add]],COUNTA(Table_DonMua[[#Headers],[Mã Đơn mua]:[Mã Đối tác]]),0),0)</f>
        <v>0</v>
      </c>
      <c r="T76" s="405"/>
      <c r="U76" s="48">
        <f xml:space="preserve">
IF(NOT(ISBLANK(Table_Main[[#This Row],[Đơn Mua]])),Table_Main[[#This Row],[Số lượng]]*Table_Main[[#This Row],[Giá nhập]],Table_Main[[#This Row],[Số lượng]]*Table_Main[[#This Row],[Giá trị bình quân đầu ngày]])</f>
        <v>10000000</v>
      </c>
      <c r="V7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6" s="48">
        <f>IF(Table_Main[[#This Row],[Đơn Mua]]="", 0,IFERROR(Table_Main[[#This Row],[Tỷ suất VAT khấu trừ]]*(Table_Main[[#This Row],[Giá trị hàng nhập]]/(1+Table_Main[[#This Row],[Tỷ suất VAT khấu trừ]])),0))</f>
        <v>0</v>
      </c>
      <c r="X76" s="516"/>
      <c r="Y76" s="28">
        <f>IFERROR(VLOOKUP(Table_Main[[#This Row],[Đơn bán]],Table_DonBan[[Mã Đơn bán]:[Add]],COUNTA(Table_DonBan[[#Headers],[Mã Đơn bán]:[Mã Khách]]),0),0)</f>
        <v>0</v>
      </c>
      <c r="Z76" s="48">
        <f>IF(ISBLANK(Table_Main[[#This Row],[Đơn bán]]),0,
VLOOKUP(Table_Main[[#This Row],[Mã SKU]],Table_SKU[[Mã SKU]:[Giá bán]],COUNTA(Table_SKU[[#Headers],[Mã SKU]:[Giá bán]]),0))</f>
        <v>0</v>
      </c>
      <c r="AA76" s="48">
        <f>IF(ISBLANK(Table_Main[[#This Row],[Đơn bán]]),0,
IF(Table_Main[[#This Row],[Loại]] = "Xuất",Table_Main[[#This Row],[Giá bán niêm yết]]*Table_Main[[#This Row],[Số lượng]],-Table_Main[[#This Row],[Giá bán niêm yết]]*Table_Main[[#This Row],[Số lượng]]))</f>
        <v>0</v>
      </c>
      <c r="AB76" s="230"/>
      <c r="AC7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6" s="66">
        <f>IFERROR(
VLOOKUP(Table_Main[[#This Row],[Mã SKU]],Table_SKU[[Mã SKU]:[Tỷ suất VAT]],COUNTA(Table_SKU[[#Headers],[Mã SKU]:[Tỷ suất VAT]]),0),0)</f>
        <v>0</v>
      </c>
      <c r="AG76" s="48">
        <f xml:space="preserve">
IF(Table_Main[[#This Row],[Đơn bán]]="", 0,Table_Main[[#This Row],[Tỷ suất VAT]]*Table_Main[[#This Row],[Giá trị bán trước VAT]])</f>
        <v>0</v>
      </c>
      <c r="AH76" s="51">
        <f>IFERROR(VLOOKUP(Table_Main[[#This Row],[Đơn bán]],Table_DonBan[[Mã Đơn bán]:[Add]],COUNTA(Table_DonBan[[#Headers],[Mã Đơn bán]:[Mã NV]]),0),0)</f>
        <v>0</v>
      </c>
      <c r="AI7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6" s="48">
        <f>IFERROR(Table_Main[[#This Row],[Giá trị bán trước VAT]]*Table_Main[[#This Row],[Tỷ lệ hoa hồng]],"")</f>
        <v>0</v>
      </c>
      <c r="AK76" s="48">
        <f>IFERROR(VLOOKUP(Table_Main[[#This Row],[Đơn bán]],Table_DonBan[[Mã Đơn bán]:[Add]],COUNTA(Table_DonBan[[#Headers],[Mã Đơn bán]:[Kênh]]),0),0)</f>
        <v>0</v>
      </c>
      <c r="AL7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6" s="48">
        <f>IFERROR(Table_Main[[#This Row],[Giá trị bán trước VAT]]*Table_Main[[#This Row],[Tỷ lệ CK kênh]],"")</f>
        <v>0</v>
      </c>
      <c r="AN76" s="230"/>
      <c r="AO76" s="232"/>
      <c r="AP76" s="226">
        <f>Table_Main[[#This Row],[ĐK - Phân loại]]*Table_Main[[#This Row],[ĐK - Thời gian]]*Table_Main[[#This Row],[ĐK - Giá trị]]*Table_Main[[#This Row],[ĐK - Số lượng]]*Table_Main[[#This Row],[ĐK - Sinh nhật]]*Table_Main[[#This Row],[ĐK - Ngày mua cuối]]</f>
        <v>1</v>
      </c>
      <c r="AQ76" s="226">
        <f xml:space="preserve">
IF(ISBLANK(Table_Main[[#This Row],[Chương trình]]),1,
IF(VLOOKUP(Table_Main[[#This Row],[Chương trình]],Table_ChuongTrinh[[Mã Chương trình]:[Đối tượng CK]],Sheet_ChuongTrinh!$C$1,0) = "Sản phẩm",1,0))</f>
        <v>1</v>
      </c>
      <c r="AR7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7" spans="2:48" ht="18" customHeight="1" x14ac:dyDescent="0.15">
      <c r="B77" s="236"/>
      <c r="C77" s="238" t="s">
        <v>1152</v>
      </c>
      <c r="D77" s="531" t="str">
        <f>IF(ISBLANK(Table_Main[[#This Row],[Mã SKU]]),Table_Main[[#This Row],[Mã Nguyên liệu]],Table_Main[[#This Row],[Mã SKU]])</f>
        <v>NL2</v>
      </c>
      <c r="E77" s="416" cm="1">
        <f t="array" ref="E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7" s="416" cm="1">
        <f t="array" ref="F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7" s="416" cm="1">
        <f t="array" ref="G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7" s="416" cm="1">
        <f t="array" ref="H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22500000</v>
      </c>
      <c r="I77" s="416">
        <f>IFERROR(Table_Main[[#This Row],[Giá trị tồn đầu ngày]]/Table_Main[[#This Row],[Tồn kho đầu ngày]],0)</f>
        <v>150000</v>
      </c>
      <c r="J77" s="416">
        <f>IFERROR(Table_Main[[#This Row],[Giá trị tồn cuối ngày]]/Table_Main[[#This Row],[Tồn kho cuối ngày]],0)</f>
        <v>150000</v>
      </c>
      <c r="K77" s="411">
        <v>45724</v>
      </c>
      <c r="L7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7" s="29">
        <f>IFERROR(MONTH(Table_Main[[#This Row],[Ngày lên đơn]]),0)</f>
        <v>1</v>
      </c>
      <c r="N77" s="544" t="str">
        <f>IF(Table_Main[[#This Row],[Ngày lên đơn]]=0,"",Table_Main[[#This Row],[Ngày xuất nhập]]-Table_Main[[#This Row],[Ngày lên đơn]])</f>
        <v/>
      </c>
      <c r="O77" s="7" t="s">
        <v>53</v>
      </c>
      <c r="P77" s="230" t="s">
        <v>1155</v>
      </c>
      <c r="Q77" s="404">
        <v>50</v>
      </c>
      <c r="R77" s="516"/>
      <c r="S77" s="530">
        <f>IFERROR(VLOOKUP(Table_Main[[#This Row],[Đơn Mua]],Table_DonMua[[Mã Đơn mua]:[Add]],COUNTA(Table_DonMua[[#Headers],[Mã Đơn mua]:[Mã Đối tác]]),0),0)</f>
        <v>0</v>
      </c>
      <c r="T77" s="405"/>
      <c r="U77" s="48">
        <f xml:space="preserve">
IF(NOT(ISBLANK(Table_Main[[#This Row],[Đơn Mua]])),Table_Main[[#This Row],[Số lượng]]*Table_Main[[#This Row],[Giá nhập]],Table_Main[[#This Row],[Số lượng]]*Table_Main[[#This Row],[Giá trị bình quân đầu ngày]])</f>
        <v>7500000</v>
      </c>
      <c r="V7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7" s="48">
        <f>IF(Table_Main[[#This Row],[Đơn Mua]]="", 0,IFERROR(Table_Main[[#This Row],[Tỷ suất VAT khấu trừ]]*(Table_Main[[#This Row],[Giá trị hàng nhập]]/(1+Table_Main[[#This Row],[Tỷ suất VAT khấu trừ]])),0))</f>
        <v>0</v>
      </c>
      <c r="X77" s="516"/>
      <c r="Y77" s="28">
        <f>IFERROR(VLOOKUP(Table_Main[[#This Row],[Đơn bán]],Table_DonBan[[Mã Đơn bán]:[Add]],COUNTA(Table_DonBan[[#Headers],[Mã Đơn bán]:[Mã Khách]]),0),0)</f>
        <v>0</v>
      </c>
      <c r="Z77" s="48">
        <f>IF(ISBLANK(Table_Main[[#This Row],[Đơn bán]]),0,
VLOOKUP(Table_Main[[#This Row],[Mã SKU]],Table_SKU[[Mã SKU]:[Giá bán]],COUNTA(Table_SKU[[#Headers],[Mã SKU]:[Giá bán]]),0))</f>
        <v>0</v>
      </c>
      <c r="AA77" s="48">
        <f>IF(ISBLANK(Table_Main[[#This Row],[Đơn bán]]),0,
IF(Table_Main[[#This Row],[Loại]] = "Xuất",Table_Main[[#This Row],[Giá bán niêm yết]]*Table_Main[[#This Row],[Số lượng]],-Table_Main[[#This Row],[Giá bán niêm yết]]*Table_Main[[#This Row],[Số lượng]]))</f>
        <v>0</v>
      </c>
      <c r="AB77" s="230"/>
      <c r="AC7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7" s="66">
        <f>IFERROR(
VLOOKUP(Table_Main[[#This Row],[Mã SKU]],Table_SKU[[Mã SKU]:[Tỷ suất VAT]],COUNTA(Table_SKU[[#Headers],[Mã SKU]:[Tỷ suất VAT]]),0),0)</f>
        <v>0</v>
      </c>
      <c r="AG77" s="48">
        <f xml:space="preserve">
IF(Table_Main[[#This Row],[Đơn bán]]="", 0,Table_Main[[#This Row],[Tỷ suất VAT]]*Table_Main[[#This Row],[Giá trị bán trước VAT]])</f>
        <v>0</v>
      </c>
      <c r="AH77" s="51">
        <f>IFERROR(VLOOKUP(Table_Main[[#This Row],[Đơn bán]],Table_DonBan[[Mã Đơn bán]:[Add]],COUNTA(Table_DonBan[[#Headers],[Mã Đơn bán]:[Mã NV]]),0),0)</f>
        <v>0</v>
      </c>
      <c r="AI7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7" s="48">
        <f>IFERROR(Table_Main[[#This Row],[Giá trị bán trước VAT]]*Table_Main[[#This Row],[Tỷ lệ hoa hồng]],"")</f>
        <v>0</v>
      </c>
      <c r="AK77" s="48">
        <f>IFERROR(VLOOKUP(Table_Main[[#This Row],[Đơn bán]],Table_DonBan[[Mã Đơn bán]:[Add]],COUNTA(Table_DonBan[[#Headers],[Mã Đơn bán]:[Kênh]]),0),0)</f>
        <v>0</v>
      </c>
      <c r="AL7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7" s="48">
        <f>IFERROR(Table_Main[[#This Row],[Giá trị bán trước VAT]]*Table_Main[[#This Row],[Tỷ lệ CK kênh]],"")</f>
        <v>0</v>
      </c>
      <c r="AN77" s="230"/>
      <c r="AO77" s="232"/>
      <c r="AP77" s="226">
        <f>Table_Main[[#This Row],[ĐK - Phân loại]]*Table_Main[[#This Row],[ĐK - Thời gian]]*Table_Main[[#This Row],[ĐK - Giá trị]]*Table_Main[[#This Row],[ĐK - Số lượng]]*Table_Main[[#This Row],[ĐK - Sinh nhật]]*Table_Main[[#This Row],[ĐK - Ngày mua cuối]]</f>
        <v>1</v>
      </c>
      <c r="AQ77" s="226">
        <f xml:space="preserve">
IF(ISBLANK(Table_Main[[#This Row],[Chương trình]]),1,
IF(VLOOKUP(Table_Main[[#This Row],[Chương trình]],Table_ChuongTrinh[[Mã Chương trình]:[Đối tượng CK]],Sheet_ChuongTrinh!$C$1,0) = "Sản phẩm",1,0))</f>
        <v>1</v>
      </c>
      <c r="AR7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8" spans="2:48" ht="18" customHeight="1" x14ac:dyDescent="0.3">
      <c r="B78" s="525" t="s">
        <v>1149</v>
      </c>
      <c r="C78" s="516"/>
      <c r="D78" s="530" t="str">
        <f>IF(ISBLANK(Table_Main[[#This Row],[Mã SKU]]),Table_Main[[#This Row],[Mã Nguyên liệu]],Table_Main[[#This Row],[Mã SKU]])</f>
        <v>HH1</v>
      </c>
      <c r="E78" s="416" cm="1">
        <f t="array" ref="E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8" s="416" cm="1">
        <f t="array" ref="F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8" s="416" cm="1">
        <f t="array" ref="G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8" s="416" cm="1">
        <f t="array" ref="H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12000000</v>
      </c>
      <c r="I78" s="416">
        <f>IFERROR(Table_Main[[#This Row],[Giá trị tồn đầu ngày]]/Table_Main[[#This Row],[Tồn kho đầu ngày]],0)</f>
        <v>0</v>
      </c>
      <c r="J78" s="416">
        <f>IFERROR(Table_Main[[#This Row],[Giá trị tồn cuối ngày]]/Table_Main[[#This Row],[Tồn kho cuối ngày]],0)</f>
        <v>80000</v>
      </c>
      <c r="K78" s="411">
        <v>45722</v>
      </c>
      <c r="L78"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8" s="29">
        <f>IFERROR(MONTH(Table_Main[[#This Row],[Ngày lên đơn]]),0)</f>
        <v>3</v>
      </c>
      <c r="N78" s="51">
        <f>IF(Table_Main[[#This Row],[Ngày lên đơn]]=0,"",Table_Main[[#This Row],[Ngày xuất nhập]]-Table_Main[[#This Row],[Ngày lên đơn]])</f>
        <v>0</v>
      </c>
      <c r="O78" s="230" t="s">
        <v>1154</v>
      </c>
      <c r="P78" s="230" t="s">
        <v>1155</v>
      </c>
      <c r="Q78" s="404">
        <v>150</v>
      </c>
      <c r="R78" s="516" t="s">
        <v>1162</v>
      </c>
      <c r="S78" s="530" t="str">
        <f>IFERROR(VLOOKUP(Table_Main[[#This Row],[Đơn Mua]],Table_DonMua[[Mã Đơn mua]:[Add]],COUNTA(Table_DonMua[[#Headers],[Mã Đơn mua]:[Mã Đối tác]]),0),0)</f>
        <v>NCC1</v>
      </c>
      <c r="T78" s="405">
        <v>80000</v>
      </c>
      <c r="U78" s="48">
        <f xml:space="preserve">
IF(NOT(ISBLANK(Table_Main[[#This Row],[Đơn Mua]])),Table_Main[[#This Row],[Số lượng]]*Table_Main[[#This Row],[Giá nhập]],Table_Main[[#This Row],[Số lượng]]*Table_Main[[#This Row],[Giá trị bình quân đầu ngày]])</f>
        <v>12000000</v>
      </c>
      <c r="V7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8" s="48">
        <f>IF(Table_Main[[#This Row],[Đơn Mua]]="", 0,IFERROR(Table_Main[[#This Row],[Tỷ suất VAT khấu trừ]]*(Table_Main[[#This Row],[Giá trị hàng nhập]]/(1+Table_Main[[#This Row],[Tỷ suất VAT khấu trừ]])),0))</f>
        <v>0</v>
      </c>
      <c r="X78" s="516"/>
      <c r="Y78" s="28">
        <f>IFERROR(VLOOKUP(Table_Main[[#This Row],[Đơn bán]],Table_DonBan[[Mã Đơn bán]:[Add]],COUNTA(Table_DonBan[[#Headers],[Mã Đơn bán]:[Mã Khách]]),0),0)</f>
        <v>0</v>
      </c>
      <c r="Z78" s="48">
        <f>IF(ISBLANK(Table_Main[[#This Row],[Đơn bán]]),0,
VLOOKUP(Table_Main[[#This Row],[Mã SKU]],Table_SKU[[Mã SKU]:[Giá bán]],COUNTA(Table_SKU[[#Headers],[Mã SKU]:[Giá bán]]),0))</f>
        <v>0</v>
      </c>
      <c r="AA78" s="48">
        <f>IF(ISBLANK(Table_Main[[#This Row],[Đơn bán]]),0,
IF(Table_Main[[#This Row],[Loại]] = "Xuất",Table_Main[[#This Row],[Giá bán niêm yết]]*Table_Main[[#This Row],[Số lượng]],-Table_Main[[#This Row],[Giá bán niêm yết]]*Table_Main[[#This Row],[Số lượng]]))</f>
        <v>0</v>
      </c>
      <c r="AB78" s="230"/>
      <c r="AC7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8" s="66">
        <f>IFERROR(
VLOOKUP(Table_Main[[#This Row],[Mã SKU]],Table_SKU[[Mã SKU]:[Tỷ suất VAT]],COUNTA(Table_SKU[[#Headers],[Mã SKU]:[Tỷ suất VAT]]),0),0)</f>
        <v>0</v>
      </c>
      <c r="AG78" s="48">
        <f xml:space="preserve">
IF(Table_Main[[#This Row],[Đơn bán]]="", 0,Table_Main[[#This Row],[Tỷ suất VAT]]*Table_Main[[#This Row],[Giá trị bán trước VAT]])</f>
        <v>0</v>
      </c>
      <c r="AH78" s="51">
        <f>IFERROR(VLOOKUP(Table_Main[[#This Row],[Đơn bán]],Table_DonBan[[Mã Đơn bán]:[Add]],COUNTA(Table_DonBan[[#Headers],[Mã Đơn bán]:[Mã NV]]),0),0)</f>
        <v>0</v>
      </c>
      <c r="AI7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8" s="48">
        <f>IFERROR(Table_Main[[#This Row],[Giá trị bán trước VAT]]*Table_Main[[#This Row],[Tỷ lệ hoa hồng]],"")</f>
        <v>0</v>
      </c>
      <c r="AK78" s="48">
        <f>IFERROR(VLOOKUP(Table_Main[[#This Row],[Đơn bán]],Table_DonBan[[Mã Đơn bán]:[Add]],COUNTA(Table_DonBan[[#Headers],[Mã Đơn bán]:[Kênh]]),0),0)</f>
        <v>0</v>
      </c>
      <c r="AL7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8" s="48">
        <f>IFERROR(Table_Main[[#This Row],[Giá trị bán trước VAT]]*Table_Main[[#This Row],[Tỷ lệ CK kênh]],"")</f>
        <v>0</v>
      </c>
      <c r="AN78" s="230"/>
      <c r="AO78" s="232"/>
      <c r="AP78" s="226">
        <f>Table_Main[[#This Row],[ĐK - Phân loại]]*Table_Main[[#This Row],[ĐK - Thời gian]]*Table_Main[[#This Row],[ĐK - Giá trị]]*Table_Main[[#This Row],[ĐK - Số lượng]]*Table_Main[[#This Row],[ĐK - Sinh nhật]]*Table_Main[[#This Row],[ĐK - Ngày mua cuối]]</f>
        <v>1</v>
      </c>
      <c r="AQ78" s="226">
        <f xml:space="preserve">
IF(ISBLANK(Table_Main[[#This Row],[Chương trình]]),1,
IF(VLOOKUP(Table_Main[[#This Row],[Chương trình]],Table_ChuongTrinh[[Mã Chương trình]:[Đối tượng CK]],Sheet_ChuongTrinh!$C$1,0) = "Sản phẩm",1,0))</f>
        <v>1</v>
      </c>
      <c r="AR7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9" spans="2:48" ht="18" customHeight="1" x14ac:dyDescent="0.3">
      <c r="B79" s="236"/>
      <c r="C79" s="238" t="s">
        <v>1152</v>
      </c>
      <c r="D79" s="531" t="str">
        <f>IF(ISBLANK(Table_Main[[#This Row],[Mã SKU]]),Table_Main[[#This Row],[Mã Nguyên liệu]],Table_Main[[#This Row],[Mã SKU]])</f>
        <v>NL2</v>
      </c>
      <c r="E79" s="416" cm="1">
        <f t="array" ref="E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9" s="416" cm="1">
        <f t="array" ref="F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9" s="416" cm="1">
        <f t="array" ref="G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9" s="416" cm="1">
        <f t="array" ref="H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79" s="416">
        <f>IFERROR(Table_Main[[#This Row],[Giá trị tồn đầu ngày]]/Table_Main[[#This Row],[Tồn kho đầu ngày]],0)</f>
        <v>0</v>
      </c>
      <c r="J79" s="416">
        <f>IFERROR(Table_Main[[#This Row],[Giá trị tồn cuối ngày]]/Table_Main[[#This Row],[Tồn kho cuối ngày]],0)</f>
        <v>150000</v>
      </c>
      <c r="K79" s="411">
        <v>45722</v>
      </c>
      <c r="L79"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9" s="29">
        <f>IFERROR(MONTH(Table_Main[[#This Row],[Ngày lên đơn]]),0)</f>
        <v>3</v>
      </c>
      <c r="N79" s="51">
        <f>IF(Table_Main[[#This Row],[Ngày lên đơn]]=0,"",Table_Main[[#This Row],[Ngày xuất nhập]]-Table_Main[[#This Row],[Ngày lên đơn]])</f>
        <v>0</v>
      </c>
      <c r="O79" s="230" t="s">
        <v>1154</v>
      </c>
      <c r="P79" s="230" t="s">
        <v>1155</v>
      </c>
      <c r="Q79" s="404">
        <v>200</v>
      </c>
      <c r="R79" s="516" t="s">
        <v>1162</v>
      </c>
      <c r="S79" s="530" t="str">
        <f>IFERROR(VLOOKUP(Table_Main[[#This Row],[Đơn Mua]],Table_DonMua[[Mã Đơn mua]:[Add]],COUNTA(Table_DonMua[[#Headers],[Mã Đơn mua]:[Mã Đối tác]]),0),0)</f>
        <v>NCC1</v>
      </c>
      <c r="T79" s="405">
        <v>150000</v>
      </c>
      <c r="U79" s="48">
        <f xml:space="preserve">
IF(NOT(ISBLANK(Table_Main[[#This Row],[Đơn Mua]])),Table_Main[[#This Row],[Số lượng]]*Table_Main[[#This Row],[Giá nhập]],Table_Main[[#This Row],[Số lượng]]*Table_Main[[#This Row],[Giá trị bình quân đầu ngày]])</f>
        <v>30000000</v>
      </c>
      <c r="V7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9" s="48">
        <f>IF(Table_Main[[#This Row],[Đơn Mua]]="", 0,IFERROR(Table_Main[[#This Row],[Tỷ suất VAT khấu trừ]]*(Table_Main[[#This Row],[Giá trị hàng nhập]]/(1+Table_Main[[#This Row],[Tỷ suất VAT khấu trừ]])),0))</f>
        <v>0</v>
      </c>
      <c r="X79" s="516"/>
      <c r="Y79" s="28">
        <f>IFERROR(VLOOKUP(Table_Main[[#This Row],[Đơn bán]],Table_DonBan[[Mã Đơn bán]:[Add]],COUNTA(Table_DonBan[[#Headers],[Mã Đơn bán]:[Mã Khách]]),0),0)</f>
        <v>0</v>
      </c>
      <c r="Z79" s="48">
        <f>IF(ISBLANK(Table_Main[[#This Row],[Đơn bán]]),0,
VLOOKUP(Table_Main[[#This Row],[Mã SKU]],Table_SKU[[Mã SKU]:[Giá bán]],COUNTA(Table_SKU[[#Headers],[Mã SKU]:[Giá bán]]),0))</f>
        <v>0</v>
      </c>
      <c r="AA79" s="48">
        <f>IF(ISBLANK(Table_Main[[#This Row],[Đơn bán]]),0,
IF(Table_Main[[#This Row],[Loại]] = "Xuất",Table_Main[[#This Row],[Giá bán niêm yết]]*Table_Main[[#This Row],[Số lượng]],-Table_Main[[#This Row],[Giá bán niêm yết]]*Table_Main[[#This Row],[Số lượng]]))</f>
        <v>0</v>
      </c>
      <c r="AB79" s="230"/>
      <c r="AC7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9" s="66">
        <f>IFERROR(
VLOOKUP(Table_Main[[#This Row],[Mã SKU]],Table_SKU[[Mã SKU]:[Tỷ suất VAT]],COUNTA(Table_SKU[[#Headers],[Mã SKU]:[Tỷ suất VAT]]),0),0)</f>
        <v>0</v>
      </c>
      <c r="AG79" s="48">
        <f xml:space="preserve">
IF(Table_Main[[#This Row],[Đơn bán]]="", 0,Table_Main[[#This Row],[Tỷ suất VAT]]*Table_Main[[#This Row],[Giá trị bán trước VAT]])</f>
        <v>0</v>
      </c>
      <c r="AH79" s="51">
        <f>IFERROR(VLOOKUP(Table_Main[[#This Row],[Đơn bán]],Table_DonBan[[Mã Đơn bán]:[Add]],COUNTA(Table_DonBan[[#Headers],[Mã Đơn bán]:[Mã NV]]),0),0)</f>
        <v>0</v>
      </c>
      <c r="AI7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9" s="48">
        <f>IFERROR(Table_Main[[#This Row],[Giá trị bán trước VAT]]*Table_Main[[#This Row],[Tỷ lệ hoa hồng]],"")</f>
        <v>0</v>
      </c>
      <c r="AK79" s="48">
        <f>IFERROR(VLOOKUP(Table_Main[[#This Row],[Đơn bán]],Table_DonBan[[Mã Đơn bán]:[Add]],COUNTA(Table_DonBan[[#Headers],[Mã Đơn bán]:[Kênh]]),0),0)</f>
        <v>0</v>
      </c>
      <c r="AL7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9" s="48">
        <f>IFERROR(Table_Main[[#This Row],[Giá trị bán trước VAT]]*Table_Main[[#This Row],[Tỷ lệ CK kênh]],"")</f>
        <v>0</v>
      </c>
      <c r="AN79" s="230"/>
      <c r="AO79" s="232"/>
      <c r="AP79" s="226">
        <f>Table_Main[[#This Row],[ĐK - Phân loại]]*Table_Main[[#This Row],[ĐK - Thời gian]]*Table_Main[[#This Row],[ĐK - Giá trị]]*Table_Main[[#This Row],[ĐK - Số lượng]]*Table_Main[[#This Row],[ĐK - Sinh nhật]]*Table_Main[[#This Row],[ĐK - Ngày mua cuối]]</f>
        <v>1</v>
      </c>
      <c r="AQ79" s="226">
        <f xml:space="preserve">
IF(ISBLANK(Table_Main[[#This Row],[Chương trình]]),1,
IF(VLOOKUP(Table_Main[[#This Row],[Chương trình]],Table_ChuongTrinh[[Mã Chương trình]:[Đối tượng CK]],Sheet_ChuongTrinh!$C$1,0) = "Sản phẩm",1,0))</f>
        <v>1</v>
      </c>
      <c r="AR7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0" spans="2:48" ht="18" customHeight="1" x14ac:dyDescent="0.15">
      <c r="B80" s="236"/>
      <c r="C80" s="238" t="s">
        <v>1153</v>
      </c>
      <c r="D80" s="531" t="str">
        <f>IF(ISBLANK(Table_Main[[#This Row],[Mã SKU]]),Table_Main[[#This Row],[Mã Nguyên liệu]],Table_Main[[#This Row],[Mã SKU]])</f>
        <v>NL1</v>
      </c>
      <c r="E80" s="416" cm="1">
        <f t="array" ref="E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0" s="416" cm="1">
        <f t="array" ref="F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v>
      </c>
      <c r="G80" s="416" cm="1">
        <f t="array" ref="G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0" s="416" cm="1">
        <f t="array" ref="H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80" s="416">
        <f>IFERROR(Table_Main[[#This Row],[Giá trị tồn đầu ngày]]/Table_Main[[#This Row],[Tồn kho đầu ngày]],0)</f>
        <v>0</v>
      </c>
      <c r="J80" s="416">
        <f>IFERROR(Table_Main[[#This Row],[Giá trị tồn cuối ngày]]/Table_Main[[#This Row],[Tồn kho cuối ngày]],0)</f>
        <v>100000</v>
      </c>
      <c r="K80" s="411">
        <v>45722</v>
      </c>
      <c r="L80" s="47">
        <f xml:space="preserve">
IFERROR(
IFERROR(
VLOOKUP(Table_Main[[#This Row],[Đơn Mua]],Table_DonMua[[Mã Đơn mua]:[Add]],COUNTA(Table_DonMua[[#Headers],[Mã Đơn mua]:[Ngày lập]]),0),
VLOOKUP(Table_Main[[#This Row],[Đơn bán]],Table_DonBan[[Mã Đơn bán]:[Add]], COUNTA(Table_DonBan[[#Headers],[Mã Đơn bán]:[Ngày lập]]),0)),0)</f>
        <v>45720</v>
      </c>
      <c r="M80" s="29">
        <f>IFERROR(MONTH(Table_Main[[#This Row],[Ngày lên đơn]]),0)</f>
        <v>3</v>
      </c>
      <c r="N80" s="544">
        <f>IF(Table_Main[[#This Row],[Ngày lên đơn]]=0,"",Table_Main[[#This Row],[Ngày xuất nhập]]-Table_Main[[#This Row],[Ngày lên đơn]])</f>
        <v>2</v>
      </c>
      <c r="O80" s="7" t="s">
        <v>1154</v>
      </c>
      <c r="P80" s="230" t="s">
        <v>1155</v>
      </c>
      <c r="Q80" s="404">
        <v>300</v>
      </c>
      <c r="R80" s="516" t="s">
        <v>1161</v>
      </c>
      <c r="S80" s="530" t="str">
        <f>IFERROR(VLOOKUP(Table_Main[[#This Row],[Đơn Mua]],Table_DonMua[[Mã Đơn mua]:[Add]],COUNTA(Table_DonMua[[#Headers],[Mã Đơn mua]:[Mã Đối tác]]),0),0)</f>
        <v>NCC2</v>
      </c>
      <c r="T80" s="405">
        <v>100000</v>
      </c>
      <c r="U80" s="48">
        <f xml:space="preserve">
IF(NOT(ISBLANK(Table_Main[[#This Row],[Đơn Mua]])),Table_Main[[#This Row],[Số lượng]]*Table_Main[[#This Row],[Giá nhập]],Table_Main[[#This Row],[Số lượng]]*Table_Main[[#This Row],[Giá trị bình quân đầu ngày]])</f>
        <v>30000000</v>
      </c>
      <c r="V8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0" s="48">
        <f>IF(Table_Main[[#This Row],[Đơn Mua]]="", 0,IFERROR(Table_Main[[#This Row],[Tỷ suất VAT khấu trừ]]*(Table_Main[[#This Row],[Giá trị hàng nhập]]/(1+Table_Main[[#This Row],[Tỷ suất VAT khấu trừ]])),0))</f>
        <v>0</v>
      </c>
      <c r="X80" s="516"/>
      <c r="Y80" s="28">
        <f>IFERROR(VLOOKUP(Table_Main[[#This Row],[Đơn bán]],Table_DonBan[[Mã Đơn bán]:[Add]],COUNTA(Table_DonBan[[#Headers],[Mã Đơn bán]:[Mã Khách]]),0),0)</f>
        <v>0</v>
      </c>
      <c r="Z80" s="48">
        <f>IF(ISBLANK(Table_Main[[#This Row],[Đơn bán]]),0,
VLOOKUP(Table_Main[[#This Row],[Mã SKU]],Table_SKU[[Mã SKU]:[Giá bán]],COUNTA(Table_SKU[[#Headers],[Mã SKU]:[Giá bán]]),0))</f>
        <v>0</v>
      </c>
      <c r="AA80" s="48">
        <f>IF(ISBLANK(Table_Main[[#This Row],[Đơn bán]]),0,
IF(Table_Main[[#This Row],[Loại]] = "Xuất",Table_Main[[#This Row],[Giá bán niêm yết]]*Table_Main[[#This Row],[Số lượng]],-Table_Main[[#This Row],[Giá bán niêm yết]]*Table_Main[[#This Row],[Số lượng]]))</f>
        <v>0</v>
      </c>
      <c r="AB80" s="230"/>
      <c r="AC8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0" s="66">
        <f>IFERROR(
VLOOKUP(Table_Main[[#This Row],[Mã SKU]],Table_SKU[[Mã SKU]:[Tỷ suất VAT]],COUNTA(Table_SKU[[#Headers],[Mã SKU]:[Tỷ suất VAT]]),0),0)</f>
        <v>0</v>
      </c>
      <c r="AG80" s="48">
        <f xml:space="preserve">
IF(Table_Main[[#This Row],[Đơn bán]]="", 0,Table_Main[[#This Row],[Tỷ suất VAT]]*Table_Main[[#This Row],[Giá trị bán trước VAT]])</f>
        <v>0</v>
      </c>
      <c r="AH80" s="51">
        <f>IFERROR(VLOOKUP(Table_Main[[#This Row],[Đơn bán]],Table_DonBan[[Mã Đơn bán]:[Add]],COUNTA(Table_DonBan[[#Headers],[Mã Đơn bán]:[Mã NV]]),0),0)</f>
        <v>0</v>
      </c>
      <c r="AI8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80" s="48">
        <f>IFERROR(Table_Main[[#This Row],[Giá trị bán trước VAT]]*Table_Main[[#This Row],[Tỷ lệ hoa hồng]],"")</f>
        <v>0</v>
      </c>
      <c r="AK80" s="48">
        <f>IFERROR(VLOOKUP(Table_Main[[#This Row],[Đơn bán]],Table_DonBan[[Mã Đơn bán]:[Add]],COUNTA(Table_DonBan[[#Headers],[Mã Đơn bán]:[Kênh]]),0),0)</f>
        <v>0</v>
      </c>
      <c r="AL8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80" s="48">
        <f>IFERROR(Table_Main[[#This Row],[Giá trị bán trước VAT]]*Table_Main[[#This Row],[Tỷ lệ CK kênh]],"")</f>
        <v>0</v>
      </c>
      <c r="AN80" s="230"/>
      <c r="AO80" s="232"/>
      <c r="AP80" s="226">
        <f>Table_Main[[#This Row],[ĐK - Phân loại]]*Table_Main[[#This Row],[ĐK - Thời gian]]*Table_Main[[#This Row],[ĐK - Giá trị]]*Table_Main[[#This Row],[ĐK - Số lượng]]*Table_Main[[#This Row],[ĐK - Sinh nhật]]*Table_Main[[#This Row],[ĐK - Ngày mua cuối]]</f>
        <v>1</v>
      </c>
      <c r="AQ80" s="226">
        <f xml:space="preserve">
IF(ISBLANK(Table_Main[[#This Row],[Chương trình]]),1,
IF(VLOOKUP(Table_Main[[#This Row],[Chương trình]],Table_ChuongTrinh[[Mã Chương trình]:[Đối tượng CK]],Sheet_ChuongTrinh!$C$1,0) = "Sản phẩm",1,0))</f>
        <v>1</v>
      </c>
      <c r="AR8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8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8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8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8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1" spans="2:48" ht="18" customHeight="1" x14ac:dyDescent="0.15">
      <c r="B81" s="21"/>
      <c r="C81" s="239"/>
      <c r="D81" s="533">
        <f>IF(ISBLANK(Table_Main[[#This Row],[Mã SKU]]),Table_Main[[#This Row],[Mã Nguyên liệu]],Table_Main[[#This Row],[Mã SKU]])</f>
        <v>0</v>
      </c>
      <c r="E81" s="416" cm="1">
        <f t="array" ref="E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1" s="416" cm="1">
        <f t="array" ref="F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G81" s="416" cm="1">
        <f t="array" ref="G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1" s="416" cm="1">
        <f t="array" ref="H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1" s="416">
        <f>IFERROR(Table_Main[[#This Row],[Giá trị tồn đầu ngày]]/Table_Main[[#This Row],[Tồn kho đầu ngày]],0)</f>
        <v>0</v>
      </c>
      <c r="J81" s="416">
        <f>IFERROR(Table_Main[[#This Row],[Giá trị tồn cuối ngày]]/Table_Main[[#This Row],[Tồn kho cuối ngày]],0)</f>
        <v>0</v>
      </c>
      <c r="K81" s="411"/>
      <c r="L8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1" s="115">
        <f>IFERROR(MONTH(Table_Main[[#This Row],[Ngày lên đơn]]),0)</f>
        <v>1</v>
      </c>
      <c r="N81" s="544" t="str">
        <f>IF(Table_Main[[#This Row],[Ngày lên đơn]]=0,"",Table_Main[[#This Row],[Ngày xuất nhập]]-Table_Main[[#This Row],[Ngày lên đơn]])</f>
        <v/>
      </c>
      <c r="O81" s="7"/>
      <c r="P81" s="230"/>
      <c r="Q81" s="417"/>
      <c r="R81" s="7"/>
      <c r="S81" s="28">
        <f>IFERROR(VLOOKUP(Table_Main[[#This Row],[Đơn Mua]],Table_DonMua[[Mã Đơn mua]:[Add]],COUNTA(Table_DonMua[[#Headers],[Mã Đơn mua]:[Mã Đối tác]]),0),0)</f>
        <v>0</v>
      </c>
      <c r="T81" s="418"/>
      <c r="U81" s="48">
        <f xml:space="preserve">
IF(NOT(ISBLANK(Table_Main[[#This Row],[Đơn Mua]])),Table_Main[[#This Row],[Số lượng]]*Table_Main[[#This Row],[Giá nhập]],Table_Main[[#This Row],[Số lượng]]*Table_Main[[#This Row],[Giá trị bình quân đầu ngày]])</f>
        <v>0</v>
      </c>
      <c r="V81" s="64">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1" s="48">
        <f>IF(Table_Main[[#This Row],[Đơn Mua]]="", 0,IFERROR(Table_Main[[#This Row],[Tỷ suất VAT khấu trừ]]*(Table_Main[[#This Row],[Giá trị hàng nhập]]/(1+Table_Main[[#This Row],[Tỷ suất VAT khấu trừ]])),0))</f>
        <v>0</v>
      </c>
      <c r="X81" s="7"/>
      <c r="Y81" s="28">
        <f>IFERROR(VLOOKUP(Table_Main[[#This Row],[Đơn bán]],Table_DonBan[[Mã Đơn bán]:[Add]],COUNTA(Table_DonBan[[#Headers],[Mã Đơn bán]:[Mã Khách]]),0),0)</f>
        <v>0</v>
      </c>
      <c r="Z81" s="48">
        <f>IF(ISBLANK(Table_Main[[#This Row],[Đơn bán]]),0,
VLOOKUP(Table_Main[[#This Row],[Mã SKU]],Table_SKU[[Mã SKU]:[Giá bán]],COUNTA(Table_SKU[[#Headers],[Mã SKU]:[Giá bán]]),0))</f>
        <v>0</v>
      </c>
      <c r="AA81" s="48">
        <f>IF(ISBLANK(Table_Main[[#This Row],[Đơn bán]]),0,
IF(Table_Main[[#This Row],[Loại]] = "Xuất",Table_Main[[#This Row],[Giá bán niêm yết]]*Table_Main[[#This Row],[Số lượng]],-Table_Main[[#This Row],[Giá bán niêm yết]]*Table_Main[[#This Row],[Số lượng]]))</f>
        <v>0</v>
      </c>
      <c r="AB81" s="7"/>
      <c r="AC8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1" s="120"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1" s="64">
        <f>IFERROR(
VLOOKUP(Table_Main[[#This Row],[Mã SKU]],Table_SKU[[Mã SKU]:[Tỷ suất VAT]],COUNTA(Table_SKU[[#Headers],[Mã SKU]:[Tỷ suất VAT]]),0),0)</f>
        <v>0</v>
      </c>
      <c r="AG81" s="48">
        <f xml:space="preserve">
IF(Table_Main[[#This Row],[Đơn bán]]="", 0,Table_Main[[#This Row],[Tỷ suất VAT]]*Table_Main[[#This Row],[Giá trị bán trước VAT]])</f>
        <v>0</v>
      </c>
      <c r="AH81" s="226">
        <f>IFERROR(VLOOKUP(Table_Main[[#This Row],[Đơn bán]],Table_DonBan[[Mã Đơn bán]:[Add]],COUNTA(Table_DonBan[[#Headers],[Mã Đơn bán]:[Mã NV]]),0),0)</f>
        <v>0</v>
      </c>
      <c r="AI8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81" s="48">
        <f>IFERROR(Table_Main[[#This Row],[Giá trị bán trước VAT]]*Table_Main[[#This Row],[Tỷ lệ hoa hồng]],"")</f>
        <v>0</v>
      </c>
      <c r="AK81" s="48">
        <f>IFERROR(VLOOKUP(Table_Main[[#This Row],[Đơn bán]],Table_DonBan[[Mã Đơn bán]:[Add]],COUNTA(Table_DonBan[[#Headers],[Mã Đơn bán]:[Kênh]]),0),0)</f>
        <v>0</v>
      </c>
      <c r="AL8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81" s="48">
        <f>IFERROR(Table_Main[[#This Row],[Giá trị bán trước VAT]]*Table_Main[[#This Row],[Tỷ lệ CK kênh]],"")</f>
        <v>0</v>
      </c>
      <c r="AN81" s="218"/>
      <c r="AO81" s="232"/>
      <c r="AP81" s="377">
        <f>Table_Main[[#This Row],[ĐK - Phân loại]]*Table_Main[[#This Row],[ĐK - Thời gian]]*Table_Main[[#This Row],[ĐK - Giá trị]]*Table_Main[[#This Row],[ĐK - Số lượng]]*Table_Main[[#This Row],[ĐK - Sinh nhật]]*Table_Main[[#This Row],[ĐK - Ngày mua cuối]]</f>
        <v>1</v>
      </c>
      <c r="AQ81" s="377">
        <f xml:space="preserve">
IF(ISBLANK(Table_Main[[#This Row],[Chương trình]]),1,
IF(VLOOKUP(Table_Main[[#This Row],[Chương trình]],Table_ChuongTrinh[[Mã Chương trình]:[Đối tượng CK]],Sheet_ChuongTrinh!$C$1,0) = "Sản phẩm",1,0))</f>
        <v>1</v>
      </c>
      <c r="AR81" s="377">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81" s="377">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81" s="377">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81" s="377">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81" s="377">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sheetData>
  <sheetProtection algorithmName="SHA-512" hashValue="zoLfQOz3/ifaMrX5URWrHvJ2x1+xTHvlaEUHHOAOWstJYDaxxzLAYqxcwHplUPxLhUYJeI3F+mU+3f6hvo5FJg==" saltValue="QlusTE4iDMQu4dmA0G7YHw==" spinCount="100000" sheet="1" scenarios="1" formatCells="0" formatColumns="0" formatRows="0" insertColumns="0" insertRows="0" deleteColumns="0" deleteRows="0" sort="0" autoFilter="0" pivotTables="0"/>
  <protectedRanges>
    <protectedRange sqref="A1:A2 E82:E1047769 AP82:AP1048576 B82:B1047769 A4:A1048490 AE82:AG1047769 BU6:XFD1048490 BM6:BN1048490 AU82:AU1048576 BF6:BK1048490 I82:J1047769 G82:G1047769 C81:J81 R81:S81 C3:XFD3 AJ82:AO1047769 U81:AV81 P82:Q1047769 AU4:XFD5 AU6:AV80 W4:AJ80 AN4:AO80 B3:B80 L81:N1047769 K4:T80" name="Range1"/>
    <protectedRange sqref="C4:D80" name="Range1_1"/>
    <protectedRange sqref="U4:V80" name="Range1_3"/>
    <protectedRange sqref="B81" name="Range1_4"/>
    <protectedRange sqref="K81" name="Range1_5"/>
    <protectedRange sqref="O81:P81" name="Range1_7"/>
    <protectedRange sqref="Q81" name="Range1_8"/>
    <protectedRange sqref="AK4:AM80" name="Range1_6"/>
    <protectedRange sqref="AP4:AT80" name="Range1_9"/>
    <protectedRange sqref="E4:J80" name="Range1_10"/>
  </protectedRanges>
  <phoneticPr fontId="14" type="noConversion"/>
  <conditionalFormatting sqref="AB3">
    <cfRule type="expression" dxfId="512" priority="3">
      <formula>$AP$3=0</formula>
    </cfRule>
  </conditionalFormatting>
  <conditionalFormatting sqref="AB5:AB81">
    <cfRule type="expression" dxfId="511" priority="593">
      <formula>$AP$81=0</formula>
    </cfRule>
  </conditionalFormatting>
  <dataValidations count="15">
    <dataValidation type="list" allowBlank="1" showInputMessage="1" showErrorMessage="1" sqref="B3" xr:uid="{D8EAE210-1A72-4FFA-9686-EB01A46CA25E}">
      <formula1>Ma_SKU</formula1>
    </dataValidation>
    <dataValidation type="list" allowBlank="1" showInputMessage="1" showErrorMessage="1" sqref="P3" xr:uid="{8F0FAAE7-C03E-4B80-8106-F23FF08C4E27}">
      <formula1>MaKho</formula1>
    </dataValidation>
    <dataValidation type="list" allowBlank="1" showInputMessage="1" showErrorMessage="1" sqref="X3" xr:uid="{EA39388B-08BC-494B-B65E-114DA68DD21B}">
      <formula1>MaDonBan</formula1>
    </dataValidation>
    <dataValidation type="list" allowBlank="1" showInputMessage="1" showErrorMessage="1" sqref="AB3" xr:uid="{453D98D3-7C17-4D70-A664-3C35BA5E53F3}">
      <formula1>MaChuongTrinh</formula1>
    </dataValidation>
    <dataValidation type="list" allowBlank="1" showInputMessage="1" showErrorMessage="1" sqref="AN3" xr:uid="{F46C4F23-60B6-49B3-BD5F-71B3230CA91E}">
      <formula1>MaVanDon</formula1>
    </dataValidation>
    <dataValidation type="list" allowBlank="1" showInputMessage="1" showErrorMessage="1" sqref="O3 O5:O81" xr:uid="{4274B77D-3573-4003-B01A-ECACB3DEC570}">
      <formula1>"Nhập, Xuất"</formula1>
    </dataValidation>
    <dataValidation type="list" allowBlank="1" showInputMessage="1" showErrorMessage="1" sqref="R3" xr:uid="{8961F0E3-6807-41E4-8D83-110C1B334386}">
      <formula1>MaDonMua</formula1>
    </dataValidation>
    <dataValidation type="list" allowBlank="1" showInputMessage="1" showErrorMessage="1" sqref="C3" xr:uid="{04AB2AD2-7839-47B7-9EE2-2C031F243064}">
      <formula1>MaNguyenLieu</formula1>
    </dataValidation>
    <dataValidation type="list" allowBlank="1" showInputMessage="1" sqref="B5:B81" xr:uid="{4F7D615C-D01E-4A8D-957A-04E646B9EAB5}">
      <formula1>Ma_SKU</formula1>
    </dataValidation>
    <dataValidation type="list" allowBlank="1" showInputMessage="1" sqref="C5:C81" xr:uid="{E3DF7348-A474-4888-BC1B-F3D6E5F4E0B7}">
      <formula1>MaNguyenLieu</formula1>
    </dataValidation>
    <dataValidation type="list" allowBlank="1" showInputMessage="1" sqref="P5:P81" xr:uid="{269C2D43-732F-4E59-9462-AE372FACEB57}">
      <formula1>MaKho</formula1>
    </dataValidation>
    <dataValidation type="list" allowBlank="1" showInputMessage="1" sqref="R5:R81" xr:uid="{487D71DA-C561-4598-8488-6318DBEAD6DD}">
      <formula1>MaDonMua</formula1>
    </dataValidation>
    <dataValidation type="list" allowBlank="1" showInputMessage="1" sqref="X5:X81" xr:uid="{93FA206E-0809-4DC7-8DC9-501ECB47612D}">
      <formula1>MaDonBan</formula1>
    </dataValidation>
    <dataValidation type="list" allowBlank="1" showInputMessage="1" sqref="AB5:AB81" xr:uid="{BCD4BB33-8C9A-42C1-B706-F6A0B62814EE}">
      <formula1>MaChuongTrinh</formula1>
    </dataValidation>
    <dataValidation type="list" allowBlank="1" showInputMessage="1" sqref="AN5:AN81" xr:uid="{078566DD-86B7-4164-93A9-0E783ABB18AF}">
      <formula1>MaVanDon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93" r:id="rId4" name="Button 9">
              <controlPr defaultSize="0" print="0" autoFill="0" autoPict="0" macro="[0]!CopyToTable">
                <anchor moveWithCells="1">
                  <from>
                    <xdr:col>40</xdr:col>
                    <xdr:colOff>28575</xdr:colOff>
                    <xdr:row>1</xdr:row>
                    <xdr:rowOff>200025</xdr:rowOff>
                  </from>
                  <to>
                    <xdr:col>48</xdr:col>
                    <xdr:colOff>57150</xdr:colOff>
                    <xdr:row>3</xdr:row>
                    <xdr:rowOff>0</xdr:rowOff>
                  </to>
                </anchor>
              </controlPr>
            </control>
          </mc:Choice>
        </mc:AlternateContent>
        <mc:AlternateContent xmlns:mc="http://schemas.openxmlformats.org/markup-compatibility/2006">
          <mc:Choice Requires="x14">
            <control shapeId="67595" r:id="rId5" name="Option Button 11">
              <controlPr defaultSize="0" autoFill="0" autoLine="0" autoPict="0" macro="[0]!DoiDonViHienThi">
                <anchor moveWithCells="1">
                  <from>
                    <xdr:col>16</xdr:col>
                    <xdr:colOff>257175</xdr:colOff>
                    <xdr:row>0</xdr:row>
                    <xdr:rowOff>152400</xdr:rowOff>
                  </from>
                  <to>
                    <xdr:col>16</xdr:col>
                    <xdr:colOff>847725</xdr:colOff>
                    <xdr:row>1</xdr:row>
                    <xdr:rowOff>142875</xdr:rowOff>
                  </to>
                </anchor>
              </controlPr>
            </control>
          </mc:Choice>
        </mc:AlternateContent>
        <mc:AlternateContent xmlns:mc="http://schemas.openxmlformats.org/markup-compatibility/2006">
          <mc:Choice Requires="x14">
            <control shapeId="67596" r:id="rId6" name="Option Button 12">
              <controlPr defaultSize="0" autoFill="0" autoLine="0" autoPict="0" macro="[0]!DoiDonViHienThi">
                <anchor moveWithCells="1">
                  <from>
                    <xdr:col>16</xdr:col>
                    <xdr:colOff>723900</xdr:colOff>
                    <xdr:row>0</xdr:row>
                    <xdr:rowOff>152400</xdr:rowOff>
                  </from>
                  <to>
                    <xdr:col>16</xdr:col>
                    <xdr:colOff>1314450</xdr:colOff>
                    <xdr:row>1</xdr:row>
                    <xdr:rowOff>142875</xdr:rowOff>
                  </to>
                </anchor>
              </controlPr>
            </control>
          </mc:Choice>
        </mc:AlternateContent>
        <mc:AlternateContent xmlns:mc="http://schemas.openxmlformats.org/markup-compatibility/2006">
          <mc:Choice Requires="x14">
            <control shapeId="67597" r:id="rId7" name="Option Button 13">
              <controlPr defaultSize="0" autoFill="0" autoLine="0" autoPict="0" macro="[0]!DoiDonViHienThi">
                <anchor moveWithCells="1">
                  <from>
                    <xdr:col>16</xdr:col>
                    <xdr:colOff>1190625</xdr:colOff>
                    <xdr:row>0</xdr:row>
                    <xdr:rowOff>152400</xdr:rowOff>
                  </from>
                  <to>
                    <xdr:col>17</xdr:col>
                    <xdr:colOff>457200</xdr:colOff>
                    <xdr:row>1</xdr:row>
                    <xdr:rowOff>142875</xdr:rowOff>
                  </to>
                </anchor>
              </controlPr>
            </control>
          </mc:Choice>
        </mc:AlternateContent>
        <mc:AlternateContent xmlns:mc="http://schemas.openxmlformats.org/markup-compatibility/2006">
          <mc:Choice Requires="x14">
            <control shapeId="67598" r:id="rId8" name="Option Button 14">
              <controlPr defaultSize="0" autoFill="0" autoLine="0" autoPict="0" macro="[0]!DoiDonViHienThi">
                <anchor moveWithCells="1">
                  <from>
                    <xdr:col>17</xdr:col>
                    <xdr:colOff>342900</xdr:colOff>
                    <xdr:row>0</xdr:row>
                    <xdr:rowOff>152400</xdr:rowOff>
                  </from>
                  <to>
                    <xdr:col>17</xdr:col>
                    <xdr:colOff>695325</xdr:colOff>
                    <xdr:row>1</xdr:row>
                    <xdr:rowOff>142875</xdr:rowOff>
                  </to>
                </anchor>
              </controlPr>
            </control>
          </mc:Choice>
        </mc:AlternateContent>
        <mc:AlternateContent xmlns:mc="http://schemas.openxmlformats.org/markup-compatibility/2006">
          <mc:Choice Requires="x14">
            <control shapeId="67599" r:id="rId9" name="Group Box 15">
              <controlPr defaultSize="0" autoFill="0" autoPict="0">
                <anchor moveWithCells="1">
                  <from>
                    <xdr:col>16</xdr:col>
                    <xdr:colOff>142875</xdr:colOff>
                    <xdr:row>0</xdr:row>
                    <xdr:rowOff>104775</xdr:rowOff>
                  </from>
                  <to>
                    <xdr:col>17</xdr:col>
                    <xdr:colOff>809625</xdr:colOff>
                    <xdr:row>1</xdr:row>
                    <xdr:rowOff>180975</xdr:rowOff>
                  </to>
                </anchor>
              </controlPr>
            </control>
          </mc:Choice>
        </mc:AlternateContent>
        <mc:AlternateContent xmlns:mc="http://schemas.openxmlformats.org/markup-compatibility/2006">
          <mc:Choice Requires="x14">
            <control shapeId="67600" r:id="rId10" name="Group Box 16">
              <controlPr defaultSize="0" autoFill="0" autoPict="0">
                <anchor moveWithCells="1">
                  <from>
                    <xdr:col>14</xdr:col>
                    <xdr:colOff>133350</xdr:colOff>
                    <xdr:row>0</xdr:row>
                    <xdr:rowOff>104775</xdr:rowOff>
                  </from>
                  <to>
                    <xdr:col>16</xdr:col>
                    <xdr:colOff>95250</xdr:colOff>
                    <xdr:row>1</xdr:row>
                    <xdr:rowOff>180975</xdr:rowOff>
                  </to>
                </anchor>
              </controlPr>
            </control>
          </mc:Choice>
        </mc:AlternateContent>
        <mc:AlternateContent xmlns:mc="http://schemas.openxmlformats.org/markup-compatibility/2006">
          <mc:Choice Requires="x14">
            <control shapeId="67601" r:id="rId11" name="Button 17">
              <controlPr defaultSize="0" autoFill="0" autoPict="0" macro="[0]!NhanNghin">
                <anchor moveWithCells="1">
                  <from>
                    <xdr:col>14</xdr:col>
                    <xdr:colOff>219075</xdr:colOff>
                    <xdr:row>0</xdr:row>
                    <xdr:rowOff>200025</xdr:rowOff>
                  </from>
                  <to>
                    <xdr:col>14</xdr:col>
                    <xdr:colOff>685800</xdr:colOff>
                    <xdr:row>1</xdr:row>
                    <xdr:rowOff>85725</xdr:rowOff>
                  </to>
                </anchor>
              </controlPr>
            </control>
          </mc:Choice>
        </mc:AlternateContent>
        <mc:AlternateContent xmlns:mc="http://schemas.openxmlformats.org/markup-compatibility/2006">
          <mc:Choice Requires="x14">
            <control shapeId="67602" r:id="rId12" name="Button 18">
              <controlPr defaultSize="0" autoFill="0" autoPict="0" macro="[0]!NhanTrieu">
                <anchor moveWithCells="1">
                  <from>
                    <xdr:col>14</xdr:col>
                    <xdr:colOff>733425</xdr:colOff>
                    <xdr:row>0</xdr:row>
                    <xdr:rowOff>200025</xdr:rowOff>
                  </from>
                  <to>
                    <xdr:col>15</xdr:col>
                    <xdr:colOff>285750</xdr:colOff>
                    <xdr:row>1</xdr:row>
                    <xdr:rowOff>85725</xdr:rowOff>
                  </to>
                </anchor>
              </controlPr>
            </control>
          </mc:Choice>
        </mc:AlternateContent>
        <mc:AlternateContent xmlns:mc="http://schemas.openxmlformats.org/markup-compatibility/2006">
          <mc:Choice Requires="x14">
            <control shapeId="67603" r:id="rId13" name="Button 19">
              <controlPr defaultSize="0" autoFill="0" autoPict="0" macro="[0]!NhanTy">
                <anchor moveWithCells="1">
                  <from>
                    <xdr:col>15</xdr:col>
                    <xdr:colOff>333375</xdr:colOff>
                    <xdr:row>0</xdr:row>
                    <xdr:rowOff>200025</xdr:rowOff>
                  </from>
                  <to>
                    <xdr:col>16</xdr:col>
                    <xdr:colOff>19050</xdr:colOff>
                    <xdr:row>1</xdr:row>
                    <xdr:rowOff>85725</xdr:rowOff>
                  </to>
                </anchor>
              </controlPr>
            </control>
          </mc:Choice>
        </mc:AlternateContent>
        <mc:AlternateContent xmlns:mc="http://schemas.openxmlformats.org/markup-compatibility/2006">
          <mc:Choice Requires="x14">
            <control shapeId="67604" r:id="rId14" name="Button 20">
              <controlPr defaultSize="0" print="0" autoFill="0" autoPict="0" macro="[0]!AddRow">
                <anchor moveWithCells="1">
                  <from>
                    <xdr:col>0</xdr:col>
                    <xdr:colOff>0</xdr:colOff>
                    <xdr:row>2</xdr:row>
                    <xdr:rowOff>9525</xdr:rowOff>
                  </from>
                  <to>
                    <xdr:col>0</xdr:col>
                    <xdr:colOff>476250</xdr:colOff>
                    <xdr:row>3</xdr:row>
                    <xdr:rowOff>38100</xdr:rowOff>
                  </to>
                </anchor>
              </controlPr>
            </control>
          </mc:Choice>
        </mc:AlternateContent>
        <mc:AlternateContent xmlns:mc="http://schemas.openxmlformats.org/markup-compatibility/2006">
          <mc:Choice Requires="x14">
            <control shapeId="67605" r:id="rId15" name="Button 21">
              <controlPr defaultSize="0" print="0" autoFill="0" autoPict="0" macro="[0]!DeleteRow">
                <anchor moveWithCells="1">
                  <from>
                    <xdr:col>0</xdr:col>
                    <xdr:colOff>514350</xdr:colOff>
                    <xdr:row>2</xdr:row>
                    <xdr:rowOff>9525</xdr:rowOff>
                  </from>
                  <to>
                    <xdr:col>0</xdr:col>
                    <xdr:colOff>990600</xdr:colOff>
                    <xdr:row>3</xdr:row>
                    <xdr:rowOff>38100</xdr:rowOff>
                  </to>
                </anchor>
              </controlPr>
            </control>
          </mc:Choice>
        </mc:AlternateContent>
        <mc:AlternateContent xmlns:mc="http://schemas.openxmlformats.org/markup-compatibility/2006">
          <mc:Choice Requires="x14">
            <control shapeId="67606" r:id="rId16" name="Button 22">
              <controlPr defaultSize="0" print="0" autoFill="0" autoPict="0" macro="[0]!AddColumn">
                <anchor moveWithCells="1">
                  <from>
                    <xdr:col>39</xdr:col>
                    <xdr:colOff>38100</xdr:colOff>
                    <xdr:row>0</xdr:row>
                    <xdr:rowOff>104775</xdr:rowOff>
                  </from>
                  <to>
                    <xdr:col>39</xdr:col>
                    <xdr:colOff>552450</xdr:colOff>
                    <xdr:row>1</xdr:row>
                    <xdr:rowOff>76200</xdr:rowOff>
                  </to>
                </anchor>
              </controlPr>
            </control>
          </mc:Choice>
        </mc:AlternateContent>
        <mc:AlternateContent xmlns:mc="http://schemas.openxmlformats.org/markup-compatibility/2006">
          <mc:Choice Requires="x14">
            <control shapeId="67607" r:id="rId17" name="Button 23">
              <controlPr defaultSize="0" print="0" autoFill="0" autoPict="0" macro="[0]!DeleteColumn">
                <anchor moveWithCells="1">
                  <from>
                    <xdr:col>39</xdr:col>
                    <xdr:colOff>590550</xdr:colOff>
                    <xdr:row>0</xdr:row>
                    <xdr:rowOff>104775</xdr:rowOff>
                  </from>
                  <to>
                    <xdr:col>39</xdr:col>
                    <xdr:colOff>1133475</xdr:colOff>
                    <xdr:row>1</xdr:row>
                    <xdr:rowOff>76200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6" id="{E517684A-1DE9-4B66-9F9E-ECEDE4DC6C2B}">
            <xm:f>Security!$A$1="NO VBA"</xm:f>
            <x14:dxf>
              <font>
                <color theme="0"/>
              </font>
              <border>
                <vertical/>
                <horizontal/>
              </border>
            </x14:dxf>
          </x14:cfRule>
          <xm:sqref>AU4:XFD4 A4:C4 A5:A1048576 C5:D53 L5:N80 R5:S80 U5:AE80 Q81:AE81 P5:P81 K4:AE4 A1:AE3 B82:AE1048576 B81:O81 AG1:XFD3 AG4:AO4 AG5:XFD1048576 AF1:AF1048576</xm:sqref>
        </x14:conditionalFormatting>
        <x14:conditionalFormatting xmlns:xm="http://schemas.microsoft.com/office/excel/2006/main">
          <x14:cfRule type="expression" priority="5" id="{05690E2A-6046-4CA2-B798-90C34DFFA5D8}">
            <xm:f>Security!$A$1="NO VBA"</xm:f>
            <x14:dxf>
              <font>
                <color theme="0"/>
              </font>
              <border>
                <vertical/>
                <horizontal/>
              </border>
            </x14:dxf>
          </x14:cfRule>
          <xm:sqref>AP4:AT4</xm:sqref>
        </x14:conditionalFormatting>
        <x14:conditionalFormatting xmlns:xm="http://schemas.microsoft.com/office/excel/2006/main">
          <x14:cfRule type="expression" priority="1" id="{53B26E8E-A919-4A64-AEAE-B3F56539CD87}">
            <xm:f>Security!$A$1="NO VBA"</xm:f>
            <x14:dxf>
              <font>
                <color theme="0"/>
              </font>
              <border>
                <vertical/>
                <horizontal/>
              </border>
            </x14:dxf>
          </x14:cfRule>
          <xm:sqref>D4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97A9-574E-458C-9ABE-98B48A20B66A}">
  <sheetPr codeName="Sheet24">
    <tabColor theme="7"/>
    <outlinePr summaryRight="0"/>
  </sheetPr>
  <dimension ref="A1:AA65"/>
  <sheetViews>
    <sheetView showGridLines="0" topLeftCell="K42" workbookViewId="0">
      <selection activeCell="P75" sqref="P75"/>
    </sheetView>
  </sheetViews>
  <sheetFormatPr defaultRowHeight="18" customHeight="1" outlineLevelRow="2" outlineLevelCol="2" x14ac:dyDescent="0.3"/>
  <cols>
    <col min="1" max="1" width="1.25" style="7" customWidth="1" collapsed="1"/>
    <col min="2" max="2" width="5.125" style="1" hidden="1" customWidth="1" outlineLevel="1" collapsed="1"/>
    <col min="3" max="4" width="11.5" style="1" hidden="1" customWidth="1" outlineLevel="2"/>
    <col min="5" max="5" width="37.5" style="1" hidden="1" customWidth="1" outlineLevel="1"/>
    <col min="6" max="6" width="12.625" style="1" hidden="1" customWidth="1" outlineLevel="1"/>
    <col min="7" max="7" width="12.5" style="1" hidden="1" customWidth="1" outlineLevel="1"/>
    <col min="8" max="8" width="13.375" style="1" hidden="1" customWidth="1" outlineLevel="1" collapsed="1"/>
    <col min="9" max="10" width="9" style="7" hidden="1" customWidth="1" outlineLevel="2"/>
    <col min="11" max="11" width="9.625" style="1" customWidth="1"/>
    <col min="12" max="12" width="5.375" style="7" bestFit="1" customWidth="1"/>
    <col min="13" max="13" width="16.375" style="7" customWidth="1"/>
    <col min="14" max="14" width="9" style="7"/>
    <col min="15" max="16" width="9.375" style="7" customWidth="1"/>
    <col min="17" max="17" width="9.625" style="7" customWidth="1" outlineLevel="1"/>
    <col min="18" max="18" width="10.5" style="7" customWidth="1" outlineLevel="1"/>
    <col min="19" max="19" width="8" style="7" bestFit="1" customWidth="1" outlineLevel="1"/>
    <col min="20" max="20" width="10.75" style="7" bestFit="1" customWidth="1" outlineLevel="1"/>
    <col min="21" max="21" width="11.5" style="7" customWidth="1"/>
    <col min="22" max="22" width="10.875" style="7" customWidth="1"/>
    <col min="23" max="23" width="17.375" style="7" customWidth="1" outlineLevel="1"/>
    <col min="24" max="24" width="9.5" style="7" customWidth="1"/>
    <col min="25" max="26" width="9" style="38"/>
    <col min="27" max="27" width="6.75" style="7" customWidth="1" collapsed="1"/>
    <col min="28" max="16384" width="9" style="7"/>
  </cols>
  <sheetData>
    <row r="1" spans="1:27" s="21" customFormat="1" ht="37.5" customHeight="1" x14ac:dyDescent="0.3">
      <c r="A1" s="247"/>
      <c r="B1" s="56" t="str">
        <f>EULA!$B11</f>
        <v>Công ty ABC XYZ</v>
      </c>
      <c r="C1" s="280"/>
      <c r="D1" s="280"/>
      <c r="E1" s="280"/>
      <c r="F1" s="280"/>
      <c r="G1" s="280"/>
      <c r="H1" s="57" t="s">
        <v>692</v>
      </c>
      <c r="I1" s="247"/>
      <c r="J1" s="247"/>
      <c r="K1" s="273"/>
      <c r="L1" s="247"/>
      <c r="M1" s="247"/>
      <c r="N1" s="247"/>
      <c r="O1" s="247"/>
      <c r="P1" s="247"/>
      <c r="Q1" s="247"/>
      <c r="R1" s="247"/>
      <c r="S1" s="247"/>
      <c r="T1" s="247"/>
      <c r="U1" s="247"/>
      <c r="V1" s="247"/>
      <c r="W1" s="247"/>
      <c r="X1" s="247"/>
      <c r="Y1" s="247"/>
      <c r="Z1" s="247"/>
      <c r="AA1" s="247"/>
    </row>
    <row r="2" spans="1:27" ht="18" hidden="1" customHeight="1" outlineLevel="2" x14ac:dyDescent="0.3">
      <c r="A2" s="240"/>
      <c r="B2" s="274"/>
      <c r="C2" s="1" t="s">
        <v>693</v>
      </c>
      <c r="D2" s="274"/>
      <c r="E2" s="274"/>
      <c r="F2" s="274"/>
      <c r="G2" s="274"/>
      <c r="H2" s="274"/>
      <c r="I2" s="240"/>
      <c r="J2" s="240"/>
      <c r="K2" s="273"/>
      <c r="L2" s="240"/>
      <c r="M2" s="240"/>
      <c r="N2" s="240"/>
      <c r="O2" s="240"/>
      <c r="P2" s="240"/>
      <c r="Q2" s="240"/>
      <c r="R2" s="240"/>
      <c r="S2" s="240"/>
      <c r="T2" s="240"/>
      <c r="U2" s="240"/>
      <c r="V2" s="240"/>
      <c r="W2" s="240"/>
      <c r="X2" s="240"/>
      <c r="Y2" s="241"/>
      <c r="Z2" s="241"/>
      <c r="AA2" s="240"/>
    </row>
    <row r="3" spans="1:27" ht="18" hidden="1" customHeight="1" outlineLevel="2" x14ac:dyDescent="0.3">
      <c r="A3" s="240"/>
      <c r="B3" s="274"/>
      <c r="C3" s="281"/>
      <c r="D3" s="274"/>
      <c r="E3" s="274"/>
      <c r="F3" s="274"/>
      <c r="G3" s="274"/>
      <c r="H3" s="274"/>
      <c r="I3" s="240"/>
      <c r="J3" s="240"/>
      <c r="K3" s="273"/>
      <c r="L3" s="240"/>
      <c r="M3" s="240"/>
      <c r="N3" s="240"/>
      <c r="O3" s="240"/>
      <c r="P3" s="240"/>
      <c r="Q3" s="240"/>
      <c r="R3" s="240"/>
      <c r="S3" s="240"/>
      <c r="T3" s="240"/>
      <c r="U3" s="240"/>
      <c r="V3" s="240"/>
      <c r="W3" s="240"/>
      <c r="X3" s="240"/>
      <c r="Y3" s="241"/>
      <c r="Z3" s="241"/>
      <c r="AA3" s="240"/>
    </row>
    <row r="4" spans="1:27" ht="18" hidden="1" customHeight="1" outlineLevel="1" collapsed="1" x14ac:dyDescent="0.3">
      <c r="A4" s="240"/>
      <c r="B4" s="564" t="str">
        <f>EULA!$B14</f>
        <v>[Địa chỉ]</v>
      </c>
      <c r="C4" s="564" t="str">
        <f>EULA!$B14</f>
        <v>[Địa chỉ]</v>
      </c>
      <c r="D4" s="565"/>
      <c r="E4" s="564" t="str">
        <f>EULA!$B14</f>
        <v>[Địa chỉ]</v>
      </c>
      <c r="F4" s="185" t="s">
        <v>694</v>
      </c>
      <c r="G4" s="566" t="str">
        <f>CONCATENATE("NHAP-",C3,"-",MOD(YEAR(G5),100)*10000+MONTH(G5)*100+DAY(G5),"-",I4)</f>
        <v>NHAP--100-1</v>
      </c>
      <c r="H4" s="567"/>
      <c r="I4" s="282">
        <v>1</v>
      </c>
      <c r="K4" s="273"/>
      <c r="L4" s="240"/>
      <c r="M4" s="240"/>
      <c r="N4" s="240"/>
      <c r="O4" s="240"/>
      <c r="P4" s="240"/>
      <c r="Q4" s="240"/>
      <c r="R4" s="240"/>
      <c r="S4" s="240"/>
      <c r="T4" s="240"/>
      <c r="U4" s="240"/>
      <c r="V4" s="240"/>
      <c r="W4" s="240"/>
      <c r="X4" s="240"/>
      <c r="Y4" s="241"/>
      <c r="Z4" s="240"/>
      <c r="AA4" s="240"/>
    </row>
    <row r="5" spans="1:27" ht="18" hidden="1" customHeight="1" outlineLevel="1" x14ac:dyDescent="0.3">
      <c r="A5" s="240"/>
      <c r="B5" s="564" t="str">
        <f>EULA!$B15</f>
        <v>[Mã số thuế]</v>
      </c>
      <c r="C5" s="564" t="str">
        <f>EULA!$B15</f>
        <v>[Mã số thuế]</v>
      </c>
      <c r="D5" s="565"/>
      <c r="E5" s="564" t="str">
        <f>EULA!$B15</f>
        <v>[Mã số thuế]</v>
      </c>
      <c r="F5" s="1" t="s">
        <v>695</v>
      </c>
      <c r="G5" s="568"/>
      <c r="H5" s="569"/>
      <c r="I5" s="240"/>
      <c r="J5" s="240"/>
      <c r="K5" s="273"/>
      <c r="L5" s="240"/>
      <c r="M5" s="240"/>
      <c r="N5" s="240"/>
      <c r="O5" s="240"/>
      <c r="P5" s="240"/>
      <c r="Q5" s="240"/>
      <c r="R5" s="240"/>
      <c r="S5" s="240"/>
      <c r="T5" s="240"/>
      <c r="U5" s="240"/>
      <c r="V5" s="240"/>
      <c r="W5" s="240"/>
      <c r="X5" s="240"/>
      <c r="Y5" s="241"/>
      <c r="Z5" s="240"/>
      <c r="AA5" s="240"/>
    </row>
    <row r="6" spans="1:27" ht="18" hidden="1" customHeight="1" outlineLevel="1" x14ac:dyDescent="0.3">
      <c r="A6" s="240"/>
      <c r="B6" s="564" t="str">
        <f>EULA!$B16</f>
        <v>[SĐT - Fax]</v>
      </c>
      <c r="C6" s="564" t="str">
        <f>EULA!$B16</f>
        <v>[SĐT - Fax]</v>
      </c>
      <c r="D6" s="565"/>
      <c r="E6" s="564" t="str">
        <f>EULA!$B16</f>
        <v>[SĐT - Fax]</v>
      </c>
      <c r="F6" s="185" t="s">
        <v>551</v>
      </c>
      <c r="G6" s="570" t="str">
        <f>IFERROR(VLOOKUP($C$3,Table_NhaCungCap[[Mã Đối tác]:[Tên Đối tác]],Sheet_DoiTac!$C$1,0),"")</f>
        <v/>
      </c>
      <c r="H6" s="571"/>
      <c r="I6" s="240"/>
      <c r="J6" s="240"/>
      <c r="K6" s="273"/>
      <c r="L6" s="240"/>
      <c r="M6" s="240"/>
      <c r="N6" s="240"/>
      <c r="O6" s="240"/>
      <c r="P6" s="240"/>
      <c r="Q6" s="240"/>
      <c r="R6" s="240"/>
      <c r="S6" s="240"/>
      <c r="T6" s="240"/>
      <c r="U6" s="240"/>
      <c r="V6" s="240"/>
      <c r="W6" s="240"/>
      <c r="X6" s="240"/>
      <c r="Y6" s="241"/>
      <c r="Z6" s="240"/>
      <c r="AA6" s="240"/>
    </row>
    <row r="7" spans="1:27" ht="18" hidden="1" customHeight="1" outlineLevel="1" x14ac:dyDescent="0.3">
      <c r="A7" s="240"/>
      <c r="B7" s="185" t="str">
        <f>EULA!$B18</f>
        <v>[STK - Ngân hàng]</v>
      </c>
      <c r="C7" s="274"/>
      <c r="D7" s="274"/>
      <c r="E7" s="274"/>
      <c r="F7" s="185" t="s">
        <v>696</v>
      </c>
      <c r="G7" s="572"/>
      <c r="H7" s="571"/>
      <c r="I7" s="240"/>
      <c r="J7" s="240"/>
      <c r="K7" s="273"/>
      <c r="L7" s="240"/>
      <c r="M7" s="240"/>
      <c r="N7" s="240"/>
      <c r="O7" s="240"/>
      <c r="P7" s="240"/>
      <c r="Q7" s="240"/>
      <c r="R7" s="240"/>
      <c r="S7" s="240"/>
      <c r="T7" s="240"/>
      <c r="U7" s="240"/>
      <c r="V7" s="240"/>
      <c r="W7" s="240"/>
      <c r="X7" s="240"/>
      <c r="Y7" s="241"/>
      <c r="Z7" s="241"/>
      <c r="AA7" s="240"/>
    </row>
    <row r="8" spans="1:27" ht="18" hidden="1" customHeight="1" outlineLevel="1" x14ac:dyDescent="0.3">
      <c r="A8" s="240"/>
      <c r="B8" s="274"/>
      <c r="C8" s="274"/>
      <c r="D8" s="274"/>
      <c r="E8" s="274"/>
      <c r="F8" s="185" t="s">
        <v>697</v>
      </c>
      <c r="G8" s="572"/>
      <c r="H8" s="571"/>
      <c r="I8" s="240"/>
      <c r="J8" s="240"/>
      <c r="K8" s="273"/>
      <c r="L8" s="240"/>
      <c r="M8" s="240"/>
      <c r="N8" s="240"/>
      <c r="O8" s="240"/>
      <c r="P8" s="240"/>
      <c r="Q8" s="240"/>
      <c r="R8" s="240"/>
      <c r="S8" s="240"/>
      <c r="T8" s="240"/>
      <c r="U8" s="240"/>
      <c r="V8" s="240"/>
      <c r="W8" s="240"/>
      <c r="X8" s="240"/>
      <c r="Y8" s="241"/>
      <c r="Z8" s="241"/>
      <c r="AA8" s="240"/>
    </row>
    <row r="9" spans="1:27" ht="18" hidden="1" customHeight="1" outlineLevel="1" x14ac:dyDescent="0.3">
      <c r="A9" s="240"/>
      <c r="B9" s="274"/>
      <c r="C9" s="274"/>
      <c r="D9" s="274"/>
      <c r="E9" s="274"/>
      <c r="F9" s="274"/>
      <c r="G9" s="274"/>
      <c r="H9" s="274"/>
      <c r="I9" s="240"/>
      <c r="J9" s="240"/>
      <c r="K9" s="273"/>
      <c r="L9" s="240"/>
      <c r="M9" s="240"/>
      <c r="N9" s="240"/>
      <c r="O9" s="240"/>
      <c r="P9" s="240"/>
      <c r="Q9" s="240"/>
      <c r="R9" s="240"/>
      <c r="S9" s="240"/>
      <c r="T9" s="240"/>
      <c r="U9" s="240"/>
      <c r="V9" s="240"/>
      <c r="W9" s="240"/>
      <c r="X9" s="240"/>
      <c r="Y9" s="241"/>
      <c r="Z9" s="241"/>
      <c r="AA9" s="240"/>
    </row>
    <row r="10" spans="1:27" ht="18" hidden="1" customHeight="1" outlineLevel="1" x14ac:dyDescent="0.3">
      <c r="A10" s="240"/>
      <c r="B10" s="274"/>
      <c r="C10" s="274"/>
      <c r="D10" s="274"/>
      <c r="E10" s="274"/>
      <c r="F10" s="274"/>
      <c r="G10" s="274"/>
      <c r="H10" s="274"/>
      <c r="I10" s="240"/>
      <c r="J10" s="240"/>
      <c r="K10" s="273"/>
      <c r="L10" s="240"/>
      <c r="M10" s="240"/>
      <c r="N10" s="240"/>
      <c r="O10" s="240"/>
      <c r="P10" s="240"/>
      <c r="Q10" s="240"/>
      <c r="R10" s="240"/>
      <c r="S10" s="240"/>
      <c r="T10" s="240"/>
      <c r="U10" s="240"/>
      <c r="V10" s="240"/>
      <c r="W10" s="240"/>
      <c r="X10" s="240"/>
      <c r="Y10" s="241"/>
      <c r="Z10" s="241"/>
      <c r="AA10" s="240"/>
    </row>
    <row r="11" spans="1:27" ht="18" hidden="1" customHeight="1" outlineLevel="1" x14ac:dyDescent="0.3">
      <c r="A11" s="240"/>
      <c r="B11" s="58" t="s">
        <v>698</v>
      </c>
      <c r="C11" s="283"/>
      <c r="D11" s="283"/>
      <c r="E11" s="283"/>
      <c r="F11" s="274"/>
      <c r="G11" s="274"/>
      <c r="H11" s="274"/>
      <c r="I11" s="240"/>
      <c r="J11" s="240"/>
      <c r="K11" s="273"/>
      <c r="L11" s="240"/>
      <c r="M11" s="240"/>
      <c r="N11" s="240"/>
      <c r="O11" s="240"/>
      <c r="P11" s="240"/>
      <c r="Q11" s="240"/>
      <c r="R11" s="240"/>
      <c r="S11" s="240"/>
      <c r="T11" s="240"/>
      <c r="U11" s="240"/>
      <c r="V11" s="240"/>
      <c r="W11" s="240"/>
      <c r="X11" s="240"/>
      <c r="Y11" s="241"/>
      <c r="Z11" s="241"/>
      <c r="AA11" s="240"/>
    </row>
    <row r="12" spans="1:27" ht="18" hidden="1" customHeight="1" outlineLevel="2" x14ac:dyDescent="0.3">
      <c r="A12" s="240"/>
      <c r="B12" s="1" t="s">
        <v>699</v>
      </c>
      <c r="C12" s="274"/>
      <c r="D12" s="274"/>
      <c r="E12" s="274"/>
      <c r="F12" s="564" t="str">
        <f>IFERROR(VLOOKUP($G$7,Table_Kho[[#All],[Mã Kho]:[Tên Kho]],Sheet_Kho!$C$2,0),"")</f>
        <v/>
      </c>
      <c r="G12" s="565"/>
      <c r="H12" s="565"/>
      <c r="I12" s="565"/>
      <c r="J12" s="565"/>
      <c r="K12" s="273"/>
      <c r="L12" s="240"/>
      <c r="M12" s="240"/>
      <c r="N12" s="240"/>
      <c r="O12" s="240"/>
      <c r="P12" s="240"/>
      <c r="Q12" s="240"/>
      <c r="R12" s="240"/>
      <c r="S12" s="240"/>
      <c r="T12" s="240"/>
      <c r="U12" s="240"/>
      <c r="V12" s="240"/>
      <c r="W12" s="240"/>
      <c r="X12" s="240"/>
      <c r="Y12" s="241"/>
      <c r="Z12" s="241"/>
      <c r="AA12" s="240"/>
    </row>
    <row r="13" spans="1:27" ht="18" hidden="1" customHeight="1" outlineLevel="2" x14ac:dyDescent="0.3">
      <c r="A13" s="240"/>
      <c r="B13" s="1" t="s">
        <v>700</v>
      </c>
      <c r="C13" s="274"/>
      <c r="D13" s="274"/>
      <c r="E13" s="274"/>
      <c r="F13" s="564" t="str">
        <f>IFERROR(VLOOKUP($G$7,Table_Kho[[#All],[Mã Kho]:[Địa điểm]],Sheet_Kho!$E$2,0),"")</f>
        <v/>
      </c>
      <c r="G13" s="565"/>
      <c r="H13" s="565"/>
      <c r="I13" s="565"/>
      <c r="J13" s="565"/>
      <c r="K13" s="273"/>
      <c r="L13" s="240"/>
      <c r="M13" s="240"/>
      <c r="N13" s="240"/>
      <c r="O13" s="240"/>
      <c r="P13" s="240"/>
      <c r="Q13" s="240"/>
      <c r="R13" s="240"/>
      <c r="S13" s="240"/>
      <c r="T13" s="240"/>
      <c r="U13" s="240"/>
      <c r="V13" s="240"/>
      <c r="W13" s="240"/>
      <c r="X13" s="240"/>
      <c r="Y13" s="241"/>
      <c r="Z13" s="241"/>
      <c r="AA13" s="240"/>
    </row>
    <row r="14" spans="1:27" ht="18" hidden="1" customHeight="1" outlineLevel="2" x14ac:dyDescent="0.3">
      <c r="A14" s="240"/>
      <c r="B14" s="1" t="s">
        <v>537</v>
      </c>
      <c r="C14" s="274"/>
      <c r="D14" s="274"/>
      <c r="E14" s="274"/>
      <c r="F14" s="564" t="str">
        <f>IFERROR(VLOOKUP(G7,Table_Kho[[#All],[Mã Kho]:[SĐT]],Sheet_Kho!$D$2,0),"")</f>
        <v/>
      </c>
      <c r="G14" s="565"/>
      <c r="H14" s="565"/>
      <c r="I14" s="565"/>
      <c r="J14" s="565"/>
      <c r="K14" s="273"/>
      <c r="L14" s="240"/>
      <c r="M14" s="240"/>
      <c r="N14" s="240"/>
      <c r="O14" s="240"/>
      <c r="P14" s="240"/>
      <c r="Q14" s="240"/>
      <c r="R14" s="240"/>
      <c r="S14" s="240"/>
      <c r="T14" s="240"/>
      <c r="U14" s="240"/>
      <c r="V14" s="240"/>
      <c r="W14" s="240"/>
      <c r="X14" s="240"/>
      <c r="Y14" s="241"/>
      <c r="Z14" s="241"/>
      <c r="AA14" s="240"/>
    </row>
    <row r="15" spans="1:27" ht="18" hidden="1" customHeight="1" outlineLevel="2" collapsed="1" x14ac:dyDescent="0.3">
      <c r="A15" s="240"/>
      <c r="B15" s="274"/>
      <c r="C15" s="274"/>
      <c r="D15" s="274"/>
      <c r="E15" s="274"/>
      <c r="F15" s="274"/>
      <c r="G15" s="274"/>
      <c r="H15" s="274"/>
      <c r="I15" s="240"/>
      <c r="J15" s="240"/>
      <c r="K15" s="273"/>
      <c r="L15" s="240"/>
      <c r="M15" s="240"/>
      <c r="N15" s="240"/>
      <c r="O15" s="240"/>
      <c r="P15" s="240"/>
      <c r="Q15" s="240"/>
      <c r="R15" s="240"/>
      <c r="S15" s="240"/>
      <c r="T15" s="240"/>
      <c r="U15" s="240"/>
      <c r="V15" s="240"/>
      <c r="W15" s="240"/>
      <c r="X15" s="240"/>
      <c r="Y15" s="241"/>
      <c r="Z15" s="241"/>
      <c r="AA15" s="240"/>
    </row>
    <row r="16" spans="1:27" ht="18" hidden="1" customHeight="1" outlineLevel="2" x14ac:dyDescent="0.3">
      <c r="A16" s="240"/>
      <c r="B16" s="274"/>
      <c r="C16" s="274"/>
      <c r="D16" s="274"/>
      <c r="E16" s="274"/>
      <c r="F16" s="274"/>
      <c r="G16" s="92" t="s">
        <v>321</v>
      </c>
      <c r="H16" s="93" t="s">
        <v>327</v>
      </c>
      <c r="I16" s="240"/>
      <c r="J16" s="240"/>
      <c r="K16" s="273"/>
      <c r="L16" s="240"/>
      <c r="M16" s="240"/>
      <c r="N16" s="240"/>
      <c r="O16" s="240"/>
      <c r="P16" s="240"/>
      <c r="Q16" s="240"/>
      <c r="R16" s="240"/>
      <c r="S16" s="240"/>
      <c r="T16" s="240"/>
      <c r="U16" s="240"/>
      <c r="V16" s="240"/>
      <c r="W16" s="240"/>
      <c r="X16" s="240"/>
      <c r="Y16" s="241"/>
      <c r="Z16" s="241"/>
      <c r="AA16" s="240"/>
    </row>
    <row r="17" spans="1:27" ht="18" hidden="1" customHeight="1" outlineLevel="1" x14ac:dyDescent="0.3">
      <c r="A17" s="240"/>
      <c r="B17" s="59" t="s">
        <v>638</v>
      </c>
      <c r="C17" s="59" t="s">
        <v>559</v>
      </c>
      <c r="D17" s="59" t="s">
        <v>701</v>
      </c>
      <c r="E17" s="59" t="s">
        <v>702</v>
      </c>
      <c r="F17" s="60" t="s">
        <v>30</v>
      </c>
      <c r="G17" s="59" t="s">
        <v>703</v>
      </c>
      <c r="H17" s="60" t="s">
        <v>704</v>
      </c>
      <c r="I17" s="59" t="s">
        <v>705</v>
      </c>
      <c r="J17" s="59" t="s">
        <v>681</v>
      </c>
      <c r="K17" s="273"/>
      <c r="L17" s="240"/>
      <c r="M17" s="240"/>
      <c r="N17" s="240"/>
      <c r="O17" s="240"/>
      <c r="P17" s="240"/>
      <c r="Q17" s="240"/>
      <c r="R17" s="240"/>
      <c r="S17" s="240"/>
      <c r="T17" s="240"/>
      <c r="U17" s="240"/>
      <c r="V17" s="240"/>
      <c r="W17" s="240"/>
      <c r="X17" s="240"/>
      <c r="Y17" s="241"/>
      <c r="Z17" s="241"/>
      <c r="AA17" s="240"/>
    </row>
    <row r="18" spans="1:27" ht="18" hidden="1" customHeight="1" outlineLevel="2" x14ac:dyDescent="0.3">
      <c r="A18" s="240"/>
      <c r="B18" s="40" t="str">
        <f>IF(Table_FormDonMua_SKU[[#This Row],[Mã hàng]]&lt;&gt;"",COUNTIF($C$18:C28,"&lt;&gt;"""),"")</f>
        <v/>
      </c>
      <c r="C18" s="284"/>
      <c r="D18" s="284"/>
      <c r="E18" s="7" t="str">
        <f>IFERROR(
IFERROR(
VLOOKUP(Table_FormDonMua_SKU[[#This Row],[Mã nguyên liệu]],Table_NguyenLieu[[Mã Nguyên liệu]:[Tên Nguyên liệu]],Sheet_NguyenLieu!$D$1,0),
VLOOKUP(Table_FormDonMua_SKU[[#This Row],[Mã hàng]],Table_SKU[[Mã SKU]:[Mô tả]],Sheet_SKU!$H$1,0)),
"")</f>
        <v/>
      </c>
      <c r="F18" s="15"/>
      <c r="G18" s="15"/>
      <c r="H18" s="15" t="str">
        <f>IF(ISBLANK(Table_FormDonMua_SKU[[#This Row],[Mã hàng]]),
IF(ISBLANK(Table_FormDonMua_SKU[[#This Row],[Mã nguyên liệu]]),"",
Table_FormDonMua_SKU[[#This Row],[Giá sau VAT]]*Table_FormDonMua_SKU[[#This Row],[Số lượng]]),
Table_FormDonMua_SKU[[#This Row],[Giá sau VAT]]*Table_FormDonMua_SKU[[#This Row],[Số lượng]])</f>
        <v/>
      </c>
      <c r="I18" s="119" t="str">
        <f>IFERROR(
IFERROR(
VLOOKUP(Table_FormDonMua_SKU[[#This Row],[Mã hàng]],Table_SKU[[Mã SKU]:[Tỷ suất VAT]],Sheet_SKU!$K$1,0),
VLOOKUP(Table_FormDonMua_SKU[[#This Row],[Mã nguyên liệu]],Table_NguyenLieu[[Mã Nguyên liệu]:[Tỷ suất VAT]],Sheet_NguyenLieu!$G$1,0)),
"")</f>
        <v/>
      </c>
      <c r="J18" s="50" t="str">
        <f>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f>
        <v/>
      </c>
      <c r="K18" s="273"/>
      <c r="L18" s="240"/>
      <c r="M18" s="240"/>
      <c r="N18" s="240"/>
      <c r="O18" s="240"/>
      <c r="P18" s="240"/>
      <c r="Q18" s="240"/>
      <c r="R18" s="240"/>
      <c r="S18" s="240"/>
      <c r="T18" s="240"/>
      <c r="U18" s="240"/>
      <c r="V18" s="240"/>
      <c r="W18" s="240"/>
      <c r="X18" s="240"/>
      <c r="Y18" s="241"/>
      <c r="Z18" s="241"/>
      <c r="AA18" s="240"/>
    </row>
    <row r="19" spans="1:27" ht="18" hidden="1" customHeight="1" outlineLevel="2" x14ac:dyDescent="0.3">
      <c r="A19" s="240"/>
      <c r="B19" s="7"/>
      <c r="C19" s="284"/>
      <c r="D19" s="284"/>
      <c r="E19" s="7"/>
      <c r="F19" s="15"/>
      <c r="G19" s="15"/>
      <c r="H19" s="15"/>
      <c r="I19" s="119"/>
      <c r="J19" s="50"/>
      <c r="K19" s="273"/>
      <c r="L19" s="240"/>
      <c r="M19" s="240"/>
      <c r="N19" s="240"/>
      <c r="O19" s="240"/>
      <c r="P19" s="240"/>
      <c r="Q19" s="240"/>
      <c r="R19" s="240"/>
      <c r="S19" s="240"/>
      <c r="T19" s="240"/>
      <c r="U19" s="240"/>
      <c r="V19" s="240"/>
      <c r="W19" s="240"/>
      <c r="X19" s="240"/>
      <c r="Y19" s="241"/>
      <c r="Z19" s="241"/>
      <c r="AA19" s="240"/>
    </row>
    <row r="20" spans="1:27" ht="18" hidden="1" customHeight="1" outlineLevel="2" x14ac:dyDescent="0.3">
      <c r="A20" s="240"/>
      <c r="B20" s="7"/>
      <c r="C20" s="284"/>
      <c r="D20" s="284"/>
      <c r="E20" s="7"/>
      <c r="F20" s="15"/>
      <c r="G20" s="15"/>
      <c r="H20" s="15"/>
      <c r="I20" s="119"/>
      <c r="J20" s="50"/>
      <c r="K20" s="273"/>
      <c r="L20" s="240"/>
      <c r="M20" s="240"/>
      <c r="N20" s="240"/>
      <c r="O20" s="240"/>
      <c r="P20" s="240"/>
      <c r="Q20" s="240"/>
      <c r="R20" s="240"/>
      <c r="S20" s="240"/>
      <c r="T20" s="240"/>
      <c r="U20" s="240"/>
      <c r="V20" s="240"/>
      <c r="W20" s="240"/>
      <c r="X20" s="240"/>
      <c r="Y20" s="241"/>
      <c r="Z20" s="241"/>
      <c r="AA20" s="240"/>
    </row>
    <row r="21" spans="1:27" ht="18" hidden="1" customHeight="1" outlineLevel="2" x14ac:dyDescent="0.3">
      <c r="A21" s="240"/>
      <c r="B21" s="7"/>
      <c r="C21" s="284"/>
      <c r="D21" s="284"/>
      <c r="E21" s="7"/>
      <c r="F21" s="15"/>
      <c r="G21" s="15"/>
      <c r="H21" s="15"/>
      <c r="I21" s="119"/>
      <c r="J21" s="50"/>
      <c r="K21" s="273"/>
      <c r="L21" s="240"/>
      <c r="M21" s="240"/>
      <c r="N21" s="240"/>
      <c r="O21" s="240"/>
      <c r="P21" s="240"/>
      <c r="Q21" s="240"/>
      <c r="R21" s="240"/>
      <c r="S21" s="240"/>
      <c r="T21" s="240"/>
      <c r="U21" s="240"/>
      <c r="V21" s="240"/>
      <c r="W21" s="240"/>
      <c r="X21" s="240"/>
      <c r="Y21" s="241"/>
      <c r="Z21" s="241"/>
      <c r="AA21" s="240"/>
    </row>
    <row r="22" spans="1:27" ht="18" hidden="1" customHeight="1" outlineLevel="2" x14ac:dyDescent="0.3">
      <c r="A22" s="240"/>
      <c r="B22" s="7"/>
      <c r="C22" s="284"/>
      <c r="D22" s="284"/>
      <c r="E22" s="7"/>
      <c r="F22" s="15"/>
      <c r="G22" s="15"/>
      <c r="H22" s="15"/>
      <c r="I22" s="119"/>
      <c r="J22" s="50"/>
      <c r="K22" s="273"/>
      <c r="L22" s="240"/>
      <c r="M22" s="240"/>
      <c r="N22" s="240"/>
      <c r="O22" s="240"/>
      <c r="P22" s="240"/>
      <c r="Q22" s="240"/>
      <c r="R22" s="240"/>
      <c r="S22" s="240"/>
      <c r="T22" s="240"/>
      <c r="U22" s="240"/>
      <c r="V22" s="240"/>
      <c r="W22" s="240"/>
      <c r="X22" s="240"/>
      <c r="Y22" s="241"/>
      <c r="Z22" s="241"/>
      <c r="AA22" s="240"/>
    </row>
    <row r="23" spans="1:27" ht="18" hidden="1" customHeight="1" outlineLevel="2" x14ac:dyDescent="0.3">
      <c r="A23" s="240"/>
      <c r="B23" s="7"/>
      <c r="C23" s="284"/>
      <c r="D23" s="284"/>
      <c r="E23" s="7"/>
      <c r="F23" s="15"/>
      <c r="G23" s="15"/>
      <c r="H23" s="15"/>
      <c r="I23" s="119"/>
      <c r="J23" s="50"/>
      <c r="K23" s="273"/>
      <c r="L23" s="240"/>
      <c r="M23" s="240"/>
      <c r="N23" s="240"/>
      <c r="O23" s="240"/>
      <c r="P23" s="240"/>
      <c r="Q23" s="240"/>
      <c r="R23" s="240"/>
      <c r="S23" s="240"/>
      <c r="T23" s="240"/>
      <c r="U23" s="240"/>
      <c r="V23" s="240"/>
      <c r="W23" s="240"/>
      <c r="X23" s="240"/>
      <c r="Y23" s="241"/>
      <c r="Z23" s="241"/>
      <c r="AA23" s="240"/>
    </row>
    <row r="24" spans="1:27" ht="18" hidden="1" customHeight="1" outlineLevel="2" x14ac:dyDescent="0.3">
      <c r="A24" s="240"/>
      <c r="B24" s="7"/>
      <c r="C24" s="284"/>
      <c r="D24" s="284"/>
      <c r="E24" s="7"/>
      <c r="F24" s="15"/>
      <c r="G24" s="15"/>
      <c r="H24" s="15"/>
      <c r="I24" s="119"/>
      <c r="J24" s="50"/>
      <c r="K24" s="273"/>
      <c r="L24" s="240"/>
      <c r="M24" s="240"/>
      <c r="N24" s="240"/>
      <c r="O24" s="240"/>
      <c r="P24" s="240"/>
      <c r="Q24" s="240"/>
      <c r="R24" s="240"/>
      <c r="S24" s="240"/>
      <c r="T24" s="240"/>
      <c r="U24" s="240"/>
      <c r="V24" s="240"/>
      <c r="W24" s="240"/>
      <c r="X24" s="240"/>
      <c r="Y24" s="241"/>
      <c r="Z24" s="241"/>
      <c r="AA24" s="240"/>
    </row>
    <row r="25" spans="1:27" ht="18" hidden="1" customHeight="1" outlineLevel="2" x14ac:dyDescent="0.3">
      <c r="A25" s="240"/>
      <c r="B25" s="7"/>
      <c r="C25" s="284"/>
      <c r="D25" s="284"/>
      <c r="E25" s="7"/>
      <c r="F25" s="15"/>
      <c r="G25" s="15"/>
      <c r="H25" s="15"/>
      <c r="I25" s="119"/>
      <c r="J25" s="50"/>
      <c r="K25" s="273"/>
      <c r="L25" s="240"/>
      <c r="M25" s="240"/>
      <c r="N25" s="240"/>
      <c r="O25" s="240"/>
      <c r="P25" s="240"/>
      <c r="Q25" s="240"/>
      <c r="R25" s="240"/>
      <c r="S25" s="240"/>
      <c r="T25" s="240"/>
      <c r="U25" s="240"/>
      <c r="V25" s="240"/>
      <c r="W25" s="240"/>
      <c r="X25" s="240"/>
      <c r="Y25" s="241"/>
      <c r="Z25" s="241"/>
      <c r="AA25" s="240"/>
    </row>
    <row r="26" spans="1:27" ht="18" hidden="1" customHeight="1" outlineLevel="2" x14ac:dyDescent="0.3">
      <c r="A26" s="240"/>
      <c r="B26" s="7"/>
      <c r="C26" s="284"/>
      <c r="D26" s="284"/>
      <c r="E26" s="7"/>
      <c r="F26" s="15"/>
      <c r="G26" s="15"/>
      <c r="H26" s="15"/>
      <c r="I26" s="119"/>
      <c r="J26" s="50"/>
      <c r="K26" s="273"/>
      <c r="L26" s="240"/>
      <c r="M26" s="240"/>
      <c r="N26" s="240"/>
      <c r="O26" s="240"/>
      <c r="P26" s="240"/>
      <c r="Q26" s="240"/>
      <c r="R26" s="240"/>
      <c r="S26" s="240"/>
      <c r="T26" s="240"/>
      <c r="U26" s="240"/>
      <c r="V26" s="240"/>
      <c r="W26" s="240"/>
      <c r="X26" s="240"/>
      <c r="Y26" s="241"/>
      <c r="Z26" s="241"/>
      <c r="AA26" s="240"/>
    </row>
    <row r="27" spans="1:27" ht="18" hidden="1" customHeight="1" outlineLevel="2" x14ac:dyDescent="0.3">
      <c r="A27" s="240"/>
      <c r="B27" s="7"/>
      <c r="C27" s="284"/>
      <c r="D27" s="284"/>
      <c r="E27" s="7"/>
      <c r="F27" s="15"/>
      <c r="G27" s="15"/>
      <c r="H27" s="15"/>
      <c r="I27" s="119"/>
      <c r="J27" s="50"/>
      <c r="K27" s="273"/>
      <c r="L27" s="240"/>
      <c r="M27" s="240"/>
      <c r="N27" s="240"/>
      <c r="O27" s="240"/>
      <c r="P27" s="240"/>
      <c r="Q27" s="240"/>
      <c r="R27" s="240"/>
      <c r="S27" s="240"/>
      <c r="T27" s="240"/>
      <c r="U27" s="240"/>
      <c r="V27" s="240"/>
      <c r="W27" s="240"/>
      <c r="X27" s="240"/>
      <c r="Y27" s="241"/>
      <c r="Z27" s="241"/>
      <c r="AA27" s="240"/>
    </row>
    <row r="28" spans="1:27" ht="18" hidden="1" customHeight="1" outlineLevel="1" x14ac:dyDescent="0.3">
      <c r="A28" s="240"/>
      <c r="B28" s="7"/>
      <c r="C28" s="284"/>
      <c r="D28" s="284"/>
      <c r="E28" s="7"/>
      <c r="F28" s="15"/>
      <c r="G28" s="15"/>
      <c r="H28" s="15"/>
      <c r="I28" s="119"/>
      <c r="J28" s="50"/>
      <c r="K28" s="273"/>
      <c r="L28" s="240"/>
      <c r="M28" s="240"/>
      <c r="N28" s="240"/>
      <c r="O28" s="240"/>
      <c r="P28" s="240"/>
      <c r="Q28" s="240"/>
      <c r="R28" s="240"/>
      <c r="S28" s="240"/>
      <c r="T28" s="240"/>
      <c r="U28" s="240"/>
      <c r="V28" s="240"/>
      <c r="W28" s="240"/>
      <c r="X28" s="240"/>
      <c r="Y28" s="241"/>
      <c r="Z28" s="241"/>
      <c r="AA28" s="240"/>
    </row>
    <row r="29" spans="1:27" ht="18" hidden="1" customHeight="1" outlineLevel="1" x14ac:dyDescent="0.3">
      <c r="A29" s="240"/>
      <c r="B29" s="240"/>
      <c r="C29" s="240"/>
      <c r="D29" s="240"/>
      <c r="E29" s="240"/>
      <c r="F29" s="242"/>
      <c r="G29" s="242"/>
      <c r="H29" s="242"/>
      <c r="I29" s="240"/>
      <c r="J29" s="240"/>
      <c r="K29" s="273"/>
      <c r="L29" s="240"/>
      <c r="M29" s="240"/>
      <c r="N29" s="240"/>
      <c r="O29" s="240"/>
      <c r="P29" s="240"/>
      <c r="Q29" s="240"/>
      <c r="R29" s="240"/>
      <c r="S29" s="240"/>
      <c r="T29" s="240"/>
      <c r="U29" s="240"/>
      <c r="V29" s="240"/>
      <c r="W29" s="240"/>
      <c r="X29" s="240"/>
      <c r="Y29" s="241"/>
      <c r="Z29" s="241"/>
      <c r="AA29" s="240"/>
    </row>
    <row r="30" spans="1:27" ht="18" hidden="1" customHeight="1" outlineLevel="1" x14ac:dyDescent="0.3">
      <c r="A30" s="240"/>
      <c r="B30" s="61" t="s">
        <v>539</v>
      </c>
      <c r="C30" s="285"/>
      <c r="D30" s="285"/>
      <c r="E30" s="286"/>
      <c r="F30" s="185" t="s">
        <v>706</v>
      </c>
      <c r="G30" s="287"/>
      <c r="H30" s="410">
        <f>SUM(Table_FormDonMua_SKU[Thành tiền])</f>
        <v>0</v>
      </c>
      <c r="I30" s="240"/>
      <c r="J30" s="240"/>
      <c r="K30" s="273"/>
      <c r="L30" s="240"/>
      <c r="M30" s="240"/>
      <c r="N30" s="240"/>
      <c r="O30" s="240"/>
      <c r="P30" s="240"/>
      <c r="Q30" s="240"/>
      <c r="R30" s="240"/>
      <c r="S30" s="240"/>
      <c r="T30" s="240"/>
      <c r="U30" s="240"/>
      <c r="V30" s="240"/>
      <c r="W30" s="240"/>
      <c r="X30" s="240"/>
      <c r="Y30" s="241"/>
      <c r="Z30" s="241"/>
      <c r="AA30" s="240"/>
    </row>
    <row r="31" spans="1:27" ht="18" hidden="1" customHeight="1" outlineLevel="1" x14ac:dyDescent="0.3">
      <c r="A31" s="240"/>
      <c r="B31" s="288"/>
      <c r="C31" s="274"/>
      <c r="D31" s="274"/>
      <c r="E31" s="289"/>
      <c r="F31" s="185" t="s">
        <v>707</v>
      </c>
      <c r="G31" s="287"/>
      <c r="H31" s="407"/>
      <c r="I31" s="240"/>
      <c r="J31" s="240"/>
      <c r="K31" s="273"/>
      <c r="L31" s="240"/>
      <c r="M31" s="240"/>
      <c r="N31" s="240"/>
      <c r="O31" s="240"/>
      <c r="P31" s="240"/>
      <c r="Q31" s="240"/>
      <c r="R31" s="240"/>
      <c r="S31" s="240"/>
      <c r="T31" s="240"/>
      <c r="U31" s="240"/>
      <c r="V31" s="240"/>
      <c r="W31" s="240"/>
      <c r="X31" s="240"/>
      <c r="Y31" s="241"/>
      <c r="Z31" s="241"/>
      <c r="AA31" s="240"/>
    </row>
    <row r="32" spans="1:27" ht="18" hidden="1" customHeight="1" outlineLevel="1" x14ac:dyDescent="0.3">
      <c r="A32" s="240"/>
      <c r="B32" s="288"/>
      <c r="C32" s="274"/>
      <c r="D32" s="274"/>
      <c r="E32" s="289"/>
      <c r="F32" s="1" t="s">
        <v>708</v>
      </c>
      <c r="G32" s="287"/>
      <c r="H32" s="407"/>
      <c r="I32" s="240"/>
      <c r="J32" s="240"/>
      <c r="K32" s="273"/>
      <c r="L32" s="240"/>
      <c r="M32" s="240"/>
      <c r="N32" s="240"/>
      <c r="O32" s="240"/>
      <c r="P32" s="240"/>
      <c r="Q32" s="240"/>
      <c r="R32" s="240"/>
      <c r="S32" s="240"/>
      <c r="T32" s="240"/>
      <c r="U32" s="240"/>
      <c r="V32" s="240"/>
      <c r="W32" s="240"/>
      <c r="X32" s="240"/>
      <c r="Y32" s="241"/>
      <c r="Z32" s="241"/>
      <c r="AA32" s="240"/>
    </row>
    <row r="33" spans="1:27" ht="18" hidden="1" customHeight="1" outlineLevel="1" x14ac:dyDescent="0.3">
      <c r="A33" s="240"/>
      <c r="B33" s="288"/>
      <c r="C33" s="274"/>
      <c r="D33" s="274"/>
      <c r="E33" s="289"/>
      <c r="F33" s="1" t="s">
        <v>709</v>
      </c>
      <c r="G33" s="287"/>
      <c r="H33" s="407">
        <f>U43</f>
        <v>0</v>
      </c>
      <c r="I33" s="240"/>
      <c r="J33" s="240"/>
      <c r="K33" s="273"/>
      <c r="L33" s="240"/>
      <c r="M33" s="240"/>
      <c r="N33" s="240"/>
      <c r="O33" s="240"/>
      <c r="P33" s="240"/>
      <c r="Q33" s="240"/>
      <c r="R33" s="240"/>
      <c r="S33" s="240"/>
      <c r="T33" s="240"/>
      <c r="U33" s="240"/>
      <c r="V33" s="240"/>
      <c r="W33" s="240"/>
      <c r="X33" s="240"/>
      <c r="Y33" s="241"/>
      <c r="Z33" s="241"/>
      <c r="AA33" s="240"/>
    </row>
    <row r="34" spans="1:27" ht="18" hidden="1" customHeight="1" outlineLevel="1" x14ac:dyDescent="0.3">
      <c r="A34" s="240"/>
      <c r="B34" s="290"/>
      <c r="C34" s="291"/>
      <c r="D34" s="291"/>
      <c r="E34" s="292"/>
      <c r="F34" s="62" t="s">
        <v>710</v>
      </c>
      <c r="G34" s="293"/>
      <c r="H34" s="406">
        <f>+H30+H31-H32</f>
        <v>0</v>
      </c>
      <c r="I34" s="240"/>
      <c r="J34" s="240"/>
      <c r="K34" s="273"/>
      <c r="L34" s="240"/>
      <c r="M34" s="240"/>
      <c r="N34" s="240"/>
      <c r="O34" s="240"/>
      <c r="P34" s="240"/>
      <c r="Q34" s="240"/>
      <c r="R34" s="240"/>
      <c r="S34" s="240"/>
      <c r="T34" s="240"/>
      <c r="U34" s="240"/>
      <c r="V34" s="240"/>
      <c r="W34" s="240"/>
      <c r="X34" s="240"/>
      <c r="Y34" s="241"/>
      <c r="Z34" s="241"/>
      <c r="AA34" s="240"/>
    </row>
    <row r="35" spans="1:27" ht="18" hidden="1" customHeight="1" outlineLevel="1" x14ac:dyDescent="0.3">
      <c r="A35" s="240"/>
      <c r="B35" s="274"/>
      <c r="C35" s="274"/>
      <c r="D35" s="274"/>
      <c r="E35" s="274"/>
      <c r="F35" s="274"/>
      <c r="G35" s="274"/>
      <c r="H35" s="274"/>
      <c r="I35" s="240"/>
      <c r="J35" s="240"/>
      <c r="K35" s="273"/>
      <c r="L35" s="240"/>
      <c r="M35" s="240"/>
      <c r="N35" s="240"/>
      <c r="O35" s="240"/>
      <c r="P35" s="240"/>
      <c r="Q35" s="240"/>
      <c r="R35" s="240"/>
      <c r="S35" s="240"/>
      <c r="T35" s="240"/>
      <c r="U35" s="240"/>
      <c r="V35" s="240"/>
      <c r="W35" s="240"/>
      <c r="X35" s="240"/>
      <c r="Y35" s="241"/>
      <c r="Z35" s="241"/>
      <c r="AA35" s="240"/>
    </row>
    <row r="36" spans="1:27" ht="18" hidden="1" customHeight="1" outlineLevel="1" x14ac:dyDescent="0.3">
      <c r="A36" s="240"/>
      <c r="B36" s="274"/>
      <c r="C36" s="274"/>
      <c r="D36" s="274"/>
      <c r="E36" s="274"/>
      <c r="F36" s="274"/>
      <c r="G36" s="562" t="str">
        <f>B1</f>
        <v>Công ty ABC XYZ</v>
      </c>
      <c r="H36" s="563"/>
      <c r="I36" s="240"/>
      <c r="J36" s="240"/>
      <c r="K36" s="273"/>
      <c r="L36" s="240"/>
      <c r="M36" s="240"/>
      <c r="N36" s="240"/>
      <c r="O36" s="240"/>
      <c r="P36" s="240"/>
      <c r="Q36" s="240"/>
      <c r="R36" s="240"/>
      <c r="S36" s="240"/>
      <c r="T36" s="240"/>
      <c r="U36" s="240"/>
      <c r="V36" s="240"/>
      <c r="W36" s="240"/>
      <c r="X36" s="240"/>
      <c r="Y36" s="241"/>
      <c r="Z36" s="241"/>
      <c r="AA36" s="240"/>
    </row>
    <row r="37" spans="1:27" ht="18" hidden="1" customHeight="1" outlineLevel="1" x14ac:dyDescent="0.3">
      <c r="A37" s="240"/>
      <c r="B37" s="274"/>
      <c r="C37" s="274"/>
      <c r="D37" s="274"/>
      <c r="E37" s="274"/>
      <c r="F37" s="274"/>
      <c r="G37" s="562" t="s">
        <v>711</v>
      </c>
      <c r="H37" s="563"/>
      <c r="I37" s="240"/>
      <c r="J37" s="240"/>
      <c r="K37" s="273"/>
      <c r="L37" s="240"/>
      <c r="M37" s="240"/>
      <c r="N37" s="240"/>
      <c r="O37" s="240"/>
      <c r="P37" s="240"/>
      <c r="Q37" s="240"/>
      <c r="R37" s="240"/>
      <c r="S37" s="240"/>
      <c r="T37" s="240"/>
      <c r="U37" s="240"/>
      <c r="V37" s="240"/>
      <c r="W37" s="240"/>
      <c r="X37" s="240"/>
      <c r="Y37" s="241"/>
      <c r="Z37" s="241"/>
      <c r="AA37" s="240"/>
    </row>
    <row r="38" spans="1:27" ht="18" hidden="1" customHeight="1" outlineLevel="1" x14ac:dyDescent="0.3">
      <c r="A38" s="240"/>
      <c r="B38" s="274"/>
      <c r="C38" s="274"/>
      <c r="D38" s="274"/>
      <c r="E38" s="274"/>
      <c r="F38" s="274"/>
      <c r="G38" s="560" t="str">
        <f>IFERROR(VLOOKUP(G8,Table_NhanVien[#All],Sheet_CauTruc!$T$1,0),"")</f>
        <v/>
      </c>
      <c r="H38" s="561"/>
      <c r="I38" s="240"/>
      <c r="J38" s="240"/>
      <c r="K38" s="273"/>
      <c r="L38" s="240"/>
      <c r="M38" s="240"/>
      <c r="N38" s="240"/>
      <c r="O38" s="240"/>
      <c r="P38" s="240"/>
      <c r="Q38" s="240"/>
      <c r="R38" s="240"/>
      <c r="S38" s="240"/>
      <c r="T38" s="240"/>
      <c r="U38" s="240"/>
      <c r="V38" s="240"/>
      <c r="W38" s="240"/>
      <c r="X38" s="240"/>
      <c r="Y38" s="241"/>
      <c r="Z38" s="241"/>
      <c r="AA38" s="240"/>
    </row>
    <row r="39" spans="1:27" ht="18" hidden="1" customHeight="1" outlineLevel="1" x14ac:dyDescent="0.3">
      <c r="A39" s="240"/>
      <c r="B39" s="274"/>
      <c r="C39" s="274"/>
      <c r="D39" s="274"/>
      <c r="E39" s="274"/>
      <c r="F39" s="274"/>
      <c r="G39" s="294"/>
      <c r="H39" s="294"/>
      <c r="I39" s="240"/>
      <c r="J39" s="240"/>
      <c r="K39" s="273"/>
      <c r="L39" s="240"/>
      <c r="M39" s="240"/>
      <c r="N39" s="240"/>
      <c r="O39" s="240"/>
      <c r="P39" s="240"/>
      <c r="Q39" s="240"/>
      <c r="R39" s="240"/>
      <c r="S39" s="240"/>
      <c r="T39" s="240"/>
      <c r="U39" s="240"/>
      <c r="V39" s="240"/>
      <c r="W39" s="240"/>
      <c r="X39" s="240"/>
      <c r="Y39" s="241"/>
      <c r="Z39" s="241"/>
      <c r="AA39" s="240"/>
    </row>
    <row r="40" spans="1:27" ht="18" hidden="1" customHeight="1" outlineLevel="1" x14ac:dyDescent="0.3">
      <c r="A40" s="240"/>
      <c r="B40" s="274"/>
      <c r="C40" s="274"/>
      <c r="D40" s="274"/>
      <c r="E40" s="274"/>
      <c r="F40" s="274"/>
      <c r="G40" s="240"/>
      <c r="H40" s="240"/>
      <c r="I40" s="240"/>
      <c r="J40" s="240"/>
      <c r="K40" s="273"/>
      <c r="L40" s="240"/>
      <c r="M40" s="240"/>
      <c r="N40" s="240"/>
      <c r="O40" s="240"/>
      <c r="P40" s="240"/>
      <c r="Q40" s="240"/>
      <c r="R40" s="240"/>
      <c r="S40" s="240"/>
      <c r="T40" s="240"/>
      <c r="U40" s="240"/>
      <c r="V40" s="240"/>
      <c r="W40" s="240"/>
      <c r="X40" s="240"/>
      <c r="Y40" s="241"/>
      <c r="Z40" s="241"/>
      <c r="AA40" s="240"/>
    </row>
    <row r="41" spans="1:27" ht="18" hidden="1" customHeight="1" outlineLevel="1" x14ac:dyDescent="0.3">
      <c r="A41" s="240"/>
      <c r="B41" s="274"/>
      <c r="C41" s="274"/>
      <c r="D41" s="274"/>
      <c r="E41" s="274"/>
      <c r="F41" s="274"/>
      <c r="G41" s="240"/>
      <c r="H41" s="240"/>
      <c r="I41" s="240"/>
      <c r="J41" s="240"/>
      <c r="K41" s="273"/>
      <c r="L41" s="240"/>
      <c r="M41" s="240"/>
      <c r="N41" s="240"/>
      <c r="O41" s="240"/>
      <c r="P41" s="240"/>
      <c r="Q41" s="240"/>
      <c r="R41" s="240"/>
      <c r="S41" s="240"/>
      <c r="T41" s="240"/>
      <c r="U41" s="240"/>
      <c r="V41" s="240"/>
      <c r="W41" s="240"/>
      <c r="X41" s="240"/>
      <c r="Y41" s="241"/>
      <c r="Z41" s="241"/>
      <c r="AA41" s="240"/>
    </row>
    <row r="42" spans="1:27" ht="18" customHeight="1" collapsed="1" x14ac:dyDescent="0.3">
      <c r="A42" s="240"/>
      <c r="B42" s="274"/>
      <c r="C42" s="274"/>
      <c r="D42" s="274"/>
      <c r="E42" s="274"/>
      <c r="F42" s="274"/>
      <c r="G42" s="295"/>
      <c r="H42" s="295"/>
      <c r="I42" s="240"/>
      <c r="J42" s="240"/>
      <c r="K42" s="273"/>
      <c r="L42" s="299">
        <v>0</v>
      </c>
      <c r="M42" s="299">
        <f t="shared" ref="M42:W42" si="0">+L42+1</f>
        <v>1</v>
      </c>
      <c r="N42" s="299">
        <f t="shared" si="0"/>
        <v>2</v>
      </c>
      <c r="O42" s="299">
        <f t="shared" si="0"/>
        <v>3</v>
      </c>
      <c r="P42" s="299">
        <f t="shared" si="0"/>
        <v>4</v>
      </c>
      <c r="Q42" s="299">
        <f t="shared" si="0"/>
        <v>5</v>
      </c>
      <c r="R42" s="299">
        <f t="shared" si="0"/>
        <v>6</v>
      </c>
      <c r="S42" s="299">
        <f t="shared" si="0"/>
        <v>7</v>
      </c>
      <c r="T42" s="299">
        <f t="shared" si="0"/>
        <v>8</v>
      </c>
      <c r="U42" s="299">
        <f t="shared" si="0"/>
        <v>9</v>
      </c>
      <c r="V42" s="299">
        <f t="shared" si="0"/>
        <v>10</v>
      </c>
      <c r="W42" s="299">
        <f t="shared" si="0"/>
        <v>11</v>
      </c>
      <c r="X42" s="299"/>
      <c r="Y42" s="241"/>
      <c r="Z42" s="241"/>
      <c r="AA42" s="240"/>
    </row>
    <row r="43" spans="1:27" ht="18" customHeight="1" x14ac:dyDescent="0.3">
      <c r="A43" s="240"/>
      <c r="B43" s="274"/>
      <c r="C43" s="274"/>
      <c r="D43" s="274"/>
      <c r="E43" s="274"/>
      <c r="F43" s="274"/>
      <c r="G43" s="274"/>
      <c r="H43" s="274"/>
      <c r="I43" s="240"/>
      <c r="J43" s="240"/>
      <c r="K43" s="273"/>
      <c r="L43" s="296"/>
      <c r="M43" s="51" t="str">
        <f>G4</f>
        <v>NHAP--100-1</v>
      </c>
      <c r="N43" s="411">
        <f>G5</f>
        <v>0</v>
      </c>
      <c r="O43" s="244">
        <f>C3</f>
        <v>0</v>
      </c>
      <c r="P43" s="244">
        <f>G7</f>
        <v>0</v>
      </c>
      <c r="Q43" s="48">
        <f>H30</f>
        <v>0</v>
      </c>
      <c r="R43" s="48">
        <f xml:space="preserve">
SUM(Table_FormDonMua_SKU[VAT khấu trừ])</f>
        <v>0</v>
      </c>
      <c r="S43" s="48">
        <f>H31</f>
        <v>0</v>
      </c>
      <c r="T43" s="48">
        <f>H32</f>
        <v>0</v>
      </c>
      <c r="U43" s="390">
        <f xml:space="preserve">
IFERROR(
R43+R43/Q43*(S43-T43),0)</f>
        <v>0</v>
      </c>
      <c r="V43" s="390">
        <f>W43-U43</f>
        <v>0</v>
      </c>
      <c r="W43" s="412">
        <f>H34</f>
        <v>0</v>
      </c>
      <c r="X43" s="297"/>
      <c r="Y43" s="298"/>
      <c r="Z43" s="241"/>
      <c r="AA43" s="240"/>
    </row>
    <row r="44" spans="1:27" ht="18" customHeight="1" x14ac:dyDescent="0.3">
      <c r="A44" s="240"/>
      <c r="B44" s="274"/>
      <c r="C44" s="274"/>
      <c r="D44" s="274"/>
      <c r="E44" s="274"/>
      <c r="F44" s="274"/>
      <c r="G44" s="274"/>
      <c r="H44" s="274"/>
      <c r="I44" s="240"/>
      <c r="J44" s="240"/>
      <c r="K44" s="273"/>
      <c r="L44" s="296"/>
      <c r="M44" s="51" t="str">
        <f>CONCATENATE("NHAP-",O44,"-",MOD(YEAR(N44),100)*10000+MONTH(N44)*100+DAY(N44),"-",L44)</f>
        <v>NHAP--100-</v>
      </c>
      <c r="N44" s="411"/>
      <c r="O44" s="244"/>
      <c r="P44" s="244"/>
      <c r="Q44" s="48" cm="1">
        <f t="array" ref="Q44">IFERROR(
SUM(_xlfn._xlws.FILTER(Table_Main[Giá trị hàng nhập],
(Table_Main[Đơn Mua] = M44)
)),0)</f>
        <v>0</v>
      </c>
      <c r="R44" s="48" cm="1">
        <f t="array" ref="R44">IFERROR(
SUM(_xlfn._xlws.FILTER(Table_Main[VAT khấu trừ],
(Table_Main[Đơn Mua] = M44)
)),0)</f>
        <v>0</v>
      </c>
      <c r="S44" s="48"/>
      <c r="T44" s="48"/>
      <c r="U44" s="390">
        <f xml:space="preserve">
IFERROR(
R44+R44/Q44*(S44-T44),0)</f>
        <v>0</v>
      </c>
      <c r="V44" s="390">
        <f>W44-U44</f>
        <v>0</v>
      </c>
      <c r="W44" s="412">
        <f>IF(M44="TONKHODAU",0,Q44+S44-T44)</f>
        <v>0</v>
      </c>
      <c r="X44" s="297"/>
      <c r="Y44" s="298"/>
      <c r="Z44" s="241"/>
      <c r="AA44" s="240"/>
    </row>
    <row r="45" spans="1:27" ht="18" customHeight="1" x14ac:dyDescent="0.3">
      <c r="A45" s="240"/>
      <c r="B45" s="274"/>
      <c r="C45" s="274"/>
      <c r="D45" s="274"/>
      <c r="E45" s="274"/>
      <c r="F45" s="274"/>
      <c r="G45" s="274"/>
      <c r="H45" s="274"/>
      <c r="I45" s="240"/>
      <c r="J45" s="240"/>
      <c r="K45" s="273"/>
      <c r="L45" s="42" t="s">
        <v>60</v>
      </c>
      <c r="M45" s="42" t="s">
        <v>712</v>
      </c>
      <c r="N45" s="42" t="s">
        <v>695</v>
      </c>
      <c r="O45" s="42" t="s">
        <v>693</v>
      </c>
      <c r="P45" s="42" t="s">
        <v>713</v>
      </c>
      <c r="Q45" s="42" t="s">
        <v>714</v>
      </c>
      <c r="R45" s="42" t="s">
        <v>715</v>
      </c>
      <c r="S45" s="42" t="s">
        <v>707</v>
      </c>
      <c r="T45" s="42" t="s">
        <v>716</v>
      </c>
      <c r="U45" s="42" t="s">
        <v>709</v>
      </c>
      <c r="V45" s="42" t="s">
        <v>652</v>
      </c>
      <c r="W45" s="42" t="s">
        <v>717</v>
      </c>
      <c r="X45" s="7" t="s">
        <v>873</v>
      </c>
      <c r="Y45" s="7" t="s">
        <v>1243</v>
      </c>
      <c r="Z45" s="241"/>
      <c r="AA45" s="240"/>
    </row>
    <row r="46" spans="1:27" ht="18" customHeight="1" x14ac:dyDescent="0.3">
      <c r="A46" s="240"/>
      <c r="B46" s="274"/>
      <c r="C46" s="274"/>
      <c r="D46" s="274"/>
      <c r="E46" s="274"/>
      <c r="F46" s="274"/>
      <c r="G46" s="274"/>
      <c r="H46" s="274"/>
      <c r="I46" s="240"/>
      <c r="J46" s="240"/>
      <c r="K46" s="273"/>
      <c r="L46" s="248"/>
      <c r="M46" s="520" t="str">
        <f>CONCATENATE("NHAP-",Table_DonMua[[#This Row],[Mã Đối tác]],"-",MOD(YEAR(Table_DonMua[[#This Row],[Ngày lập]]),100)*10000+MONTH(Table_DonMua[[#This Row],[Ngày lập]])*100+DAY(Table_DonMua[[#This Row],[Ngày lập]]),"-",Table_DonMua[[#This Row],[TT]])</f>
        <v>NHAP-NCC1-250528-</v>
      </c>
      <c r="N46" s="411">
        <v>45805</v>
      </c>
      <c r="O46" s="527" t="s">
        <v>1158</v>
      </c>
      <c r="P46" s="527" t="s">
        <v>1155</v>
      </c>
      <c r="Q46" s="413">
        <f>IFERROR(
SUM(_xlfn._xlws.FILTER(Table_Main[Giá trị hàng nhập],
(Table_Main[Đơn Mua] = Table_DonMua[[#This Row],[Mã Đơn mua]])
)),0)</f>
        <v>4191908</v>
      </c>
      <c r="R46" s="413">
        <f>IFERROR(
SUM(_xlfn._xlws.FILTER(Table_Main[VAT khấu trừ],
(Table_Main[Đơn Mua] = Table_DonMua[[#This Row],[Mã Đơn mua]])
)),0)</f>
        <v>0</v>
      </c>
      <c r="S46" s="528"/>
      <c r="T46" s="528"/>
      <c r="U46" s="120">
        <f xml:space="preserve">
IFERROR(Table_DonMua[[#This Row],[VAT hàng]]+Table_DonMua[[#This Row],[VAT hàng]]/Table_DonMua[[#This Row],[Tiền hàng]]*(Table_DonMua[[#This Row],[Phụ phí]]-Table_DonMua[[#This Row],[Khuyến mãi]]),0)</f>
        <v>0</v>
      </c>
      <c r="V46" s="415">
        <f>Table_DonMua[[#This Row],[Phải trả]]-Table_DonMua[[#This Row],[Tổng VAT khấu trừ]]</f>
        <v>4191908</v>
      </c>
      <c r="W46" s="413">
        <f xml:space="preserve">
IF(Table_DonMua[[#This Row],[Mã Đơn mua]]="TONKHODAU",0,
+Table_DonMua[[#This Row],[Tiền hàng]]+Table_DonMua[[#This Row],[Phụ phí]]-Table_DonMua[[#This Row],[Khuyến mãi]])</f>
        <v>4191908</v>
      </c>
      <c r="X46" s="521"/>
      <c r="Y46"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430146</v>
      </c>
      <c r="Z46" s="241"/>
      <c r="AA46" s="240"/>
    </row>
    <row r="47" spans="1:27" ht="18" customHeight="1" x14ac:dyDescent="0.3">
      <c r="L47" s="248"/>
      <c r="M47" s="520" t="str">
        <f>CONCATENATE("NHAP-",Table_DonMua[[#This Row],[Mã Đối tác]],"-",MOD(YEAR(Table_DonMua[[#This Row],[Ngày lập]]),100)*10000+MONTH(Table_DonMua[[#This Row],[Ngày lập]])*100+DAY(Table_DonMua[[#This Row],[Ngày lập]]),"-",Table_DonMua[[#This Row],[TT]])</f>
        <v>NHAP-NCC2-250527-</v>
      </c>
      <c r="N47" s="411">
        <v>45804</v>
      </c>
      <c r="O47" s="527" t="s">
        <v>1159</v>
      </c>
      <c r="P47" s="527" t="s">
        <v>1155</v>
      </c>
      <c r="Q47" s="413">
        <f>IFERROR(
SUM(_xlfn._xlws.FILTER(Table_Main[Giá trị hàng nhập],
(Table_Main[Đơn Mua] = Table_DonMua[[#This Row],[Mã Đơn mua]])
)),0)</f>
        <v>3270208</v>
      </c>
      <c r="R47" s="413">
        <f>IFERROR(
SUM(_xlfn._xlws.FILTER(Table_Main[VAT khấu trừ],
(Table_Main[Đơn Mua] = Table_DonMua[[#This Row],[Mã Đơn mua]])
)),0)</f>
        <v>0</v>
      </c>
      <c r="S47" s="528"/>
      <c r="T47" s="528"/>
      <c r="U47" s="120">
        <f xml:space="preserve">
IFERROR(Table_DonMua[[#This Row],[VAT hàng]]+Table_DonMua[[#This Row],[VAT hàng]]/Table_DonMua[[#This Row],[Tiền hàng]]*(Table_DonMua[[#This Row],[Phụ phí]]-Table_DonMua[[#This Row],[Khuyến mãi]]),0)</f>
        <v>0</v>
      </c>
      <c r="V47" s="415">
        <f>Table_DonMua[[#This Row],[Phải trả]]-Table_DonMua[[#This Row],[Tổng VAT khấu trừ]]</f>
        <v>3270208</v>
      </c>
      <c r="W47" s="413">
        <f xml:space="preserve">
IF(Table_DonMua[[#This Row],[Mã Đơn mua]]="TONKHODAU",0,
+Table_DonMua[[#This Row],[Tiền hàng]]+Table_DonMua[[#This Row],[Phụ phí]]-Table_DonMua[[#This Row],[Khuyến mãi]])</f>
        <v>3270208</v>
      </c>
      <c r="X47" s="521"/>
      <c r="Y47"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8" spans="1:27" ht="18" customHeight="1" x14ac:dyDescent="0.3">
      <c r="L48" s="248"/>
      <c r="M48" s="520" t="str">
        <f>CONCATENATE("NHAP-",Table_DonMua[[#This Row],[Mã Đối tác]],"-",MOD(YEAR(Table_DonMua[[#This Row],[Ngày lập]]),100)*10000+MONTH(Table_DonMua[[#This Row],[Ngày lập]])*100+DAY(Table_DonMua[[#This Row],[Ngày lập]]),"-",Table_DonMua[[#This Row],[TT]])</f>
        <v>NHAP-NCC3-250525-</v>
      </c>
      <c r="N48" s="411">
        <v>45802</v>
      </c>
      <c r="O48" s="527" t="s">
        <v>1160</v>
      </c>
      <c r="P48" s="527" t="s">
        <v>1155</v>
      </c>
      <c r="Q48" s="413">
        <f>IFERROR(
SUM(_xlfn._xlws.FILTER(Table_Main[Giá trị hàng nhập],
(Table_Main[Đơn Mua] = Table_DonMua[[#This Row],[Mã Đơn mua]])
)),0)</f>
        <v>1326520</v>
      </c>
      <c r="R48" s="413">
        <f>IFERROR(
SUM(_xlfn._xlws.FILTER(Table_Main[VAT khấu trừ],
(Table_Main[Đơn Mua] = Table_DonMua[[#This Row],[Mã Đơn mua]])
)),0)</f>
        <v>0</v>
      </c>
      <c r="S48" s="528"/>
      <c r="T48" s="528"/>
      <c r="U48" s="120">
        <f xml:space="preserve">
IFERROR(Table_DonMua[[#This Row],[VAT hàng]]+Table_DonMua[[#This Row],[VAT hàng]]/Table_DonMua[[#This Row],[Tiền hàng]]*(Table_DonMua[[#This Row],[Phụ phí]]-Table_DonMua[[#This Row],[Khuyến mãi]]),0)</f>
        <v>0</v>
      </c>
      <c r="V48" s="415">
        <f>Table_DonMua[[#This Row],[Phải trả]]-Table_DonMua[[#This Row],[Tổng VAT khấu trừ]]</f>
        <v>1326520</v>
      </c>
      <c r="W48" s="413">
        <f xml:space="preserve">
IF(Table_DonMua[[#This Row],[Mã Đơn mua]]="TONKHODAU",0,
+Table_DonMua[[#This Row],[Tiền hàng]]+Table_DonMua[[#This Row],[Phụ phí]]-Table_DonMua[[#This Row],[Khuyến mãi]])</f>
        <v>1326520</v>
      </c>
      <c r="X48" s="521"/>
      <c r="Y48"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9" spans="12:25" ht="18" customHeight="1" x14ac:dyDescent="0.3">
      <c r="L49" s="248"/>
      <c r="M49" s="520" t="str">
        <f>CONCATENATE("NHAP-",Table_DonMua[[#This Row],[Mã Đối tác]],"-",MOD(YEAR(Table_DonMua[[#This Row],[Ngày lập]]),100)*10000+MONTH(Table_DonMua[[#This Row],[Ngày lập]])*100+DAY(Table_DonMua[[#This Row],[Ngày lập]]),"-",Table_DonMua[[#This Row],[TT]])</f>
        <v>NHAP-NCC2-250523-</v>
      </c>
      <c r="N49" s="411">
        <v>45800</v>
      </c>
      <c r="O49" s="527" t="s">
        <v>1159</v>
      </c>
      <c r="P49" s="527" t="s">
        <v>1155</v>
      </c>
      <c r="Q49" s="413">
        <f>IFERROR(
SUM(_xlfn._xlws.FILTER(Table_Main[Giá trị hàng nhập],
(Table_Main[Đơn Mua] = Table_DonMua[[#This Row],[Mã Đơn mua]])
)),0)</f>
        <v>2388672</v>
      </c>
      <c r="R49" s="413">
        <f>IFERROR(
SUM(_xlfn._xlws.FILTER(Table_Main[VAT khấu trừ],
(Table_Main[Đơn Mua] = Table_DonMua[[#This Row],[Mã Đơn mua]])
)),0)</f>
        <v>0</v>
      </c>
      <c r="S49" s="528"/>
      <c r="T49" s="528"/>
      <c r="U49" s="120">
        <f xml:space="preserve">
IFERROR(Table_DonMua[[#This Row],[VAT hàng]]+Table_DonMua[[#This Row],[VAT hàng]]/Table_DonMua[[#This Row],[Tiền hàng]]*(Table_DonMua[[#This Row],[Phụ phí]]-Table_DonMua[[#This Row],[Khuyến mãi]]),0)</f>
        <v>0</v>
      </c>
      <c r="V49" s="415">
        <f>Table_DonMua[[#This Row],[Phải trả]]-Table_DonMua[[#This Row],[Tổng VAT khấu trừ]]</f>
        <v>2388672</v>
      </c>
      <c r="W49" s="413">
        <f xml:space="preserve">
IF(Table_DonMua[[#This Row],[Mã Đơn mua]]="TONKHODAU",0,
+Table_DonMua[[#This Row],[Tiền hàng]]+Table_DonMua[[#This Row],[Phụ phí]]-Table_DonMua[[#This Row],[Khuyến mãi]])</f>
        <v>2388672</v>
      </c>
      <c r="X49" s="521"/>
      <c r="Y49"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0" spans="12:25" ht="18" customHeight="1" x14ac:dyDescent="0.3">
      <c r="L50" s="248"/>
      <c r="M50" s="520" t="str">
        <f>CONCATENATE("NHAP-",Table_DonMua[[#This Row],[Mã Đối tác]],"-",MOD(YEAR(Table_DonMua[[#This Row],[Ngày lập]]),100)*10000+MONTH(Table_DonMua[[#This Row],[Ngày lập]])*100+DAY(Table_DonMua[[#This Row],[Ngày lập]]),"-",Table_DonMua[[#This Row],[TT]])</f>
        <v>NHAP-NCC2-250520-</v>
      </c>
      <c r="N50" s="411">
        <v>45797</v>
      </c>
      <c r="O50" s="527" t="s">
        <v>1159</v>
      </c>
      <c r="P50" s="527" t="s">
        <v>1155</v>
      </c>
      <c r="Q50" s="413">
        <f>IFERROR(
SUM(_xlfn._xlws.FILTER(Table_Main[Giá trị hàng nhập],
(Table_Main[Đơn Mua] = Table_DonMua[[#This Row],[Mã Đơn mua]])
)),0)</f>
        <v>4980430</v>
      </c>
      <c r="R50" s="413">
        <f>IFERROR(
SUM(_xlfn._xlws.FILTER(Table_Main[VAT khấu trừ],
(Table_Main[Đơn Mua] = Table_DonMua[[#This Row],[Mã Đơn mua]])
)),0)</f>
        <v>0</v>
      </c>
      <c r="S50" s="528"/>
      <c r="T50" s="528"/>
      <c r="U50" s="120">
        <f xml:space="preserve">
IFERROR(Table_DonMua[[#This Row],[VAT hàng]]+Table_DonMua[[#This Row],[VAT hàng]]/Table_DonMua[[#This Row],[Tiền hàng]]*(Table_DonMua[[#This Row],[Phụ phí]]-Table_DonMua[[#This Row],[Khuyến mãi]]),0)</f>
        <v>0</v>
      </c>
      <c r="V50" s="415">
        <f>Table_DonMua[[#This Row],[Phải trả]]-Table_DonMua[[#This Row],[Tổng VAT khấu trừ]]</f>
        <v>4980430</v>
      </c>
      <c r="W50" s="413">
        <f xml:space="preserve">
IF(Table_DonMua[[#This Row],[Mã Đơn mua]]="TONKHODAU",0,
+Table_DonMua[[#This Row],[Tiền hàng]]+Table_DonMua[[#This Row],[Phụ phí]]-Table_DonMua[[#This Row],[Khuyến mãi]])</f>
        <v>4980430</v>
      </c>
      <c r="X50" s="521"/>
      <c r="Y50"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1" spans="12:25" ht="18" customHeight="1" x14ac:dyDescent="0.3">
      <c r="L51" s="248"/>
      <c r="M51" s="520" t="str">
        <f>CONCATENATE("NHAP-",Table_DonMua[[#This Row],[Mã Đối tác]],"-",MOD(YEAR(Table_DonMua[[#This Row],[Ngày lập]]),100)*10000+MONTH(Table_DonMua[[#This Row],[Ngày lập]])*100+DAY(Table_DonMua[[#This Row],[Ngày lập]]),"-",Table_DonMua[[#This Row],[TT]])</f>
        <v>NHAP-NCC2-250511-</v>
      </c>
      <c r="N51" s="411">
        <v>45788</v>
      </c>
      <c r="O51" s="527" t="s">
        <v>1159</v>
      </c>
      <c r="P51" s="527" t="s">
        <v>1155</v>
      </c>
      <c r="Q51" s="413">
        <f>IFERROR(
SUM(_xlfn._xlws.FILTER(Table_Main[Giá trị hàng nhập],
(Table_Main[Đơn Mua] = Table_DonMua[[#This Row],[Mã Đơn mua]])
)),0)</f>
        <v>540624</v>
      </c>
      <c r="R51" s="413">
        <f>IFERROR(
SUM(_xlfn._xlws.FILTER(Table_Main[VAT khấu trừ],
(Table_Main[Đơn Mua] = Table_DonMua[[#This Row],[Mã Đơn mua]])
)),0)</f>
        <v>0</v>
      </c>
      <c r="S51" s="528"/>
      <c r="T51" s="528"/>
      <c r="U51" s="120">
        <f xml:space="preserve">
IFERROR(Table_DonMua[[#This Row],[VAT hàng]]+Table_DonMua[[#This Row],[VAT hàng]]/Table_DonMua[[#This Row],[Tiền hàng]]*(Table_DonMua[[#This Row],[Phụ phí]]-Table_DonMua[[#This Row],[Khuyến mãi]]),0)</f>
        <v>0</v>
      </c>
      <c r="V51" s="415">
        <f>Table_DonMua[[#This Row],[Phải trả]]-Table_DonMua[[#This Row],[Tổng VAT khấu trừ]]</f>
        <v>540624</v>
      </c>
      <c r="W51" s="413">
        <f xml:space="preserve">
IF(Table_DonMua[[#This Row],[Mã Đơn mua]]="TONKHODAU",0,
+Table_DonMua[[#This Row],[Tiền hàng]]+Table_DonMua[[#This Row],[Phụ phí]]-Table_DonMua[[#This Row],[Khuyến mãi]])</f>
        <v>540624</v>
      </c>
      <c r="X51" s="521"/>
      <c r="Y51"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2" spans="12:25" ht="18" customHeight="1" x14ac:dyDescent="0.3">
      <c r="L52" s="248"/>
      <c r="M52" s="520" t="str">
        <f>CONCATENATE("NHAP-",Table_DonMua[[#This Row],[Mã Đối tác]],"-",MOD(YEAR(Table_DonMua[[#This Row],[Ngày lập]]),100)*10000+MONTH(Table_DonMua[[#This Row],[Ngày lập]])*100+DAY(Table_DonMua[[#This Row],[Ngày lập]]),"-",Table_DonMua[[#This Row],[TT]])</f>
        <v>NHAP-NCC1-250505-</v>
      </c>
      <c r="N52" s="411">
        <v>45782</v>
      </c>
      <c r="O52" s="527" t="s">
        <v>1158</v>
      </c>
      <c r="P52" s="527" t="s">
        <v>1155</v>
      </c>
      <c r="Q52" s="413">
        <f>IFERROR(
SUM(_xlfn._xlws.FILTER(Table_Main[Giá trị hàng nhập],
(Table_Main[Đơn Mua] = Table_DonMua[[#This Row],[Mã Đơn mua]])
)),0)</f>
        <v>2571280</v>
      </c>
      <c r="R52" s="413">
        <f>IFERROR(
SUM(_xlfn._xlws.FILTER(Table_Main[VAT khấu trừ],
(Table_Main[Đơn Mua] = Table_DonMua[[#This Row],[Mã Đơn mua]])
)),0)</f>
        <v>0</v>
      </c>
      <c r="S52" s="528"/>
      <c r="T52" s="528"/>
      <c r="U52" s="120">
        <f xml:space="preserve">
IFERROR(Table_DonMua[[#This Row],[VAT hàng]]+Table_DonMua[[#This Row],[VAT hàng]]/Table_DonMua[[#This Row],[Tiền hàng]]*(Table_DonMua[[#This Row],[Phụ phí]]-Table_DonMua[[#This Row],[Khuyến mãi]]),0)</f>
        <v>0</v>
      </c>
      <c r="V52" s="415">
        <f>Table_DonMua[[#This Row],[Phải trả]]-Table_DonMua[[#This Row],[Tổng VAT khấu trừ]]</f>
        <v>2571280</v>
      </c>
      <c r="W52" s="413">
        <f xml:space="preserve">
IF(Table_DonMua[[#This Row],[Mã Đơn mua]]="TONKHODAU",0,
+Table_DonMua[[#This Row],[Tiền hàng]]+Table_DonMua[[#This Row],[Phụ phí]]-Table_DonMua[[#This Row],[Khuyến mãi]])</f>
        <v>2571280</v>
      </c>
      <c r="X52" s="521"/>
      <c r="Y52"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3" spans="12:25" ht="18" customHeight="1" x14ac:dyDescent="0.3">
      <c r="L53" s="248"/>
      <c r="M53" s="520" t="str">
        <f>CONCATENATE("NHAP-",Table_DonMua[[#This Row],[Mã Đối tác]],"-",MOD(YEAR(Table_DonMua[[#This Row],[Ngày lập]]),100)*10000+MONTH(Table_DonMua[[#This Row],[Ngày lập]])*100+DAY(Table_DonMua[[#This Row],[Ngày lập]]),"-",Table_DonMua[[#This Row],[TT]])</f>
        <v>NHAP-NCC2-250501-</v>
      </c>
      <c r="N53" s="411">
        <v>45778</v>
      </c>
      <c r="O53" s="527" t="s">
        <v>1159</v>
      </c>
      <c r="P53" s="527" t="s">
        <v>1155</v>
      </c>
      <c r="Q53" s="413">
        <f>IFERROR(
SUM(_xlfn._xlws.FILTER(Table_Main[Giá trị hàng nhập],
(Table_Main[Đơn Mua] = Table_DonMua[[#This Row],[Mã Đơn mua]])
)),0)</f>
        <v>1367328</v>
      </c>
      <c r="R53" s="413">
        <f>IFERROR(
SUM(_xlfn._xlws.FILTER(Table_Main[VAT khấu trừ],
(Table_Main[Đơn Mua] = Table_DonMua[[#This Row],[Mã Đơn mua]])
)),0)</f>
        <v>0</v>
      </c>
      <c r="S53" s="528"/>
      <c r="T53" s="528"/>
      <c r="U53" s="120">
        <f xml:space="preserve">
IFERROR(Table_DonMua[[#This Row],[VAT hàng]]+Table_DonMua[[#This Row],[VAT hàng]]/Table_DonMua[[#This Row],[Tiền hàng]]*(Table_DonMua[[#This Row],[Phụ phí]]-Table_DonMua[[#This Row],[Khuyến mãi]]),0)</f>
        <v>0</v>
      </c>
      <c r="V53" s="415">
        <f>Table_DonMua[[#This Row],[Phải trả]]-Table_DonMua[[#This Row],[Tổng VAT khấu trừ]]</f>
        <v>1367328</v>
      </c>
      <c r="W53" s="413">
        <f xml:space="preserve">
IF(Table_DonMua[[#This Row],[Mã Đơn mua]]="TONKHODAU",0,
+Table_DonMua[[#This Row],[Tiền hàng]]+Table_DonMua[[#This Row],[Phụ phí]]-Table_DonMua[[#This Row],[Khuyến mãi]])</f>
        <v>1367328</v>
      </c>
      <c r="X53" s="521"/>
      <c r="Y53"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4" spans="12:25" ht="18" customHeight="1" x14ac:dyDescent="0.3">
      <c r="L54" s="248"/>
      <c r="M54" s="520" t="str">
        <f>CONCATENATE("NHAP-",Table_DonMua[[#This Row],[Mã Đối tác]],"-",MOD(YEAR(Table_DonMua[[#This Row],[Ngày lập]]),100)*10000+MONTH(Table_DonMua[[#This Row],[Ngày lập]])*100+DAY(Table_DonMua[[#This Row],[Ngày lập]]),"-",Table_DonMua[[#This Row],[TT]])</f>
        <v>NHAP-NCC1-250428-</v>
      </c>
      <c r="N54" s="411">
        <v>45775</v>
      </c>
      <c r="O54" s="527" t="s">
        <v>1158</v>
      </c>
      <c r="P54" s="527" t="s">
        <v>1155</v>
      </c>
      <c r="Q54" s="413">
        <f>IFERROR(
SUM(_xlfn._xlws.FILTER(Table_Main[Giá trị hàng nhập],
(Table_Main[Đơn Mua] = Table_DonMua[[#This Row],[Mã Đơn mua]])
)),0)</f>
        <v>948135</v>
      </c>
      <c r="R54" s="413">
        <f>IFERROR(
SUM(_xlfn._xlws.FILTER(Table_Main[VAT khấu trừ],
(Table_Main[Đơn Mua] = Table_DonMua[[#This Row],[Mã Đơn mua]])
)),0)</f>
        <v>0</v>
      </c>
      <c r="S54" s="528"/>
      <c r="T54" s="528"/>
      <c r="U54" s="120">
        <f xml:space="preserve">
IFERROR(Table_DonMua[[#This Row],[VAT hàng]]+Table_DonMua[[#This Row],[VAT hàng]]/Table_DonMua[[#This Row],[Tiền hàng]]*(Table_DonMua[[#This Row],[Phụ phí]]-Table_DonMua[[#This Row],[Khuyến mãi]]),0)</f>
        <v>0</v>
      </c>
      <c r="V54" s="415">
        <f>Table_DonMua[[#This Row],[Phải trả]]-Table_DonMua[[#This Row],[Tổng VAT khấu trừ]]</f>
        <v>948135</v>
      </c>
      <c r="W54" s="413">
        <f xml:space="preserve">
IF(Table_DonMua[[#This Row],[Mã Đơn mua]]="TONKHODAU",0,
+Table_DonMua[[#This Row],[Tiền hàng]]+Table_DonMua[[#This Row],[Phụ phí]]-Table_DonMua[[#This Row],[Khuyến mãi]])</f>
        <v>948135</v>
      </c>
      <c r="X54" s="521"/>
      <c r="Y54"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5" spans="12:25" ht="18" customHeight="1" x14ac:dyDescent="0.3">
      <c r="L55" s="248"/>
      <c r="M55" s="520" t="str">
        <f>CONCATENATE("NHAP-",Table_DonMua[[#This Row],[Mã Đối tác]],"-",MOD(YEAR(Table_DonMua[[#This Row],[Ngày lập]]),100)*10000+MONTH(Table_DonMua[[#This Row],[Ngày lập]])*100+DAY(Table_DonMua[[#This Row],[Ngày lập]]),"-",Table_DonMua[[#This Row],[TT]])</f>
        <v>NHAP-NCC2-250425-</v>
      </c>
      <c r="N55" s="411">
        <v>45772</v>
      </c>
      <c r="O55" s="527" t="s">
        <v>1159</v>
      </c>
      <c r="P55" s="527" t="s">
        <v>1155</v>
      </c>
      <c r="Q55" s="413">
        <f>IFERROR(
SUM(_xlfn._xlws.FILTER(Table_Main[Giá trị hàng nhập],
(Table_Main[Đơn Mua] = Table_DonMua[[#This Row],[Mã Đơn mua]])
)),0)</f>
        <v>3671875</v>
      </c>
      <c r="R55" s="413">
        <f>IFERROR(
SUM(_xlfn._xlws.FILTER(Table_Main[VAT khấu trừ],
(Table_Main[Đơn Mua] = Table_DonMua[[#This Row],[Mã Đơn mua]])
)),0)</f>
        <v>0</v>
      </c>
      <c r="S55" s="528"/>
      <c r="T55" s="528"/>
      <c r="U55" s="120">
        <f xml:space="preserve">
IFERROR(Table_DonMua[[#This Row],[VAT hàng]]+Table_DonMua[[#This Row],[VAT hàng]]/Table_DonMua[[#This Row],[Tiền hàng]]*(Table_DonMua[[#This Row],[Phụ phí]]-Table_DonMua[[#This Row],[Khuyến mãi]]),0)</f>
        <v>0</v>
      </c>
      <c r="V55" s="415">
        <f>Table_DonMua[[#This Row],[Phải trả]]-Table_DonMua[[#This Row],[Tổng VAT khấu trừ]]</f>
        <v>3671875</v>
      </c>
      <c r="W55" s="413">
        <f xml:space="preserve">
IF(Table_DonMua[[#This Row],[Mã Đơn mua]]="TONKHODAU",0,
+Table_DonMua[[#This Row],[Tiền hàng]]+Table_DonMua[[#This Row],[Phụ phí]]-Table_DonMua[[#This Row],[Khuyến mãi]])</f>
        <v>3671875</v>
      </c>
      <c r="X55" s="521"/>
      <c r="Y55"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6" spans="12:25" ht="18" customHeight="1" x14ac:dyDescent="0.3">
      <c r="L56" s="248"/>
      <c r="M56" s="520" t="str">
        <f>CONCATENATE("NHAP-",Table_DonMua[[#This Row],[Mã Đối tác]],"-",MOD(YEAR(Table_DonMua[[#This Row],[Ngày lập]]),100)*10000+MONTH(Table_DonMua[[#This Row],[Ngày lập]])*100+DAY(Table_DonMua[[#This Row],[Ngày lập]]),"-",Table_DonMua[[#This Row],[TT]])</f>
        <v>NHAP-NCC3-250420-</v>
      </c>
      <c r="N56" s="411">
        <v>45767</v>
      </c>
      <c r="O56" s="527" t="s">
        <v>1160</v>
      </c>
      <c r="P56" s="527" t="s">
        <v>1155</v>
      </c>
      <c r="Q56" s="413">
        <f>IFERROR(
SUM(_xlfn._xlws.FILTER(Table_Main[Giá trị hàng nhập],
(Table_Main[Đơn Mua] = Table_DonMua[[#This Row],[Mã Đơn mua]])
)),0)</f>
        <v>1584286</v>
      </c>
      <c r="R56" s="413">
        <f>IFERROR(
SUM(_xlfn._xlws.FILTER(Table_Main[VAT khấu trừ],
(Table_Main[Đơn Mua] = Table_DonMua[[#This Row],[Mã Đơn mua]])
)),0)</f>
        <v>0</v>
      </c>
      <c r="S56" s="528"/>
      <c r="T56" s="528"/>
      <c r="U56" s="120">
        <f xml:space="preserve">
IFERROR(Table_DonMua[[#This Row],[VAT hàng]]+Table_DonMua[[#This Row],[VAT hàng]]/Table_DonMua[[#This Row],[Tiền hàng]]*(Table_DonMua[[#This Row],[Phụ phí]]-Table_DonMua[[#This Row],[Khuyến mãi]]),0)</f>
        <v>0</v>
      </c>
      <c r="V56" s="415">
        <f>Table_DonMua[[#This Row],[Phải trả]]-Table_DonMua[[#This Row],[Tổng VAT khấu trừ]]</f>
        <v>1584286</v>
      </c>
      <c r="W56" s="413">
        <f xml:space="preserve">
IF(Table_DonMua[[#This Row],[Mã Đơn mua]]="TONKHODAU",0,
+Table_DonMua[[#This Row],[Tiền hàng]]+Table_DonMua[[#This Row],[Phụ phí]]-Table_DonMua[[#This Row],[Khuyến mãi]])</f>
        <v>1584286</v>
      </c>
      <c r="X56" s="521"/>
      <c r="Y56"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7" spans="12:25" ht="18" customHeight="1" x14ac:dyDescent="0.3">
      <c r="L57" s="248"/>
      <c r="M57" s="520" t="str">
        <f>CONCATENATE("NHAP-",Table_DonMua[[#This Row],[Mã Đối tác]],"-",MOD(YEAR(Table_DonMua[[#This Row],[Ngày lập]]),100)*10000+MONTH(Table_DonMua[[#This Row],[Ngày lập]])*100+DAY(Table_DonMua[[#This Row],[Ngày lập]]),"-",Table_DonMua[[#This Row],[TT]])</f>
        <v>NHAP-NCC1-250417-</v>
      </c>
      <c r="N57" s="411">
        <v>45764</v>
      </c>
      <c r="O57" s="527" t="s">
        <v>1158</v>
      </c>
      <c r="P57" s="527" t="s">
        <v>1155</v>
      </c>
      <c r="Q57" s="413">
        <f>IFERROR(
SUM(_xlfn._xlws.FILTER(Table_Main[Giá trị hàng nhập],
(Table_Main[Đơn Mua] = Table_DonMua[[#This Row],[Mã Đơn mua]])
)),0)</f>
        <v>730769</v>
      </c>
      <c r="R57" s="413">
        <f>IFERROR(
SUM(_xlfn._xlws.FILTER(Table_Main[VAT khấu trừ],
(Table_Main[Đơn Mua] = Table_DonMua[[#This Row],[Mã Đơn mua]])
)),0)</f>
        <v>0</v>
      </c>
      <c r="S57" s="528"/>
      <c r="T57" s="528"/>
      <c r="U57" s="120">
        <f xml:space="preserve">
IFERROR(Table_DonMua[[#This Row],[VAT hàng]]+Table_DonMua[[#This Row],[VAT hàng]]/Table_DonMua[[#This Row],[Tiền hàng]]*(Table_DonMua[[#This Row],[Phụ phí]]-Table_DonMua[[#This Row],[Khuyến mãi]]),0)</f>
        <v>0</v>
      </c>
      <c r="V57" s="415">
        <f>Table_DonMua[[#This Row],[Phải trả]]-Table_DonMua[[#This Row],[Tổng VAT khấu trừ]]</f>
        <v>730769</v>
      </c>
      <c r="W57" s="413">
        <f xml:space="preserve">
IF(Table_DonMua[[#This Row],[Mã Đơn mua]]="TONKHODAU",0,
+Table_DonMua[[#This Row],[Tiền hàng]]+Table_DonMua[[#This Row],[Phụ phí]]-Table_DonMua[[#This Row],[Khuyến mãi]])</f>
        <v>730769</v>
      </c>
      <c r="X57" s="521"/>
      <c r="Y57"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8" spans="12:25" ht="18" customHeight="1" x14ac:dyDescent="0.3">
      <c r="L58" s="248"/>
      <c r="M58" s="520" t="str">
        <f>CONCATENATE("NHAP-",Table_DonMua[[#This Row],[Mã Đối tác]],"-",MOD(YEAR(Table_DonMua[[#This Row],[Ngày lập]]),100)*10000+MONTH(Table_DonMua[[#This Row],[Ngày lập]])*100+DAY(Table_DonMua[[#This Row],[Ngày lập]]),"-",Table_DonMua[[#This Row],[TT]])</f>
        <v>NHAP-NCC2-250328-</v>
      </c>
      <c r="N58" s="411">
        <v>45744</v>
      </c>
      <c r="O58" s="527" t="s">
        <v>1159</v>
      </c>
      <c r="P58" s="527" t="s">
        <v>1155</v>
      </c>
      <c r="Q58" s="413">
        <f>IFERROR(
SUM(_xlfn._xlws.FILTER(Table_Main[Giá trị hàng nhập],
(Table_Main[Đơn Mua] = Table_DonMua[[#This Row],[Mã Đơn mua]])
)),0)</f>
        <v>885396</v>
      </c>
      <c r="R58" s="413">
        <f>IFERROR(
SUM(_xlfn._xlws.FILTER(Table_Main[VAT khấu trừ],
(Table_Main[Đơn Mua] = Table_DonMua[[#This Row],[Mã Đơn mua]])
)),0)</f>
        <v>0</v>
      </c>
      <c r="S58" s="528"/>
      <c r="T58" s="528"/>
      <c r="U58" s="120">
        <f xml:space="preserve">
IFERROR(Table_DonMua[[#This Row],[VAT hàng]]+Table_DonMua[[#This Row],[VAT hàng]]/Table_DonMua[[#This Row],[Tiền hàng]]*(Table_DonMua[[#This Row],[Phụ phí]]-Table_DonMua[[#This Row],[Khuyến mãi]]),0)</f>
        <v>0</v>
      </c>
      <c r="V58" s="415">
        <f>Table_DonMua[[#This Row],[Phải trả]]-Table_DonMua[[#This Row],[Tổng VAT khấu trừ]]</f>
        <v>885396</v>
      </c>
      <c r="W58" s="413">
        <f xml:space="preserve">
IF(Table_DonMua[[#This Row],[Mã Đơn mua]]="TONKHODAU",0,
+Table_DonMua[[#This Row],[Tiền hàng]]+Table_DonMua[[#This Row],[Phụ phí]]-Table_DonMua[[#This Row],[Khuyến mãi]])</f>
        <v>885396</v>
      </c>
      <c r="X58" s="521"/>
      <c r="Y58"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9" spans="12:25" ht="18" customHeight="1" x14ac:dyDescent="0.3">
      <c r="L59" s="248"/>
      <c r="M59" s="520" t="str">
        <f>CONCATENATE("NHAP-",Table_DonMua[[#This Row],[Mã Đối tác]],"-",MOD(YEAR(Table_DonMua[[#This Row],[Ngày lập]]),100)*10000+MONTH(Table_DonMua[[#This Row],[Ngày lập]])*100+DAY(Table_DonMua[[#This Row],[Ngày lập]]),"-",Table_DonMua[[#This Row],[TT]])</f>
        <v>NHAP-NCC1-250321-</v>
      </c>
      <c r="N59" s="411">
        <v>45737</v>
      </c>
      <c r="O59" s="527" t="s">
        <v>1158</v>
      </c>
      <c r="P59" s="527" t="s">
        <v>1155</v>
      </c>
      <c r="Q59" s="413">
        <f>IFERROR(
SUM(_xlfn._xlws.FILTER(Table_Main[Giá trị hàng nhập],
(Table_Main[Đơn Mua] = Table_DonMua[[#This Row],[Mã Đơn mua]])
)),0)</f>
        <v>790272</v>
      </c>
      <c r="R59" s="413">
        <f>IFERROR(
SUM(_xlfn._xlws.FILTER(Table_Main[VAT khấu trừ],
(Table_Main[Đơn Mua] = Table_DonMua[[#This Row],[Mã Đơn mua]])
)),0)</f>
        <v>0</v>
      </c>
      <c r="S59" s="528"/>
      <c r="T59" s="528"/>
      <c r="U59" s="120">
        <f xml:space="preserve">
IFERROR(Table_DonMua[[#This Row],[VAT hàng]]+Table_DonMua[[#This Row],[VAT hàng]]/Table_DonMua[[#This Row],[Tiền hàng]]*(Table_DonMua[[#This Row],[Phụ phí]]-Table_DonMua[[#This Row],[Khuyến mãi]]),0)</f>
        <v>0</v>
      </c>
      <c r="V59" s="415">
        <f>Table_DonMua[[#This Row],[Phải trả]]-Table_DonMua[[#This Row],[Tổng VAT khấu trừ]]</f>
        <v>790272</v>
      </c>
      <c r="W59" s="413">
        <f xml:space="preserve">
IF(Table_DonMua[[#This Row],[Mã Đơn mua]]="TONKHODAU",0,
+Table_DonMua[[#This Row],[Tiền hàng]]+Table_DonMua[[#This Row],[Phụ phí]]-Table_DonMua[[#This Row],[Khuyến mãi]])</f>
        <v>790272</v>
      </c>
      <c r="X59" s="521"/>
      <c r="Y59"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0" spans="12:25" ht="18" customHeight="1" x14ac:dyDescent="0.3">
      <c r="L60" s="248"/>
      <c r="M60" s="520" t="str">
        <f>CONCATENATE("NHAP-",Table_DonMua[[#This Row],[Mã Đối tác]],"-",MOD(YEAR(Table_DonMua[[#This Row],[Ngày lập]]),100)*10000+MONTH(Table_DonMua[[#This Row],[Ngày lập]])*100+DAY(Table_DonMua[[#This Row],[Ngày lập]]),"-",Table_DonMua[[#This Row],[TT]])</f>
        <v>NHAP-NCC1-250316-</v>
      </c>
      <c r="N60" s="411">
        <v>45732</v>
      </c>
      <c r="O60" s="527" t="s">
        <v>1158</v>
      </c>
      <c r="P60" s="527" t="s">
        <v>1155</v>
      </c>
      <c r="Q60" s="413">
        <f>IFERROR(
SUM(_xlfn._xlws.FILTER(Table_Main[Giá trị hàng nhập],
(Table_Main[Đơn Mua] = Table_DonMua[[#This Row],[Mã Đơn mua]])
)),0)</f>
        <v>3197782</v>
      </c>
      <c r="R60" s="413">
        <f>IFERROR(
SUM(_xlfn._xlws.FILTER(Table_Main[VAT khấu trừ],
(Table_Main[Đơn Mua] = Table_DonMua[[#This Row],[Mã Đơn mua]])
)),0)</f>
        <v>0</v>
      </c>
      <c r="S60" s="528"/>
      <c r="T60" s="528"/>
      <c r="U60" s="120">
        <f xml:space="preserve">
IFERROR(Table_DonMua[[#This Row],[VAT hàng]]+Table_DonMua[[#This Row],[VAT hàng]]/Table_DonMua[[#This Row],[Tiền hàng]]*(Table_DonMua[[#This Row],[Phụ phí]]-Table_DonMua[[#This Row],[Khuyến mãi]]),0)</f>
        <v>0</v>
      </c>
      <c r="V60" s="415">
        <f>Table_DonMua[[#This Row],[Phải trả]]-Table_DonMua[[#This Row],[Tổng VAT khấu trừ]]</f>
        <v>3197782</v>
      </c>
      <c r="W60" s="413">
        <f xml:space="preserve">
IF(Table_DonMua[[#This Row],[Mã Đơn mua]]="TONKHODAU",0,
+Table_DonMua[[#This Row],[Tiền hàng]]+Table_DonMua[[#This Row],[Phụ phí]]-Table_DonMua[[#This Row],[Khuyến mãi]])</f>
        <v>3197782</v>
      </c>
      <c r="X60" s="521"/>
      <c r="Y60"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1" spans="12:25" ht="18" customHeight="1" x14ac:dyDescent="0.3">
      <c r="L61" s="248"/>
      <c r="M61" s="520" t="str">
        <f>CONCATENATE("NHAP-",Table_DonMua[[#This Row],[Mã Đối tác]],"-",MOD(YEAR(Table_DonMua[[#This Row],[Ngày lập]]),100)*10000+MONTH(Table_DonMua[[#This Row],[Ngày lập]])*100+DAY(Table_DonMua[[#This Row],[Ngày lập]]),"-",Table_DonMua[[#This Row],[TT]])</f>
        <v>NHAP-NCC2-250314-</v>
      </c>
      <c r="N61" s="411">
        <v>45730</v>
      </c>
      <c r="O61" s="527" t="s">
        <v>1159</v>
      </c>
      <c r="P61" s="527" t="s">
        <v>1155</v>
      </c>
      <c r="Q61" s="413">
        <f>IFERROR(
SUM(_xlfn._xlws.FILTER(Table_Main[Giá trị hàng nhập],
(Table_Main[Đơn Mua] = Table_DonMua[[#This Row],[Mã Đơn mua]])
)),0)</f>
        <v>1518566</v>
      </c>
      <c r="R61" s="413">
        <f>IFERROR(
SUM(_xlfn._xlws.FILTER(Table_Main[VAT khấu trừ],
(Table_Main[Đơn Mua] = Table_DonMua[[#This Row],[Mã Đơn mua]])
)),0)</f>
        <v>0</v>
      </c>
      <c r="S61" s="528"/>
      <c r="T61" s="528"/>
      <c r="U61" s="120">
        <f xml:space="preserve">
IFERROR(Table_DonMua[[#This Row],[VAT hàng]]+Table_DonMua[[#This Row],[VAT hàng]]/Table_DonMua[[#This Row],[Tiền hàng]]*(Table_DonMua[[#This Row],[Phụ phí]]-Table_DonMua[[#This Row],[Khuyến mãi]]),0)</f>
        <v>0</v>
      </c>
      <c r="V61" s="415">
        <f>Table_DonMua[[#This Row],[Phải trả]]-Table_DonMua[[#This Row],[Tổng VAT khấu trừ]]</f>
        <v>1518566</v>
      </c>
      <c r="W61" s="413">
        <f xml:space="preserve">
IF(Table_DonMua[[#This Row],[Mã Đơn mua]]="TONKHODAU",0,
+Table_DonMua[[#This Row],[Tiền hàng]]+Table_DonMua[[#This Row],[Phụ phí]]-Table_DonMua[[#This Row],[Khuyến mãi]])</f>
        <v>1518566</v>
      </c>
      <c r="X61" s="521"/>
      <c r="Y61"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2" spans="12:25" ht="18" customHeight="1" x14ac:dyDescent="0.3">
      <c r="L62" s="248"/>
      <c r="M62" s="520" t="str">
        <f>CONCATENATE("NHAP-",Table_DonMua[[#This Row],[Mã Đối tác]],"-",MOD(YEAR(Table_DonMua[[#This Row],[Ngày lập]]),100)*10000+MONTH(Table_DonMua[[#This Row],[Ngày lập]])*100+DAY(Table_DonMua[[#This Row],[Ngày lập]]),"-",Table_DonMua[[#This Row],[TT]])</f>
        <v>NHAP-NCC3-250312-</v>
      </c>
      <c r="N62" s="411">
        <v>45728</v>
      </c>
      <c r="O62" s="527" t="s">
        <v>1160</v>
      </c>
      <c r="P62" s="527" t="s">
        <v>1155</v>
      </c>
      <c r="Q62" s="413">
        <f>IFERROR(
SUM(_xlfn._xlws.FILTER(Table_Main[Giá trị hàng nhập],
(Table_Main[Đơn Mua] = Table_DonMua[[#This Row],[Mã Đơn mua]])
)),0)</f>
        <v>836292</v>
      </c>
      <c r="R62" s="413">
        <f>IFERROR(
SUM(_xlfn._xlws.FILTER(Table_Main[VAT khấu trừ],
(Table_Main[Đơn Mua] = Table_DonMua[[#This Row],[Mã Đơn mua]])
)),0)</f>
        <v>0</v>
      </c>
      <c r="S62" s="528"/>
      <c r="T62" s="528"/>
      <c r="U62" s="120">
        <f xml:space="preserve">
IFERROR(Table_DonMua[[#This Row],[VAT hàng]]+Table_DonMua[[#This Row],[VAT hàng]]/Table_DonMua[[#This Row],[Tiền hàng]]*(Table_DonMua[[#This Row],[Phụ phí]]-Table_DonMua[[#This Row],[Khuyến mãi]]),0)</f>
        <v>0</v>
      </c>
      <c r="V62" s="415">
        <f>Table_DonMua[[#This Row],[Phải trả]]-Table_DonMua[[#This Row],[Tổng VAT khấu trừ]]</f>
        <v>836292</v>
      </c>
      <c r="W62" s="413">
        <f xml:space="preserve">
IF(Table_DonMua[[#This Row],[Mã Đơn mua]]="TONKHODAU",0,
+Table_DonMua[[#This Row],[Tiền hàng]]+Table_DonMua[[#This Row],[Phụ phí]]-Table_DonMua[[#This Row],[Khuyến mãi]])</f>
        <v>836292</v>
      </c>
      <c r="X62" s="521"/>
      <c r="Y62"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3" spans="12:25" ht="18" customHeight="1" x14ac:dyDescent="0.3">
      <c r="L63" s="248"/>
      <c r="M63" s="520" t="str">
        <f>CONCATENATE("NHAP-",Table_DonMua[[#This Row],[Mã Đối tác]],"-",MOD(YEAR(Table_DonMua[[#This Row],[Ngày lập]]),100)*10000+MONTH(Table_DonMua[[#This Row],[Ngày lập]])*100+DAY(Table_DonMua[[#This Row],[Ngày lập]]),"-",Table_DonMua[[#This Row],[TT]])</f>
        <v>NHAP-NCC1-250306-</v>
      </c>
      <c r="N63" s="411">
        <v>45722</v>
      </c>
      <c r="O63" s="527" t="s">
        <v>1158</v>
      </c>
      <c r="P63" s="527" t="s">
        <v>1155</v>
      </c>
      <c r="Q63" s="413">
        <f>IFERROR(
SUM(_xlfn._xlws.FILTER(Table_Main[Giá trị hàng nhập],
(Table_Main[Đơn Mua] = Table_DonMua[[#This Row],[Mã Đơn mua]])
)),0)</f>
        <v>42000000</v>
      </c>
      <c r="R63" s="413">
        <f>IFERROR(
SUM(_xlfn._xlws.FILTER(Table_Main[VAT khấu trừ],
(Table_Main[Đơn Mua] = Table_DonMua[[#This Row],[Mã Đơn mua]])
)),0)</f>
        <v>0</v>
      </c>
      <c r="S63" s="528"/>
      <c r="T63" s="528"/>
      <c r="U63" s="120">
        <f xml:space="preserve">
IFERROR(Table_DonMua[[#This Row],[VAT hàng]]+Table_DonMua[[#This Row],[VAT hàng]]/Table_DonMua[[#This Row],[Tiền hàng]]*(Table_DonMua[[#This Row],[Phụ phí]]-Table_DonMua[[#This Row],[Khuyến mãi]]),0)</f>
        <v>0</v>
      </c>
      <c r="V63" s="415">
        <f>Table_DonMua[[#This Row],[Phải trả]]-Table_DonMua[[#This Row],[Tổng VAT khấu trừ]]</f>
        <v>42000000</v>
      </c>
      <c r="W63" s="413">
        <f xml:space="preserve">
IF(Table_DonMua[[#This Row],[Mã Đơn mua]]="TONKHODAU",0,
+Table_DonMua[[#This Row],[Tiền hàng]]+Table_DonMua[[#This Row],[Phụ phí]]-Table_DonMua[[#This Row],[Khuyến mãi]])</f>
        <v>42000000</v>
      </c>
      <c r="X63" s="521"/>
      <c r="Y63"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4" spans="12:25" ht="18" customHeight="1" x14ac:dyDescent="0.3">
      <c r="L64" s="248"/>
      <c r="M64" s="520" t="str">
        <f>CONCATENATE("NHAP-",Table_DonMua[[#This Row],[Mã Đối tác]],"-",MOD(YEAR(Table_DonMua[[#This Row],[Ngày lập]]),100)*10000+MONTH(Table_DonMua[[#This Row],[Ngày lập]])*100+DAY(Table_DonMua[[#This Row],[Ngày lập]]),"-",Table_DonMua[[#This Row],[TT]])</f>
        <v>NHAP-NCC2-250304-</v>
      </c>
      <c r="N64" s="411">
        <v>45720</v>
      </c>
      <c r="O64" s="527" t="s">
        <v>1159</v>
      </c>
      <c r="P64" s="527" t="s">
        <v>1155</v>
      </c>
      <c r="Q64" s="413">
        <f>IFERROR(
SUM(_xlfn._xlws.FILTER(Table_Main[Giá trị hàng nhập],
(Table_Main[Đơn Mua] = Table_DonMua[[#This Row],[Mã Đơn mua]])
)),0)</f>
        <v>30000000</v>
      </c>
      <c r="R64" s="413">
        <f>IFERROR(
SUM(_xlfn._xlws.FILTER(Table_Main[VAT khấu trừ],
(Table_Main[Đơn Mua] = Table_DonMua[[#This Row],[Mã Đơn mua]])
)),0)</f>
        <v>0</v>
      </c>
      <c r="S64" s="528"/>
      <c r="T64" s="528"/>
      <c r="U64" s="120">
        <f xml:space="preserve">
IFERROR(Table_DonMua[[#This Row],[VAT hàng]]+Table_DonMua[[#This Row],[VAT hàng]]/Table_DonMua[[#This Row],[Tiền hàng]]*(Table_DonMua[[#This Row],[Phụ phí]]-Table_DonMua[[#This Row],[Khuyến mãi]]),0)</f>
        <v>0</v>
      </c>
      <c r="V64" s="415">
        <f>Table_DonMua[[#This Row],[Phải trả]]-Table_DonMua[[#This Row],[Tổng VAT khấu trừ]]</f>
        <v>30000000</v>
      </c>
      <c r="W64" s="413">
        <f xml:space="preserve">
IF(Table_DonMua[[#This Row],[Mã Đơn mua]]="TONKHODAU",0,
+Table_DonMua[[#This Row],[Tiền hàng]]+Table_DonMua[[#This Row],[Phụ phí]]-Table_DonMua[[#This Row],[Khuyến mãi]])</f>
        <v>30000000</v>
      </c>
      <c r="X64" s="521"/>
      <c r="Y64"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5" spans="12:25" ht="18" customHeight="1" x14ac:dyDescent="0.3">
      <c r="L65" s="296"/>
      <c r="M65" s="51" t="s">
        <v>922</v>
      </c>
      <c r="N65" s="411"/>
      <c r="O65" s="527"/>
      <c r="P65" s="527"/>
      <c r="Q65" s="413">
        <f>IFERROR(
SUM(_xlfn._xlws.FILTER(Table_Main[Giá trị hàng nhập],
(Table_Main[Đơn Mua] = Table_DonMua[[#This Row],[Mã Đơn mua]])
)),0)</f>
        <v>0</v>
      </c>
      <c r="R65" s="413">
        <f>IFERROR(
SUM(_xlfn._xlws.FILTER(Table_Main[VAT khấu trừ],
(Table_Main[Đơn Mua] = Table_DonMua[[#This Row],[Mã Đơn mua]])
)),0)</f>
        <v>0</v>
      </c>
      <c r="S65" s="485"/>
      <c r="T65" s="485"/>
      <c r="U65" s="120">
        <f xml:space="preserve">
IFERROR(Table_DonMua[[#This Row],[VAT hàng]]+Table_DonMua[[#This Row],[VAT hàng]]/Table_DonMua[[#This Row],[Tiền hàng]]*(Table_DonMua[[#This Row],[Phụ phí]]-Table_DonMua[[#This Row],[Khuyến mãi]]),0)</f>
        <v>0</v>
      </c>
      <c r="V65" s="415">
        <f>Table_DonMua[[#This Row],[Phải trả]]-Table_DonMua[[#This Row],[Tổng VAT khấu trừ]]</f>
        <v>0</v>
      </c>
      <c r="W65" s="415">
        <f xml:space="preserve">
IF(Table_DonMua[[#This Row],[Mã Đơn mua]]="TONKHODAU",0,
+Table_DonMua[[#This Row],[Tiền hàng]]+Table_DonMua[[#This Row],[Phụ phí]]-Table_DonMua[[#This Row],[Khuyến mãi]])</f>
        <v>0</v>
      </c>
      <c r="X65" s="297"/>
      <c r="Y65" s="261">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sheetData>
  <sheetProtection algorithmName="SHA-512" hashValue="whjDO07CMU9hrUPUnfChv0zO1t2IOosw2VqGWaM9AETxctPZiXxrlX6RmlPd/TfD/EOCsRWU3pVW0hXgMuuzVw==" saltValue="d5/SY1yddnHCrAobnYqYKg==" spinCount="100000" sheet="1" scenarios="1" formatCells="0" formatColumns="0" formatRows="0" insertColumns="0" insertRows="0" deleteColumns="0" deleteRows="0" sort="0" autoFilter="0" pivotTables="0"/>
  <protectedRanges>
    <protectedRange sqref="L42:W42 X1:XFD1 Z4:XFD6 AA2:XFD3 L2:X3 L7:X41 I5:J17 I4 L65:M65 Q65:V65 L66:X1048576 I1:J3 W45:Y65 I18:J1048576 AA7:XFD1048576 L43:V64" name="Range1"/>
    <protectedRange sqref="E4:F11 B4:D14 B1:H3 F18:H34 B36:F42 G42:H42 G36:H39 F12:F17 G4:H17 B15:E34 B43:H1048576 K1:K1048576" name="Range1_1"/>
    <protectedRange sqref="R45:R64" name="Range1_3"/>
    <protectedRange sqref="U45:U64" name="Range1_5"/>
    <protectedRange sqref="V45:V64" name="Range1_6"/>
    <protectedRange sqref="N65:P65" name="Range1_2"/>
  </protectedRanges>
  <mergeCells count="14">
    <mergeCell ref="G38:H38"/>
    <mergeCell ref="G37:H37"/>
    <mergeCell ref="G36:H36"/>
    <mergeCell ref="B4:E4"/>
    <mergeCell ref="B6:E6"/>
    <mergeCell ref="B5:E5"/>
    <mergeCell ref="F12:J12"/>
    <mergeCell ref="F13:J13"/>
    <mergeCell ref="F14:J14"/>
    <mergeCell ref="G4:H4"/>
    <mergeCell ref="G5:H5"/>
    <mergeCell ref="G6:H6"/>
    <mergeCell ref="G7:H7"/>
    <mergeCell ref="G8:H8"/>
  </mergeCells>
  <phoneticPr fontId="14" type="noConversion"/>
  <conditionalFormatting sqref="M46:M65">
    <cfRule type="duplicateValues" dxfId="458" priority="669"/>
  </conditionalFormatting>
  <conditionalFormatting sqref="G4:H4">
    <cfRule type="expression" dxfId="457" priority="671">
      <formula>MATCH($G$4,$M$46:$M$65,0)</formula>
    </cfRule>
  </conditionalFormatting>
  <dataValidations count="5">
    <dataValidation type="list" allowBlank="1" showInputMessage="1" showErrorMessage="1" sqref="G7:H7 P44" xr:uid="{4045604B-F06F-4364-A943-0652F6A61BF4}">
      <formula1>MaKho</formula1>
    </dataValidation>
    <dataValidation type="list" allowBlank="1" showInputMessage="1" showErrorMessage="1" sqref="G8:H8" xr:uid="{997AD682-5253-4616-8876-C08802667892}">
      <formula1>MaNhanVien</formula1>
    </dataValidation>
    <dataValidation type="list" allowBlank="1" showInputMessage="1" showErrorMessage="1" sqref="D18:D28" xr:uid="{2B539EAB-70CD-47C3-BB27-57AC06A3EAB4}">
      <formula1>MaNguyenLieu</formula1>
    </dataValidation>
    <dataValidation allowBlank="1" showInputMessage="1" showErrorMessage="1" sqref="N46:N65" xr:uid="{3A95A9C5-E89E-4DCF-B940-5E94B15D4CEC}"/>
    <dataValidation type="list" allowBlank="1" showInputMessage="1" sqref="P46:P65" xr:uid="{BF6D24E6-9361-4557-BD86-B4FB15216480}">
      <formula1>MaKho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ddRow">
                <anchor moveWithCells="1">
                  <from>
                    <xdr:col>12</xdr:col>
                    <xdr:colOff>76200</xdr:colOff>
                    <xdr:row>0</xdr:row>
                    <xdr:rowOff>142875</xdr:rowOff>
                  </from>
                  <to>
                    <xdr:col>12</xdr:col>
                    <xdr:colOff>552450</xdr:colOff>
                    <xdr:row>0</xdr:row>
                    <xdr:rowOff>400050</xdr:rowOff>
                  </to>
                </anchor>
              </controlPr>
            </control>
          </mc:Choice>
        </mc:AlternateContent>
        <mc:AlternateContent xmlns:mc="http://schemas.openxmlformats.org/markup-compatibility/2006">
          <mc:Choice Requires="x14">
            <control shapeId="68610" r:id="rId5" name="Button 2">
              <controlPr defaultSize="0" print="0" autoFill="0" autoPict="0" macro="[0]!DeleteRow">
                <anchor moveWithCells="1">
                  <from>
                    <xdr:col>12</xdr:col>
                    <xdr:colOff>704850</xdr:colOff>
                    <xdr:row>0</xdr:row>
                    <xdr:rowOff>142875</xdr:rowOff>
                  </from>
                  <to>
                    <xdr:col>12</xdr:col>
                    <xdr:colOff>1181100</xdr:colOff>
                    <xdr:row>0</xdr:row>
                    <xdr:rowOff>400050</xdr:rowOff>
                  </to>
                </anchor>
              </controlPr>
            </control>
          </mc:Choice>
        </mc:AlternateContent>
        <mc:AlternateContent xmlns:mc="http://schemas.openxmlformats.org/markup-compatibility/2006">
          <mc:Choice Requires="x14">
            <control shapeId="68611" r:id="rId6" name="Button 3">
              <controlPr defaultSize="0" print="0" autoFill="0" autoPict="0" macro="[0]!AddColumn">
                <anchor moveWithCells="1">
                  <from>
                    <xdr:col>22</xdr:col>
                    <xdr:colOff>0</xdr:colOff>
                    <xdr:row>0</xdr:row>
                    <xdr:rowOff>142875</xdr:rowOff>
                  </from>
                  <to>
                    <xdr:col>22</xdr:col>
                    <xdr:colOff>514350</xdr:colOff>
                    <xdr:row>0</xdr:row>
                    <xdr:rowOff>400050</xdr:rowOff>
                  </to>
                </anchor>
              </controlPr>
            </control>
          </mc:Choice>
        </mc:AlternateContent>
        <mc:AlternateContent xmlns:mc="http://schemas.openxmlformats.org/markup-compatibility/2006">
          <mc:Choice Requires="x14">
            <control shapeId="68612" r:id="rId7" name="Button 4">
              <controlPr defaultSize="0" print="0" autoFill="0" autoPict="0" macro="[0]!DeleteColumn">
                <anchor moveWithCells="1">
                  <from>
                    <xdr:col>22</xdr:col>
                    <xdr:colOff>647700</xdr:colOff>
                    <xdr:row>0</xdr:row>
                    <xdr:rowOff>142875</xdr:rowOff>
                  </from>
                  <to>
                    <xdr:col>22</xdr:col>
                    <xdr:colOff>1190625</xdr:colOff>
                    <xdr:row>0</xdr:row>
                    <xdr:rowOff>400050</xdr:rowOff>
                  </to>
                </anchor>
              </controlPr>
            </control>
          </mc:Choice>
        </mc:AlternateContent>
        <mc:AlternateContent xmlns:mc="http://schemas.openxmlformats.org/markup-compatibility/2006">
          <mc:Choice Requires="x14">
            <control shapeId="68613" r:id="rId8" name="Button 5">
              <controlPr defaultSize="0" print="0" autoFill="0" autoPict="0" macro="[0]!CopyToTable">
                <anchor moveWithCells="1">
                  <from>
                    <xdr:col>23</xdr:col>
                    <xdr:colOff>228600</xdr:colOff>
                    <xdr:row>42</xdr:row>
                    <xdr:rowOff>114300</xdr:rowOff>
                  </from>
                  <to>
                    <xdr:col>24</xdr:col>
                    <xdr:colOff>47625</xdr:colOff>
                    <xdr:row>43</xdr:row>
                    <xdr:rowOff>142875</xdr:rowOff>
                  </to>
                </anchor>
              </controlPr>
            </control>
          </mc:Choice>
        </mc:AlternateContent>
        <mc:AlternateContent xmlns:mc="http://schemas.openxmlformats.org/markup-compatibility/2006">
          <mc:Choice Requires="x14">
            <control shapeId="68616" r:id="rId9" name="Option Button 8">
              <controlPr defaultSize="0" autoFill="0" autoLine="0" autoPict="0" macro="[0]!DoiDonViHienThi">
                <anchor moveWithCells="1">
                  <from>
                    <xdr:col>15</xdr:col>
                    <xdr:colOff>533400</xdr:colOff>
                    <xdr:row>0</xdr:row>
                    <xdr:rowOff>152400</xdr:rowOff>
                  </from>
                  <to>
                    <xdr:col>16</xdr:col>
                    <xdr:colOff>409575</xdr:colOff>
                    <xdr:row>0</xdr:row>
                    <xdr:rowOff>428625</xdr:rowOff>
                  </to>
                </anchor>
              </controlPr>
            </control>
          </mc:Choice>
        </mc:AlternateContent>
        <mc:AlternateContent xmlns:mc="http://schemas.openxmlformats.org/markup-compatibility/2006">
          <mc:Choice Requires="x14">
            <control shapeId="68617" r:id="rId10" name="Option Button 9">
              <controlPr defaultSize="0" autoFill="0" autoLine="0" autoPict="0" macro="[0]!DoiDonViHienThi">
                <anchor moveWithCells="1">
                  <from>
                    <xdr:col>16</xdr:col>
                    <xdr:colOff>285750</xdr:colOff>
                    <xdr:row>0</xdr:row>
                    <xdr:rowOff>152400</xdr:rowOff>
                  </from>
                  <to>
                    <xdr:col>17</xdr:col>
                    <xdr:colOff>142875</xdr:colOff>
                    <xdr:row>0</xdr:row>
                    <xdr:rowOff>428625</xdr:rowOff>
                  </to>
                </anchor>
              </controlPr>
            </control>
          </mc:Choice>
        </mc:AlternateContent>
        <mc:AlternateContent xmlns:mc="http://schemas.openxmlformats.org/markup-compatibility/2006">
          <mc:Choice Requires="x14">
            <control shapeId="68618" r:id="rId11" name="Option Button 10">
              <controlPr defaultSize="0" autoFill="0" autoLine="0" autoPict="0" macro="[0]!DoiDonViHienThi">
                <anchor moveWithCells="1">
                  <from>
                    <xdr:col>17</xdr:col>
                    <xdr:colOff>19050</xdr:colOff>
                    <xdr:row>0</xdr:row>
                    <xdr:rowOff>152400</xdr:rowOff>
                  </from>
                  <to>
                    <xdr:col>17</xdr:col>
                    <xdr:colOff>609600</xdr:colOff>
                    <xdr:row>0</xdr:row>
                    <xdr:rowOff>428625</xdr:rowOff>
                  </to>
                </anchor>
              </controlPr>
            </control>
          </mc:Choice>
        </mc:AlternateContent>
        <mc:AlternateContent xmlns:mc="http://schemas.openxmlformats.org/markup-compatibility/2006">
          <mc:Choice Requires="x14">
            <control shapeId="68619" r:id="rId12" name="Option Button 11">
              <controlPr defaultSize="0" autoFill="0" autoLine="0" autoPict="0" macro="[0]!DoiDonViHienThi">
                <anchor moveWithCells="1">
                  <from>
                    <xdr:col>17</xdr:col>
                    <xdr:colOff>495300</xdr:colOff>
                    <xdr:row>0</xdr:row>
                    <xdr:rowOff>152400</xdr:rowOff>
                  </from>
                  <to>
                    <xdr:col>18</xdr:col>
                    <xdr:colOff>47625</xdr:colOff>
                    <xdr:row>0</xdr:row>
                    <xdr:rowOff>428625</xdr:rowOff>
                  </to>
                </anchor>
              </controlPr>
            </control>
          </mc:Choice>
        </mc:AlternateContent>
        <mc:AlternateContent xmlns:mc="http://schemas.openxmlformats.org/markup-compatibility/2006">
          <mc:Choice Requires="x14">
            <control shapeId="68620" r:id="rId13" name="Group Box 12">
              <controlPr defaultSize="0" autoFill="0" autoPict="0">
                <anchor moveWithCells="1">
                  <from>
                    <xdr:col>15</xdr:col>
                    <xdr:colOff>419100</xdr:colOff>
                    <xdr:row>0</xdr:row>
                    <xdr:rowOff>104775</xdr:rowOff>
                  </from>
                  <to>
                    <xdr:col>18</xdr:col>
                    <xdr:colOff>161925</xdr:colOff>
                    <xdr:row>0</xdr:row>
                    <xdr:rowOff>466725</xdr:rowOff>
                  </to>
                </anchor>
              </controlPr>
            </control>
          </mc:Choice>
        </mc:AlternateContent>
        <mc:AlternateContent xmlns:mc="http://schemas.openxmlformats.org/markup-compatibility/2006">
          <mc:Choice Requires="x14">
            <control shapeId="68621" r:id="rId14" name="Group Box 13">
              <controlPr defaultSize="0" autoFill="0" autoPict="0">
                <anchor moveWithCells="1">
                  <from>
                    <xdr:col>13</xdr:col>
                    <xdr:colOff>114300</xdr:colOff>
                    <xdr:row>0</xdr:row>
                    <xdr:rowOff>104775</xdr:rowOff>
                  </from>
                  <to>
                    <xdr:col>15</xdr:col>
                    <xdr:colOff>371475</xdr:colOff>
                    <xdr:row>0</xdr:row>
                    <xdr:rowOff>466725</xdr:rowOff>
                  </to>
                </anchor>
              </controlPr>
            </control>
          </mc:Choice>
        </mc:AlternateContent>
        <mc:AlternateContent xmlns:mc="http://schemas.openxmlformats.org/markup-compatibility/2006">
          <mc:Choice Requires="x14">
            <control shapeId="68622" r:id="rId15" name="Button 14">
              <controlPr defaultSize="0" autoFill="0" autoPict="0" macro="[0]!NhanNghin">
                <anchor moveWithCells="1">
                  <from>
                    <xdr:col>13</xdr:col>
                    <xdr:colOff>200025</xdr:colOff>
                    <xdr:row>0</xdr:row>
                    <xdr:rowOff>200025</xdr:rowOff>
                  </from>
                  <to>
                    <xdr:col>13</xdr:col>
                    <xdr:colOff>666750</xdr:colOff>
                    <xdr:row>0</xdr:row>
                    <xdr:rowOff>371475</xdr:rowOff>
                  </to>
                </anchor>
              </controlPr>
            </control>
          </mc:Choice>
        </mc:AlternateContent>
        <mc:AlternateContent xmlns:mc="http://schemas.openxmlformats.org/markup-compatibility/2006">
          <mc:Choice Requires="x14">
            <control shapeId="68623" r:id="rId16" name="Button 15">
              <controlPr defaultSize="0" autoFill="0" autoPict="0" macro="[0]!NhanTrieu">
                <anchor moveWithCells="1">
                  <from>
                    <xdr:col>14</xdr:col>
                    <xdr:colOff>28575</xdr:colOff>
                    <xdr:row>0</xdr:row>
                    <xdr:rowOff>200025</xdr:rowOff>
                  </from>
                  <to>
                    <xdr:col>14</xdr:col>
                    <xdr:colOff>495300</xdr:colOff>
                    <xdr:row>0</xdr:row>
                    <xdr:rowOff>371475</xdr:rowOff>
                  </to>
                </anchor>
              </controlPr>
            </control>
          </mc:Choice>
        </mc:AlternateContent>
        <mc:AlternateContent xmlns:mc="http://schemas.openxmlformats.org/markup-compatibility/2006">
          <mc:Choice Requires="x14">
            <control shapeId="68624" r:id="rId17" name="Button 16">
              <controlPr defaultSize="0" autoFill="0" autoPict="0" macro="[0]!NhanTy">
                <anchor moveWithCells="1">
                  <from>
                    <xdr:col>14</xdr:col>
                    <xdr:colOff>542925</xdr:colOff>
                    <xdr:row>0</xdr:row>
                    <xdr:rowOff>200025</xdr:rowOff>
                  </from>
                  <to>
                    <xdr:col>15</xdr:col>
                    <xdr:colOff>295275</xdr:colOff>
                    <xdr:row>0</xdr:row>
                    <xdr:rowOff>371475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3" id="{3BC314E6-3C51-4DBF-83E1-87DE117E1E79}">
            <xm:f>Security!$A$1="NO VBA"</xm:f>
            <x14:dxf>
              <font>
                <color theme="0"/>
              </font>
              <border>
                <vertical/>
                <horizontal/>
              </border>
            </x14:dxf>
          </x14:cfRule>
          <xm:sqref>A1:XFD3 K4:XFD4 A4:I4 A5:XFD17 K18:XFD44 A18:J46 K45:W45 K46 A65:XFD1048576 L46:M64 Z45:XFD64 A47:K64 O46:Y64</xm:sqref>
        </x14:conditionalFormatting>
        <x14:conditionalFormatting xmlns:xm="http://schemas.microsoft.com/office/excel/2006/main">
          <x14:cfRule type="expression" priority="2" id="{8EA63F0F-E0EA-4772-BDDB-0BC23A150D05}">
            <xm:f>Security!$A$1="NO VBA"</xm:f>
            <x14:dxf>
              <font>
                <color theme="0"/>
              </font>
              <border>
                <vertical/>
                <horizontal/>
              </border>
            </x14:dxf>
          </x14:cfRule>
          <xm:sqref>X45:Y45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D7D2DD7F-125F-4E05-BE7E-03B7F7EF6CAF}">
          <x14:formula1>
            <xm:f>_xlfn.ANCHORARRAY(Sheet_SKU!$G$6)</xm:f>
          </x14:formula1>
          <xm:sqref>C18:C28</xm:sqref>
        </x14:dataValidation>
        <x14:dataValidation type="list" allowBlank="1" showInputMessage="1" xr:uid="{0F0BF468-8C0C-4C4D-8C70-43D139095655}">
          <x14:formula1>
            <xm:f>_xlfn.ANCHORARRAY(Sheet_DoiTac!$E$3)</xm:f>
          </x14:formula1>
          <xm:sqref>O44 O46:O65</xm:sqref>
        </x14:dataValidation>
        <x14:dataValidation type="custom" allowBlank="1" showInputMessage="1" showErrorMessage="1" xr:uid="{4069C7E7-F157-4B96-B1B8-544BFDCBA7F1}">
          <x14:formula1>
            <xm:f>H11&lt;&gt;Sheet_DonBan!AB:AB</xm:f>
          </x14:formula1>
          <xm:sqref>H11</xm:sqref>
        </x14:dataValidation>
        <x14:dataValidation type="list" allowBlank="1" showInputMessage="1" showErrorMessage="1" xr:uid="{8FB0D184-06B3-4B97-AF93-3B1862948ABA}">
          <x14:formula1>
            <xm:f>_xlfn.ANCHORARRAY(Sheet_DoiTac!$E3)</xm:f>
          </x14:formula1>
          <xm:sqref>C3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18DF-DEF9-4F50-B914-21DA20CD67DA}">
  <sheetPr codeName="Sheet25">
    <tabColor theme="7"/>
    <outlinePr summaryRight="0"/>
  </sheetPr>
  <dimension ref="A1:AZ71"/>
  <sheetViews>
    <sheetView showGridLines="0" topLeftCell="S1" zoomScaleNormal="100" workbookViewId="0">
      <selection activeCell="AC58" sqref="AC58"/>
    </sheetView>
  </sheetViews>
  <sheetFormatPr defaultRowHeight="18" customHeight="1" outlineLevelRow="2" outlineLevelCol="3" x14ac:dyDescent="0.3"/>
  <cols>
    <col min="1" max="1" width="1.25" style="7" customWidth="1" collapsed="1"/>
    <col min="2" max="2" width="3.875" style="1" hidden="1" customWidth="1" outlineLevel="1" collapsed="1"/>
    <col min="3" max="3" width="12.75" style="1" hidden="1" customWidth="1" outlineLevel="2"/>
    <col min="4" max="4" width="25.625" style="1" hidden="1" customWidth="1" outlineLevel="1" collapsed="1"/>
    <col min="5" max="5" width="10" style="1" hidden="1" customWidth="1" outlineLevel="1"/>
    <col min="6" max="6" width="10.25" style="1" hidden="1" customWidth="1" outlineLevel="1" collapsed="1"/>
    <col min="7" max="7" width="10.25" style="1" hidden="1" customWidth="1" outlineLevel="2" collapsed="1"/>
    <col min="8" max="8" width="10.25" style="1" hidden="1" customWidth="1" outlineLevel="3"/>
    <col min="9" max="9" width="14.375" style="1" hidden="1" customWidth="1" outlineLevel="3"/>
    <col min="10" max="10" width="14.5" style="1" hidden="1" customWidth="1" outlineLevel="3"/>
    <col min="11" max="14" width="10.25" style="1" hidden="1" customWidth="1" outlineLevel="3"/>
    <col min="15" max="15" width="10" style="1" hidden="1" customWidth="1" outlineLevel="1" collapsed="1"/>
    <col min="16" max="16" width="15" style="1" hidden="1" customWidth="1" outlineLevel="1"/>
    <col min="17" max="17" width="7.625" style="1" hidden="1" customWidth="1" outlineLevel="1" collapsed="1"/>
    <col min="18" max="18" width="11.375" style="1" hidden="1" customWidth="1" outlineLevel="2"/>
    <col min="19" max="19" width="9.625" style="1" customWidth="1"/>
    <col min="20" max="20" width="5.375" style="28" bestFit="1" customWidth="1"/>
    <col min="21" max="21" width="18.125" style="28" customWidth="1"/>
    <col min="22" max="27" width="9" style="7" customWidth="1" outlineLevel="1"/>
    <col min="28" max="28" width="9" style="28" customWidth="1" outlineLevel="1"/>
    <col min="29" max="29" width="9" style="7" customWidth="1" outlineLevel="1"/>
    <col min="30" max="30" width="14.25" style="7" bestFit="1" customWidth="1"/>
    <col min="31" max="31" width="13.375" style="7" bestFit="1" customWidth="1"/>
    <col min="32" max="32" width="9" style="7" customWidth="1"/>
    <col min="33" max="33" width="9" style="28" customWidth="1" outlineLevel="1"/>
    <col min="34" max="34" width="14.125" style="28" customWidth="1" outlineLevel="1"/>
    <col min="35" max="35" width="9.625" style="28" customWidth="1" outlineLevel="1"/>
    <col min="36" max="37" width="16.5" style="28" customWidth="1"/>
    <col min="38" max="42" width="15.625" style="7" customWidth="1" outlineLevel="1"/>
    <col min="43" max="43" width="6.75" style="7" bestFit="1" customWidth="1" collapsed="1"/>
    <col min="44" max="50" width="6.75" style="7" hidden="1" customWidth="1" outlineLevel="1"/>
    <col min="51" max="51" width="9" style="7" customWidth="1"/>
    <col min="52" max="52" width="9" style="38"/>
    <col min="53" max="16384" width="9" style="7"/>
  </cols>
  <sheetData>
    <row r="1" spans="1:52" s="21" customFormat="1" ht="37.5" customHeight="1" x14ac:dyDescent="0.3">
      <c r="A1" s="247"/>
      <c r="B1" s="56" t="str">
        <f>EULA!$B11</f>
        <v>Công ty ABC XYZ</v>
      </c>
      <c r="C1" s="280"/>
      <c r="D1" s="280"/>
      <c r="E1" s="247"/>
      <c r="F1" s="280"/>
      <c r="G1" s="280"/>
      <c r="H1" s="280"/>
      <c r="I1" s="280"/>
      <c r="J1" s="280"/>
      <c r="K1" s="280"/>
      <c r="L1" s="280"/>
      <c r="M1" s="280"/>
      <c r="N1" s="280"/>
      <c r="O1" s="280"/>
      <c r="P1" s="280"/>
      <c r="Q1" s="57" t="s">
        <v>718</v>
      </c>
      <c r="R1" s="280"/>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row>
    <row r="2" spans="1:52" ht="18" hidden="1" customHeight="1" outlineLevel="2" x14ac:dyDescent="0.3">
      <c r="A2" s="240"/>
      <c r="B2" s="274"/>
      <c r="C2" s="1" t="s">
        <v>719</v>
      </c>
      <c r="D2" s="274"/>
      <c r="E2" s="240"/>
      <c r="F2" s="274"/>
      <c r="G2" s="274"/>
      <c r="H2" s="274"/>
      <c r="I2" s="274"/>
      <c r="J2" s="274"/>
      <c r="K2" s="274"/>
      <c r="L2" s="274"/>
      <c r="M2" s="274"/>
      <c r="N2" s="274"/>
      <c r="O2" s="274"/>
      <c r="P2" s="274"/>
      <c r="Q2" s="295"/>
      <c r="R2" s="274"/>
      <c r="S2" s="246"/>
      <c r="T2" s="240"/>
      <c r="U2" s="240"/>
      <c r="V2" s="240"/>
      <c r="W2" s="240"/>
      <c r="X2" s="240"/>
      <c r="Y2" s="240"/>
      <c r="Z2" s="240"/>
      <c r="AA2" s="246"/>
      <c r="AB2" s="240"/>
      <c r="AC2" s="240"/>
      <c r="AD2" s="240"/>
      <c r="AE2" s="240"/>
      <c r="AF2" s="246"/>
      <c r="AG2" s="246"/>
      <c r="AH2" s="246"/>
      <c r="AI2" s="246"/>
      <c r="AJ2" s="240"/>
      <c r="AK2" s="240"/>
      <c r="AL2" s="240"/>
      <c r="AM2" s="240"/>
      <c r="AN2" s="240"/>
      <c r="AO2" s="240"/>
      <c r="AP2" s="240"/>
      <c r="AQ2" s="240"/>
      <c r="AR2" s="240"/>
      <c r="AS2" s="240"/>
      <c r="AT2" s="240"/>
      <c r="AU2" s="240"/>
      <c r="AV2" s="240"/>
      <c r="AW2" s="240"/>
      <c r="AX2" s="240"/>
      <c r="AY2" s="241"/>
      <c r="AZ2" s="240"/>
    </row>
    <row r="3" spans="1:52" ht="18" hidden="1" customHeight="1" outlineLevel="2" x14ac:dyDescent="0.3">
      <c r="A3" s="240"/>
      <c r="B3" s="274"/>
      <c r="C3" s="281"/>
      <c r="D3" s="274"/>
      <c r="E3" s="240"/>
      <c r="F3" s="274"/>
      <c r="G3" s="274"/>
      <c r="H3" s="274"/>
      <c r="I3" s="274"/>
      <c r="J3" s="274"/>
      <c r="K3" s="274"/>
      <c r="L3" s="274"/>
      <c r="M3" s="274"/>
      <c r="N3" s="274"/>
      <c r="O3" s="274"/>
      <c r="P3" s="274"/>
      <c r="Q3" s="295"/>
      <c r="R3" s="274"/>
      <c r="S3" s="246"/>
      <c r="T3" s="240"/>
      <c r="U3" s="240"/>
      <c r="V3" s="240"/>
      <c r="W3" s="240"/>
      <c r="X3" s="240"/>
      <c r="Y3" s="240"/>
      <c r="Z3" s="240"/>
      <c r="AA3" s="246"/>
      <c r="AB3" s="240"/>
      <c r="AC3" s="240"/>
      <c r="AD3" s="240"/>
      <c r="AE3" s="240"/>
      <c r="AF3" s="246"/>
      <c r="AG3" s="246"/>
      <c r="AH3" s="246"/>
      <c r="AI3" s="246"/>
      <c r="AJ3" s="240"/>
      <c r="AK3" s="240"/>
      <c r="AL3" s="240"/>
      <c r="AM3" s="240"/>
      <c r="AN3" s="240"/>
      <c r="AO3" s="240"/>
      <c r="AP3" s="240"/>
      <c r="AQ3" s="240"/>
      <c r="AR3" s="240"/>
      <c r="AS3" s="240"/>
      <c r="AT3" s="240"/>
      <c r="AU3" s="240"/>
      <c r="AV3" s="240"/>
      <c r="AW3" s="240"/>
      <c r="AX3" s="240"/>
      <c r="AY3" s="241"/>
      <c r="AZ3" s="240"/>
    </row>
    <row r="4" spans="1:52" ht="18" hidden="1" customHeight="1" outlineLevel="1" collapsed="1" x14ac:dyDescent="0.3">
      <c r="A4" s="240"/>
      <c r="B4" s="564" t="str">
        <f>EULA!$B14</f>
        <v>[Địa chỉ]</v>
      </c>
      <c r="C4" s="564" t="str">
        <f>EULA!$B14</f>
        <v>[Địa chỉ]</v>
      </c>
      <c r="D4" s="564" t="str">
        <f>EULA!$B14</f>
        <v>[Địa chỉ]</v>
      </c>
      <c r="E4" s="240"/>
      <c r="F4" s="1" t="s">
        <v>720</v>
      </c>
      <c r="G4" s="274"/>
      <c r="H4" s="274"/>
      <c r="I4" s="274"/>
      <c r="J4" s="274"/>
      <c r="K4" s="274"/>
      <c r="L4" s="274"/>
      <c r="M4" s="274"/>
      <c r="N4" s="274"/>
      <c r="O4" s="274"/>
      <c r="P4" s="566" t="str">
        <f>CONCATENATE("BAN-",C3,"-",MOD(YEAR(P5),100)*10000+MONTH(P5)*100+DAY(P5),"-",R4)</f>
        <v>BAN--100-1</v>
      </c>
      <c r="Q4" s="567"/>
      <c r="R4" s="282">
        <v>1</v>
      </c>
      <c r="S4" s="246"/>
      <c r="T4" s="240"/>
      <c r="U4" s="240"/>
      <c r="V4" s="240"/>
      <c r="W4" s="240"/>
      <c r="X4" s="240"/>
      <c r="Y4" s="240"/>
      <c r="Z4" s="240"/>
      <c r="AA4" s="246"/>
      <c r="AB4" s="240"/>
      <c r="AC4" s="240"/>
      <c r="AD4" s="240"/>
      <c r="AE4" s="240"/>
      <c r="AF4" s="246"/>
      <c r="AG4" s="246"/>
      <c r="AH4" s="246"/>
      <c r="AI4" s="246"/>
      <c r="AJ4" s="240"/>
      <c r="AK4" s="240"/>
      <c r="AL4" s="240"/>
      <c r="AM4" s="240"/>
      <c r="AN4" s="240"/>
      <c r="AO4" s="240"/>
      <c r="AP4" s="240"/>
      <c r="AQ4" s="240"/>
      <c r="AR4" s="240"/>
      <c r="AS4" s="240"/>
      <c r="AT4" s="240"/>
      <c r="AU4" s="240"/>
      <c r="AV4" s="240"/>
      <c r="AW4" s="240"/>
      <c r="AX4" s="240"/>
      <c r="AY4" s="240"/>
      <c r="AZ4" s="240"/>
    </row>
    <row r="5" spans="1:52" ht="18" hidden="1" customHeight="1" outlineLevel="1" x14ac:dyDescent="0.3">
      <c r="A5" s="240"/>
      <c r="B5" s="564" t="str">
        <f>EULA!$B15</f>
        <v>[Mã số thuế]</v>
      </c>
      <c r="C5" s="564" t="str">
        <f>EULA!$B15</f>
        <v>[Mã số thuế]</v>
      </c>
      <c r="D5" s="564" t="str">
        <f>EULA!$B15</f>
        <v>[Mã số thuế]</v>
      </c>
      <c r="E5" s="240"/>
      <c r="F5" s="1" t="s">
        <v>534</v>
      </c>
      <c r="G5" s="274"/>
      <c r="H5" s="274"/>
      <c r="I5" s="274"/>
      <c r="J5" s="274"/>
      <c r="K5" s="274"/>
      <c r="L5" s="274"/>
      <c r="M5" s="274"/>
      <c r="N5" s="274"/>
      <c r="O5" s="274"/>
      <c r="P5" s="568"/>
      <c r="Q5" s="569"/>
      <c r="R5" s="274"/>
      <c r="S5" s="246"/>
      <c r="T5" s="240"/>
      <c r="U5" s="240"/>
      <c r="V5" s="240"/>
      <c r="W5" s="240"/>
      <c r="X5" s="240"/>
      <c r="Y5" s="240"/>
      <c r="Z5" s="240"/>
      <c r="AA5" s="246"/>
      <c r="AB5" s="240"/>
      <c r="AC5" s="240"/>
      <c r="AD5" s="240"/>
      <c r="AE5" s="240"/>
      <c r="AF5" s="246"/>
      <c r="AG5" s="246"/>
      <c r="AH5" s="246"/>
      <c r="AI5" s="246"/>
      <c r="AJ5" s="240"/>
      <c r="AK5" s="240"/>
      <c r="AL5" s="240"/>
      <c r="AM5" s="240"/>
      <c r="AN5" s="240"/>
      <c r="AO5" s="240"/>
      <c r="AP5" s="240"/>
      <c r="AQ5" s="240"/>
      <c r="AR5" s="240"/>
      <c r="AS5" s="240"/>
      <c r="AT5" s="240"/>
      <c r="AU5" s="240"/>
      <c r="AV5" s="240"/>
      <c r="AW5" s="240"/>
      <c r="AX5" s="240"/>
      <c r="AY5" s="240"/>
      <c r="AZ5" s="240"/>
    </row>
    <row r="6" spans="1:52" ht="18" hidden="1" customHeight="1" outlineLevel="1" x14ac:dyDescent="0.3">
      <c r="A6" s="240"/>
      <c r="B6" s="564" t="str">
        <f>EULA!$B16</f>
        <v>[SĐT - Fax]</v>
      </c>
      <c r="C6" s="564" t="str">
        <f>EULA!$B16</f>
        <v>[SĐT - Fax]</v>
      </c>
      <c r="D6" s="564" t="str">
        <f>EULA!$B16</f>
        <v>[SĐT - Fax]</v>
      </c>
      <c r="E6" s="240"/>
      <c r="F6" s="1" t="s">
        <v>172</v>
      </c>
      <c r="G6" s="274"/>
      <c r="H6" s="274"/>
      <c r="I6" s="274"/>
      <c r="J6" s="274"/>
      <c r="K6" s="274"/>
      <c r="L6" s="274"/>
      <c r="M6" s="274"/>
      <c r="N6" s="274"/>
      <c r="O6" s="274"/>
      <c r="P6" s="573" t="str">
        <f>IFERROR(VLOOKUP(C3,Table_KhachHang[],Sheet_KhachHang!$C$1,0),"")</f>
        <v/>
      </c>
      <c r="Q6" s="571"/>
      <c r="R6" s="274"/>
      <c r="S6" s="246"/>
      <c r="T6" s="240"/>
      <c r="U6" s="240"/>
      <c r="V6" s="240"/>
      <c r="W6" s="240"/>
      <c r="X6" s="240"/>
      <c r="Y6" s="240"/>
      <c r="Z6" s="240"/>
      <c r="AA6" s="246"/>
      <c r="AB6" s="240"/>
      <c r="AC6" s="240"/>
      <c r="AD6" s="240"/>
      <c r="AE6" s="240"/>
      <c r="AF6" s="246"/>
      <c r="AG6" s="246"/>
      <c r="AH6" s="246"/>
      <c r="AI6" s="246"/>
      <c r="AJ6" s="240"/>
      <c r="AK6" s="240"/>
      <c r="AL6" s="240"/>
      <c r="AM6" s="240"/>
      <c r="AN6" s="240"/>
      <c r="AO6" s="240"/>
      <c r="AP6" s="240"/>
      <c r="AQ6" s="240"/>
      <c r="AR6" s="240"/>
      <c r="AS6" s="240"/>
      <c r="AT6" s="240"/>
      <c r="AU6" s="240"/>
      <c r="AV6" s="240"/>
      <c r="AW6" s="240"/>
      <c r="AX6" s="240"/>
      <c r="AY6" s="240"/>
      <c r="AZ6" s="240"/>
    </row>
    <row r="7" spans="1:52" ht="18" hidden="1" customHeight="1" outlineLevel="1" x14ac:dyDescent="0.3">
      <c r="A7" s="240"/>
      <c r="B7" s="185" t="str">
        <f>EULA!$B17</f>
        <v>[Website - Page]</v>
      </c>
      <c r="C7" s="287"/>
      <c r="D7" s="287"/>
      <c r="E7" s="240"/>
      <c r="F7" s="1" t="s">
        <v>721</v>
      </c>
      <c r="G7" s="274"/>
      <c r="H7" s="274"/>
      <c r="I7" s="274"/>
      <c r="J7" s="274"/>
      <c r="K7" s="274"/>
      <c r="L7" s="274"/>
      <c r="M7" s="274"/>
      <c r="N7" s="274"/>
      <c r="O7" s="274"/>
      <c r="P7" s="572"/>
      <c r="Q7" s="571"/>
      <c r="R7" s="274"/>
      <c r="S7" s="246"/>
      <c r="T7" s="240"/>
      <c r="U7" s="240"/>
      <c r="V7" s="240"/>
      <c r="W7" s="240"/>
      <c r="X7" s="240"/>
      <c r="Y7" s="240"/>
      <c r="Z7" s="240"/>
      <c r="AA7" s="246"/>
      <c r="AB7" s="240"/>
      <c r="AC7" s="240"/>
      <c r="AD7" s="240"/>
      <c r="AE7" s="240"/>
      <c r="AF7" s="246"/>
      <c r="AG7" s="246"/>
      <c r="AH7" s="246"/>
      <c r="AI7" s="246"/>
      <c r="AJ7" s="240"/>
      <c r="AK7" s="240"/>
      <c r="AL7" s="240"/>
      <c r="AM7" s="240"/>
      <c r="AN7" s="240"/>
      <c r="AO7" s="240"/>
      <c r="AP7" s="240"/>
      <c r="AQ7" s="240"/>
      <c r="AR7" s="240"/>
      <c r="AS7" s="240"/>
      <c r="AT7" s="240"/>
      <c r="AU7" s="240"/>
      <c r="AV7" s="240"/>
      <c r="AW7" s="240"/>
      <c r="AX7" s="240"/>
      <c r="AY7" s="240"/>
      <c r="AZ7" s="240"/>
    </row>
    <row r="8" spans="1:52" ht="18" hidden="1" customHeight="1" outlineLevel="1" x14ac:dyDescent="0.3">
      <c r="A8" s="240"/>
      <c r="B8" s="89" t="str">
        <f>EULA!$B18</f>
        <v>[STK - Ngân hàng]</v>
      </c>
      <c r="C8" s="287"/>
      <c r="D8" s="287"/>
      <c r="E8" s="240"/>
      <c r="F8" s="1" t="s">
        <v>37</v>
      </c>
      <c r="G8" s="274"/>
      <c r="H8" s="274"/>
      <c r="I8" s="274"/>
      <c r="J8" s="274"/>
      <c r="K8" s="274"/>
      <c r="L8" s="274"/>
      <c r="M8" s="274"/>
      <c r="N8" s="274"/>
      <c r="O8" s="274"/>
      <c r="P8" s="572"/>
      <c r="Q8" s="571"/>
      <c r="R8" s="274"/>
      <c r="S8" s="246"/>
      <c r="T8" s="240"/>
      <c r="U8" s="240"/>
      <c r="V8" s="240"/>
      <c r="W8" s="240"/>
      <c r="X8" s="240"/>
      <c r="Y8" s="240"/>
      <c r="Z8" s="240"/>
      <c r="AA8" s="246"/>
      <c r="AB8" s="240"/>
      <c r="AC8" s="240"/>
      <c r="AD8" s="240"/>
      <c r="AE8" s="240"/>
      <c r="AF8" s="246"/>
      <c r="AG8" s="246"/>
      <c r="AH8" s="246"/>
      <c r="AI8" s="246"/>
      <c r="AJ8" s="240"/>
      <c r="AK8" s="240"/>
      <c r="AL8" s="240"/>
      <c r="AM8" s="240"/>
      <c r="AN8" s="240"/>
      <c r="AO8" s="240"/>
      <c r="AP8" s="240"/>
      <c r="AQ8" s="240"/>
      <c r="AR8" s="240"/>
      <c r="AS8" s="240"/>
      <c r="AT8" s="240"/>
      <c r="AU8" s="240"/>
      <c r="AV8" s="240"/>
      <c r="AW8" s="240"/>
      <c r="AX8" s="240"/>
      <c r="AY8" s="241"/>
      <c r="AZ8" s="240"/>
    </row>
    <row r="9" spans="1:52" ht="42" hidden="1" customHeight="1" outlineLevel="1" x14ac:dyDescent="0.3">
      <c r="A9" s="240"/>
      <c r="B9" s="274"/>
      <c r="C9" s="274"/>
      <c r="D9" s="274"/>
      <c r="E9" s="274"/>
      <c r="G9" s="274"/>
      <c r="H9" s="274"/>
      <c r="I9" s="274"/>
      <c r="J9" s="274"/>
      <c r="K9" s="274"/>
      <c r="L9" s="274"/>
      <c r="M9" s="274"/>
      <c r="N9" s="274"/>
      <c r="O9" s="274"/>
      <c r="P9" s="295"/>
      <c r="Q9" s="429" t="str" cm="1">
        <f t="array" ref="Q9">Code128(P4)</f>
        <v>ÌBAN--1ÇÂÈ-1ÊÎ</v>
      </c>
      <c r="R9" s="274"/>
      <c r="S9" s="246"/>
      <c r="T9" s="240"/>
      <c r="U9" s="240"/>
      <c r="V9" s="240"/>
      <c r="W9" s="240"/>
      <c r="X9" s="240"/>
      <c r="Y9" s="240"/>
      <c r="Z9" s="240"/>
      <c r="AA9" s="246"/>
      <c r="AB9" s="240"/>
      <c r="AC9" s="240"/>
      <c r="AD9" s="240"/>
      <c r="AE9" s="240"/>
      <c r="AF9" s="246"/>
      <c r="AG9" s="246"/>
      <c r="AH9" s="246"/>
      <c r="AI9" s="246"/>
      <c r="AJ9" s="240"/>
      <c r="AK9" s="240"/>
      <c r="AL9" s="240"/>
      <c r="AM9" s="240"/>
      <c r="AN9" s="240"/>
      <c r="AO9" s="240"/>
      <c r="AP9" s="240"/>
      <c r="AQ9" s="240"/>
      <c r="AR9" s="240"/>
      <c r="AS9" s="240"/>
      <c r="AT9" s="240"/>
      <c r="AU9" s="240"/>
      <c r="AV9" s="240"/>
      <c r="AW9" s="240"/>
      <c r="AX9" s="240"/>
      <c r="AY9" s="241"/>
      <c r="AZ9" s="240"/>
    </row>
    <row r="10" spans="1:52" ht="18" hidden="1" customHeight="1" outlineLevel="1" x14ac:dyDescent="0.3">
      <c r="A10" s="240"/>
      <c r="B10" s="58" t="s">
        <v>722</v>
      </c>
      <c r="C10" s="283"/>
      <c r="D10" s="283"/>
      <c r="E10" s="274"/>
      <c r="F10" s="274"/>
      <c r="G10" s="274"/>
      <c r="H10" s="274"/>
      <c r="I10" s="274"/>
      <c r="J10" s="274"/>
      <c r="K10" s="274"/>
      <c r="L10" s="274"/>
      <c r="M10" s="274"/>
      <c r="N10" s="274"/>
      <c r="O10" s="274"/>
      <c r="P10" s="295"/>
      <c r="Q10" s="274"/>
      <c r="R10" s="274"/>
      <c r="S10" s="246"/>
      <c r="T10" s="240"/>
      <c r="U10" s="240"/>
      <c r="V10" s="240"/>
      <c r="W10" s="240"/>
      <c r="X10" s="240"/>
      <c r="Y10" s="240"/>
      <c r="Z10" s="240"/>
      <c r="AA10" s="246"/>
      <c r="AB10" s="240"/>
      <c r="AC10" s="240"/>
      <c r="AD10" s="240"/>
      <c r="AE10" s="240"/>
      <c r="AF10" s="246"/>
      <c r="AG10" s="246"/>
      <c r="AH10" s="246"/>
      <c r="AI10" s="246"/>
      <c r="AJ10" s="240"/>
      <c r="AK10" s="240"/>
      <c r="AL10" s="240"/>
      <c r="AM10" s="240"/>
      <c r="AN10" s="240"/>
      <c r="AO10" s="240"/>
      <c r="AP10" s="240"/>
      <c r="AQ10" s="240"/>
      <c r="AR10" s="240"/>
      <c r="AS10" s="240"/>
      <c r="AT10" s="240"/>
      <c r="AU10" s="240"/>
      <c r="AV10" s="240"/>
      <c r="AW10" s="240"/>
      <c r="AX10" s="240"/>
      <c r="AY10" s="241"/>
      <c r="AZ10" s="240"/>
    </row>
    <row r="11" spans="1:52" ht="18" hidden="1" customHeight="1" outlineLevel="2" x14ac:dyDescent="0.3">
      <c r="A11" s="240"/>
      <c r="B11" s="1" t="s">
        <v>535</v>
      </c>
      <c r="C11" s="274"/>
      <c r="D11" s="240"/>
      <c r="E11" s="564" t="str">
        <f>IFERROR(VLOOKUP(C3,Table_KhachHang[#All],Sheet_KhachHang!$C$1,0),"")</f>
        <v/>
      </c>
      <c r="F11" s="565"/>
      <c r="G11" s="565"/>
      <c r="H11" s="565"/>
      <c r="I11" s="565"/>
      <c r="J11" s="565"/>
      <c r="K11" s="565"/>
      <c r="L11" s="565"/>
      <c r="M11" s="565"/>
      <c r="N11" s="565"/>
      <c r="O11" s="565"/>
      <c r="P11" s="565"/>
      <c r="Q11" s="565"/>
      <c r="R11" s="274"/>
      <c r="S11" s="246"/>
      <c r="T11" s="240"/>
      <c r="U11" s="240"/>
      <c r="V11" s="240"/>
      <c r="W11" s="240"/>
      <c r="X11" s="240"/>
      <c r="Y11" s="240"/>
      <c r="Z11" s="240"/>
      <c r="AA11" s="246"/>
      <c r="AB11" s="240"/>
      <c r="AC11" s="240"/>
      <c r="AD11" s="240"/>
      <c r="AE11" s="240"/>
      <c r="AF11" s="246"/>
      <c r="AG11" s="246"/>
      <c r="AH11" s="246"/>
      <c r="AI11" s="246"/>
      <c r="AJ11" s="240"/>
      <c r="AK11" s="240"/>
      <c r="AL11" s="240"/>
      <c r="AM11" s="240"/>
      <c r="AN11" s="240"/>
      <c r="AO11" s="240"/>
      <c r="AP11" s="240"/>
      <c r="AQ11" s="240"/>
      <c r="AR11" s="240"/>
      <c r="AS11" s="240"/>
      <c r="AT11" s="240"/>
      <c r="AU11" s="240"/>
      <c r="AV11" s="240"/>
      <c r="AW11" s="240"/>
      <c r="AX11" s="240"/>
      <c r="AY11" s="241"/>
      <c r="AZ11" s="240"/>
    </row>
    <row r="12" spans="1:52" ht="18" hidden="1" customHeight="1" outlineLevel="2" x14ac:dyDescent="0.3">
      <c r="A12" s="240"/>
      <c r="B12" s="1" t="s">
        <v>700</v>
      </c>
      <c r="C12" s="274"/>
      <c r="D12" s="240"/>
      <c r="E12" s="564" t="str">
        <f>CONCATENATE(IFERROR(VLOOKUP(C3,Table_KhachHang[#All],Sheet_KhachHang!$G$1,0),""), " - ",IFERROR(VLOOKUP(C3,Table_KhachHang[#All],Sheet_KhachHang!#REF!,0),""), " - ",IFERROR(VLOOKUP(C3,Table_KhachHang[#All],Sheet_KhachHang!$H$1,0),"")  )</f>
        <v xml:space="preserve"> -  - </v>
      </c>
      <c r="F12" s="565"/>
      <c r="G12" s="565"/>
      <c r="H12" s="565"/>
      <c r="I12" s="565"/>
      <c r="J12" s="565"/>
      <c r="K12" s="565"/>
      <c r="L12" s="565"/>
      <c r="M12" s="565"/>
      <c r="N12" s="565"/>
      <c r="O12" s="565"/>
      <c r="P12" s="565"/>
      <c r="Q12" s="565"/>
      <c r="R12" s="274"/>
      <c r="S12" s="246"/>
      <c r="T12" s="240"/>
      <c r="U12" s="240"/>
      <c r="V12" s="240"/>
      <c r="W12" s="240"/>
      <c r="X12" s="240"/>
      <c r="Y12" s="240"/>
      <c r="Z12" s="240"/>
      <c r="AA12" s="246"/>
      <c r="AB12" s="240"/>
      <c r="AC12" s="240"/>
      <c r="AD12" s="240"/>
      <c r="AE12" s="240"/>
      <c r="AF12" s="246"/>
      <c r="AG12" s="246"/>
      <c r="AH12" s="246"/>
      <c r="AI12" s="246"/>
      <c r="AJ12" s="240"/>
      <c r="AK12" s="240"/>
      <c r="AL12" s="240"/>
      <c r="AM12" s="240"/>
      <c r="AN12" s="240"/>
      <c r="AO12" s="240"/>
      <c r="AP12" s="240"/>
      <c r="AQ12" s="240"/>
      <c r="AR12" s="240"/>
      <c r="AS12" s="240"/>
      <c r="AT12" s="240"/>
      <c r="AU12" s="240"/>
      <c r="AV12" s="240"/>
      <c r="AW12" s="240"/>
      <c r="AX12" s="240"/>
      <c r="AY12" s="241"/>
      <c r="AZ12" s="240"/>
    </row>
    <row r="13" spans="1:52" ht="18" hidden="1" customHeight="1" outlineLevel="2" x14ac:dyDescent="0.3">
      <c r="A13" s="240"/>
      <c r="B13" s="1" t="s">
        <v>537</v>
      </c>
      <c r="C13" s="274"/>
      <c r="D13" s="240"/>
      <c r="E13" s="564" t="str">
        <f>IFERROR(VLOOKUP(C3,Table_KhachHang[#All],Sheet_KhachHang!$F$1,0),"")</f>
        <v/>
      </c>
      <c r="F13" s="565"/>
      <c r="G13" s="565"/>
      <c r="H13" s="565"/>
      <c r="I13" s="565"/>
      <c r="J13" s="565"/>
      <c r="K13" s="565"/>
      <c r="L13" s="565"/>
      <c r="M13" s="565"/>
      <c r="N13" s="565"/>
      <c r="O13" s="565"/>
      <c r="P13" s="565"/>
      <c r="Q13" s="565"/>
      <c r="R13" s="274"/>
      <c r="S13" s="246"/>
      <c r="T13" s="240"/>
      <c r="U13" s="240"/>
      <c r="V13" s="240"/>
      <c r="W13" s="240"/>
      <c r="X13" s="240"/>
      <c r="Y13" s="240"/>
      <c r="Z13" s="240"/>
      <c r="AA13" s="246"/>
      <c r="AB13" s="240"/>
      <c r="AC13" s="240"/>
      <c r="AD13" s="240"/>
      <c r="AE13" s="240"/>
      <c r="AF13" s="246"/>
      <c r="AG13" s="246"/>
      <c r="AH13" s="246"/>
      <c r="AI13" s="246"/>
      <c r="AJ13" s="240"/>
      <c r="AK13" s="240"/>
      <c r="AL13" s="240"/>
      <c r="AM13" s="240"/>
      <c r="AN13" s="240"/>
      <c r="AO13" s="240"/>
      <c r="AP13" s="240"/>
      <c r="AQ13" s="240"/>
      <c r="AR13" s="240"/>
      <c r="AS13" s="240"/>
      <c r="AT13" s="240"/>
      <c r="AU13" s="240"/>
      <c r="AV13" s="240"/>
      <c r="AW13" s="240"/>
      <c r="AX13" s="240"/>
      <c r="AY13" s="241"/>
      <c r="AZ13" s="240"/>
    </row>
    <row r="14" spans="1:52" ht="18" hidden="1" customHeight="1" outlineLevel="2" x14ac:dyDescent="0.3">
      <c r="A14" s="240"/>
      <c r="B14" s="274"/>
      <c r="C14" s="274"/>
      <c r="D14" s="274"/>
      <c r="E14" s="274"/>
      <c r="F14" s="274"/>
      <c r="G14" s="274"/>
      <c r="H14" s="274"/>
      <c r="I14" s="274"/>
      <c r="J14" s="274"/>
      <c r="K14" s="274"/>
      <c r="L14" s="274"/>
      <c r="M14" s="274"/>
      <c r="N14" s="274"/>
      <c r="O14" s="274"/>
      <c r="P14" s="295"/>
      <c r="Q14" s="274"/>
      <c r="R14" s="274"/>
      <c r="S14" s="246"/>
      <c r="T14" s="240"/>
      <c r="U14" s="240"/>
      <c r="V14" s="240"/>
      <c r="W14" s="240"/>
      <c r="X14" s="240"/>
      <c r="Y14" s="240"/>
      <c r="Z14" s="240"/>
      <c r="AA14" s="246"/>
      <c r="AB14" s="240"/>
      <c r="AC14" s="240"/>
      <c r="AD14" s="240"/>
      <c r="AE14" s="240"/>
      <c r="AF14" s="246"/>
      <c r="AG14" s="246"/>
      <c r="AH14" s="246"/>
      <c r="AI14" s="246"/>
      <c r="AJ14" s="240"/>
      <c r="AK14" s="240"/>
      <c r="AL14" s="240"/>
      <c r="AM14" s="240"/>
      <c r="AN14" s="240"/>
      <c r="AO14" s="240"/>
      <c r="AP14" s="240"/>
      <c r="AQ14" s="240"/>
      <c r="AR14" s="240"/>
      <c r="AS14" s="240"/>
      <c r="AT14" s="240"/>
      <c r="AU14" s="240"/>
      <c r="AV14" s="240"/>
      <c r="AW14" s="240"/>
      <c r="AX14" s="240"/>
      <c r="AY14" s="241"/>
      <c r="AZ14" s="240"/>
    </row>
    <row r="15" spans="1:52" ht="18" hidden="1" customHeight="1" outlineLevel="2" x14ac:dyDescent="0.3">
      <c r="A15" s="240"/>
      <c r="B15" s="274"/>
      <c r="C15" s="274"/>
      <c r="D15" s="274"/>
      <c r="E15" s="274"/>
      <c r="F15" s="240"/>
      <c r="G15" s="240"/>
      <c r="H15" s="240"/>
      <c r="I15" s="274"/>
      <c r="J15" s="274"/>
      <c r="K15" s="274"/>
      <c r="L15" s="274"/>
      <c r="M15" s="274"/>
      <c r="N15" s="274"/>
      <c r="O15" s="274"/>
      <c r="P15" s="92" t="s">
        <v>321</v>
      </c>
      <c r="Q15" s="93" t="s">
        <v>327</v>
      </c>
      <c r="R15" s="240"/>
      <c r="S15" s="246"/>
      <c r="T15" s="240"/>
      <c r="U15" s="240"/>
      <c r="V15" s="240"/>
      <c r="W15" s="240"/>
      <c r="X15" s="240"/>
      <c r="Y15" s="240"/>
      <c r="Z15" s="240"/>
      <c r="AA15" s="246"/>
      <c r="AB15" s="240"/>
      <c r="AC15" s="240"/>
      <c r="AD15" s="240"/>
      <c r="AE15" s="240"/>
      <c r="AF15" s="246"/>
      <c r="AG15" s="246"/>
      <c r="AH15" s="246"/>
      <c r="AI15" s="246"/>
      <c r="AJ15" s="240"/>
      <c r="AK15" s="240"/>
      <c r="AL15" s="240"/>
      <c r="AM15" s="240"/>
      <c r="AN15" s="240"/>
      <c r="AO15" s="240"/>
      <c r="AP15" s="240"/>
      <c r="AQ15" s="240"/>
      <c r="AR15" s="240"/>
      <c r="AS15" s="240"/>
      <c r="AT15" s="240"/>
      <c r="AU15" s="240"/>
      <c r="AV15" s="240"/>
      <c r="AW15" s="240"/>
      <c r="AX15" s="240"/>
      <c r="AY15" s="241"/>
      <c r="AZ15" s="240"/>
    </row>
    <row r="16" spans="1:52" ht="18" hidden="1" customHeight="1" outlineLevel="1" x14ac:dyDescent="0.3">
      <c r="A16" s="240"/>
      <c r="B16" s="59" t="s">
        <v>638</v>
      </c>
      <c r="C16" s="59" t="s">
        <v>47</v>
      </c>
      <c r="D16" s="59" t="s">
        <v>702</v>
      </c>
      <c r="E16" s="60" t="s">
        <v>30</v>
      </c>
      <c r="F16" s="59" t="s">
        <v>723</v>
      </c>
      <c r="G16" s="59" t="s">
        <v>236</v>
      </c>
      <c r="H16" s="59" t="s">
        <v>724</v>
      </c>
      <c r="I16" s="59" t="s">
        <v>725</v>
      </c>
      <c r="J16" s="59" t="s">
        <v>726</v>
      </c>
      <c r="K16" s="59" t="s">
        <v>727</v>
      </c>
      <c r="L16" s="59" t="s">
        <v>728</v>
      </c>
      <c r="M16" s="59" t="s">
        <v>920</v>
      </c>
      <c r="N16" s="59" t="s">
        <v>921</v>
      </c>
      <c r="O16" s="60" t="s">
        <v>716</v>
      </c>
      <c r="P16" s="60" t="s">
        <v>704</v>
      </c>
      <c r="Q16" s="60" t="s">
        <v>705</v>
      </c>
      <c r="R16" s="60" t="s">
        <v>688</v>
      </c>
      <c r="S16" s="246"/>
      <c r="T16" s="240"/>
      <c r="U16" s="240"/>
      <c r="V16" s="240"/>
      <c r="W16" s="240"/>
      <c r="X16" s="240"/>
      <c r="Y16" s="240"/>
      <c r="Z16" s="240"/>
      <c r="AA16" s="246"/>
      <c r="AB16" s="240"/>
      <c r="AC16" s="240"/>
      <c r="AD16" s="240"/>
      <c r="AE16" s="240"/>
      <c r="AF16" s="246"/>
      <c r="AG16" s="246"/>
      <c r="AH16" s="246"/>
      <c r="AI16" s="246"/>
      <c r="AJ16" s="240"/>
      <c r="AK16" s="240"/>
      <c r="AL16" s="240"/>
      <c r="AM16" s="240"/>
      <c r="AN16" s="240"/>
      <c r="AO16" s="240"/>
      <c r="AP16" s="240"/>
      <c r="AQ16" s="240"/>
      <c r="AR16" s="240"/>
      <c r="AS16" s="240"/>
      <c r="AT16" s="240"/>
      <c r="AU16" s="240"/>
      <c r="AV16" s="240"/>
      <c r="AW16" s="240"/>
      <c r="AX16" s="240"/>
      <c r="AY16" s="241"/>
      <c r="AZ16" s="240"/>
    </row>
    <row r="17" spans="1:52" ht="18" hidden="1" customHeight="1" outlineLevel="2" x14ac:dyDescent="0.3">
      <c r="A17" s="240"/>
      <c r="B17" s="7" t="str">
        <f>IF(Table_FormDonBan[[#This Row],[SKU]]&lt;&gt;"",COUNTIF(C$17:C17,"&lt;&gt;"""),"")</f>
        <v/>
      </c>
      <c r="C17" s="240"/>
      <c r="D17" s="7" t="str">
        <f xml:space="preserve">
IFERROR(VLOOKUP(Table_FormDonBan[[#This Row],[SKU]],Table_SKU[[Mã SKU]:[Mô tả]],Sheet_SKU!$H$1,0),"")</f>
        <v/>
      </c>
      <c r="E17" s="15"/>
      <c r="F17" s="15" t="str">
        <f>IFERROR(VLOOKUP(Table_FormDonBan[[#This Row],[SKU]],Table_SKU[[Mã SKU]:[Giá bán]],Sheet_SKU!$J$1,0),"")</f>
        <v/>
      </c>
      <c r="G17" s="242"/>
      <c r="H17" s="242">
        <f>Table_FormDonBan[[#This Row],[ĐK - Phân loại]]*Table_FormDonBan[[#This Row],[ĐK - Thời gian]]*Table_FormDonBan[[#This Row],[ĐK - Giá trị]]*Table_FormDonBan[[#This Row],[ĐK - Số lượng]]*Table_FormDonBan[[#This Row],[ĐK - Sinh nhật]]*Table_FormDonBan[[#This Row],[ĐK - Ngày mua cuối]]</f>
        <v>1</v>
      </c>
      <c r="I17" s="242">
        <f xml:space="preserve">
IF(ISBLANK(Table_FormDonBan[[#This Row],[Chương trình]]),1,
IF(VLOOKUP(Table_FormDonBan[[#This Row],[Chương trình]],Table_ChuongTrinh[[Mã Chương trình]:[Đối tượng CK]],Sheet_ChuongTrinh!$C$1,0) = "Sản phẩm",1,0))</f>
        <v>1</v>
      </c>
      <c r="J17"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7"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7"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7"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7" s="242" cm="1">
        <f t="array" ref="N1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7" s="15" t="str">
        <f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f>
        <v/>
      </c>
      <c r="P17" s="15" t="str">
        <f>IF(ISBLANK(Table_FormDonBan[[#This Row],[SKU]]),"",
(Table_FormDonBan[[#This Row],[Số lượng]]*Table_FormDonBan[[#This Row],[Giá trước VAT]]-Table_FormDonBan[[#This Row],[Khuyến mãi]]))</f>
        <v/>
      </c>
      <c r="Q17" s="45" t="str">
        <f>IFERROR(
VLOOKUP(Table_FormDonBan[[#This Row],[SKU]],Table_SKU[[Mã SKU]:[Tỷ suất VAT]],Sheet_SKU!$K$1,0),"")</f>
        <v/>
      </c>
      <c r="R17" s="15" t="str">
        <f>IF(
ISBLANK(Table_FormDonBan[[#This Row],[SKU]]),"",Table_FormDonBan[[#This Row],[Thành tiền]]*Table_FormDonBan[[#This Row],[Tỷ suất VAT]])</f>
        <v/>
      </c>
      <c r="S17" s="246"/>
      <c r="T17" s="240"/>
      <c r="U17" s="240"/>
      <c r="V17" s="240"/>
      <c r="W17" s="240"/>
      <c r="X17" s="240"/>
      <c r="Y17" s="240"/>
      <c r="Z17" s="240"/>
      <c r="AA17" s="246"/>
      <c r="AB17" s="240"/>
      <c r="AC17" s="240"/>
      <c r="AD17" s="240"/>
      <c r="AE17" s="240"/>
      <c r="AF17" s="246"/>
      <c r="AG17" s="246"/>
      <c r="AH17" s="246"/>
      <c r="AI17" s="246"/>
      <c r="AJ17" s="240"/>
      <c r="AK17" s="240"/>
      <c r="AL17" s="240"/>
      <c r="AM17" s="240"/>
      <c r="AN17" s="240"/>
      <c r="AO17" s="240"/>
      <c r="AP17" s="240"/>
      <c r="AQ17" s="240"/>
      <c r="AR17" s="240"/>
      <c r="AS17" s="240"/>
      <c r="AT17" s="240"/>
      <c r="AU17" s="240"/>
      <c r="AV17" s="240"/>
      <c r="AW17" s="240"/>
      <c r="AX17" s="240"/>
      <c r="AY17" s="241"/>
      <c r="AZ17" s="240"/>
    </row>
    <row r="18" spans="1:52" ht="18" hidden="1" customHeight="1" outlineLevel="2" x14ac:dyDescent="0.3">
      <c r="A18" s="240"/>
      <c r="B18" s="7" t="str">
        <f>IF(Table_FormDonBan[[#This Row],[SKU]]&lt;&gt;"",COUNTIF(C$17:C18,"&lt;&gt;"""),"")</f>
        <v/>
      </c>
      <c r="C18" s="240"/>
      <c r="D18" s="7" t="str">
        <f xml:space="preserve">
IFERROR(VLOOKUP(Table_FormDonBan[[#This Row],[SKU]],Table_SKU[[Mã SKU]:[Mô tả]],Sheet_SKU!$H$1,0),"")</f>
        <v/>
      </c>
      <c r="E18" s="15"/>
      <c r="F18" s="15" t="str">
        <f>IFERROR(VLOOKUP(Table_FormDonBan[[#This Row],[SKU]],Table_SKU[[Mã SKU]:[Giá bán]],Sheet_SKU!$J$1,0),"")</f>
        <v/>
      </c>
      <c r="G18" s="242"/>
      <c r="H18" s="242">
        <f>Table_FormDonBan[[#This Row],[ĐK - Phân loại]]*Table_FormDonBan[[#This Row],[ĐK - Thời gian]]*Table_FormDonBan[[#This Row],[ĐK - Giá trị]]*Table_FormDonBan[[#This Row],[ĐK - Số lượng]]*Table_FormDonBan[[#This Row],[ĐK - Sinh nhật]]*Table_FormDonBan[[#This Row],[ĐK - Ngày mua cuối]]</f>
        <v>1</v>
      </c>
      <c r="I18" s="242">
        <f xml:space="preserve">
IF(ISBLANK(Table_FormDonBan[[#This Row],[Chương trình]]),1,
IF(VLOOKUP(Table_FormDonBan[[#This Row],[Chương trình]],Table_ChuongTrinh[[Mã Chương trình]:[Đối tượng CK]],Sheet_ChuongTrinh!$C$1,0) = "Sản phẩm",1,0))</f>
        <v>1</v>
      </c>
      <c r="J18"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8"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8"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8"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8" s="242" cm="1">
        <f t="array" ref="N1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8" s="15" t="str">
        <f xml:space="preserve">
IF(ISBLANK(Table_FormDonBan[[#This Row],[SKU]]),"",
IF(ISBLANK(Table_FormDonBan[[#This Row],[Chương trình]]),0,
IFERROR(
IF(
ISBLANK(
VLOOKUP(G18,Table_ChuongTrinh[[Mã Chương trình]:[Tỷ lệ CK]],Sheet_ChuongTrinh!$G$1,0)),
VLOOKUP(G18,Table_ChuongTrinh[[Mã Chương trình]:[Giá trị CK]],Sheet_ChuongTrinh!$H$1,0),
VLOOKUP(G18,Table_ChuongTrinh[[Mã Chương trình]:[Tỷ lệ CK]],Sheet_ChuongTrinh!$G$1,0)
*Table_FormDonBan[[#This Row],[Số lượng]]*Table_FormDonBan[[#This Row],[Giá trước VAT]]),0)))</f>
        <v/>
      </c>
      <c r="P18" s="15" t="str">
        <f>IF(ISBLANK(Table_FormDonBan[[#This Row],[SKU]]),"",
(Table_FormDonBan[[#This Row],[Số lượng]]*Table_FormDonBan[[#This Row],[Giá trước VAT]]-Table_FormDonBan[[#This Row],[Khuyến mãi]]))</f>
        <v/>
      </c>
      <c r="Q18" s="45" t="str">
        <f>IFERROR(
VLOOKUP(Table_FormDonBan[[#This Row],[SKU]],Table_SKU[[Mã SKU]:[Tỷ suất VAT]],Sheet_SKU!$K$1,0),"")</f>
        <v/>
      </c>
      <c r="R18" s="15" t="str">
        <f>IF(
ISBLANK(Table_FormDonBan[[#This Row],[SKU]]),"",Table_FormDonBan[[#This Row],[Thành tiền]]*Table_FormDonBan[[#This Row],[Tỷ suất VAT]])</f>
        <v/>
      </c>
      <c r="S18" s="246"/>
      <c r="T18" s="240"/>
      <c r="U18" s="240"/>
      <c r="V18" s="240"/>
      <c r="W18" s="240"/>
      <c r="X18" s="240"/>
      <c r="Y18" s="240"/>
      <c r="Z18" s="240"/>
      <c r="AA18" s="246"/>
      <c r="AB18" s="240"/>
      <c r="AC18" s="240"/>
      <c r="AD18" s="240"/>
      <c r="AE18" s="240"/>
      <c r="AF18" s="246"/>
      <c r="AG18" s="246"/>
      <c r="AH18" s="246"/>
      <c r="AI18" s="246"/>
      <c r="AJ18" s="240"/>
      <c r="AK18" s="240"/>
      <c r="AL18" s="240"/>
      <c r="AM18" s="240"/>
      <c r="AN18" s="240"/>
      <c r="AO18" s="240"/>
      <c r="AP18" s="240"/>
      <c r="AQ18" s="240"/>
      <c r="AR18" s="240"/>
      <c r="AS18" s="240"/>
      <c r="AT18" s="240"/>
      <c r="AU18" s="240"/>
      <c r="AV18" s="240"/>
      <c r="AW18" s="240"/>
      <c r="AX18" s="240"/>
      <c r="AY18" s="241"/>
      <c r="AZ18" s="240"/>
    </row>
    <row r="19" spans="1:52" ht="18" hidden="1" customHeight="1" outlineLevel="2" x14ac:dyDescent="0.3">
      <c r="A19" s="240"/>
      <c r="B19" s="7" t="str">
        <f>IF(Table_FormDonBan[[#This Row],[SKU]]&lt;&gt;"",COUNTIF(C$17:C19,"&lt;&gt;"""),"")</f>
        <v/>
      </c>
      <c r="C19" s="240"/>
      <c r="D19" s="7" t="str">
        <f xml:space="preserve">
IFERROR(VLOOKUP(Table_FormDonBan[[#This Row],[SKU]],Table_SKU[[Mã SKU]:[Mô tả]],Sheet_SKU!$H$1,0),"")</f>
        <v/>
      </c>
      <c r="E19" s="15"/>
      <c r="F19" s="15" t="str">
        <f>IFERROR(VLOOKUP(Table_FormDonBan[[#This Row],[SKU]],Table_SKU[[Mã SKU]:[Giá bán]],Sheet_SKU!$J$1,0),"")</f>
        <v/>
      </c>
      <c r="G19" s="242"/>
      <c r="H19" s="242">
        <f>Table_FormDonBan[[#This Row],[ĐK - Phân loại]]*Table_FormDonBan[[#This Row],[ĐK - Thời gian]]*Table_FormDonBan[[#This Row],[ĐK - Giá trị]]*Table_FormDonBan[[#This Row],[ĐK - Số lượng]]*Table_FormDonBan[[#This Row],[ĐK - Sinh nhật]]*Table_FormDonBan[[#This Row],[ĐK - Ngày mua cuối]]</f>
        <v>1</v>
      </c>
      <c r="I19" s="242">
        <f xml:space="preserve">
IF(ISBLANK(Table_FormDonBan[[#This Row],[Chương trình]]),1,
IF(VLOOKUP(Table_FormDonBan[[#This Row],[Chương trình]],Table_ChuongTrinh[[Mã Chương trình]:[Đối tượng CK]],Sheet_ChuongTrinh!$C$1,0) = "Sản phẩm",1,0))</f>
        <v>1</v>
      </c>
      <c r="J19"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9"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9"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9"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9" s="242" cm="1">
        <f t="array" ref="N19">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9" s="15" t="str">
        <f xml:space="preserve">
IF(ISBLANK(Table_FormDonBan[[#This Row],[SKU]]),"",
IF(ISBLANK(Table_FormDonBan[[#This Row],[Chương trình]]),0,
IFERROR(
IF(
ISBLANK(
VLOOKUP(G19,Table_ChuongTrinh[[Mã Chương trình]:[Tỷ lệ CK]],Sheet_ChuongTrinh!$G$1,0)),
VLOOKUP(G19,Table_ChuongTrinh[[Mã Chương trình]:[Giá trị CK]],Sheet_ChuongTrinh!$H$1,0),
VLOOKUP(G19,Table_ChuongTrinh[[Mã Chương trình]:[Tỷ lệ CK]],Sheet_ChuongTrinh!$G$1,0)
*Table_FormDonBan[[#This Row],[Số lượng]]*Table_FormDonBan[[#This Row],[Giá trước VAT]]),0)))</f>
        <v/>
      </c>
      <c r="P19" s="15" t="str">
        <f>IF(ISBLANK(Table_FormDonBan[[#This Row],[SKU]]),"",
(Table_FormDonBan[[#This Row],[Số lượng]]*Table_FormDonBan[[#This Row],[Giá trước VAT]]-Table_FormDonBan[[#This Row],[Khuyến mãi]]))</f>
        <v/>
      </c>
      <c r="Q19" s="45" t="str">
        <f>IFERROR(
VLOOKUP(Table_FormDonBan[[#This Row],[SKU]],Table_SKU[[Mã SKU]:[Tỷ suất VAT]],Sheet_SKU!$K$1,0),"")</f>
        <v/>
      </c>
      <c r="R19" s="15" t="str">
        <f>IF(
ISBLANK(Table_FormDonBan[[#This Row],[SKU]]),"",Table_FormDonBan[[#This Row],[Thành tiền]]*Table_FormDonBan[[#This Row],[Tỷ suất VAT]])</f>
        <v/>
      </c>
      <c r="S19" s="246"/>
      <c r="T19" s="240"/>
      <c r="U19" s="240"/>
      <c r="V19" s="240"/>
      <c r="W19" s="240"/>
      <c r="X19" s="240"/>
      <c r="Y19" s="240"/>
      <c r="Z19" s="240"/>
      <c r="AA19" s="246"/>
      <c r="AB19" s="240"/>
      <c r="AC19" s="240"/>
      <c r="AD19" s="240"/>
      <c r="AE19" s="240"/>
      <c r="AF19" s="246"/>
      <c r="AG19" s="246"/>
      <c r="AH19" s="246"/>
      <c r="AI19" s="246"/>
      <c r="AJ19" s="240"/>
      <c r="AK19" s="240"/>
      <c r="AL19" s="240"/>
      <c r="AM19" s="240"/>
      <c r="AN19" s="240"/>
      <c r="AO19" s="240"/>
      <c r="AP19" s="240"/>
      <c r="AQ19" s="240"/>
      <c r="AR19" s="240"/>
      <c r="AS19" s="240"/>
      <c r="AT19" s="240"/>
      <c r="AU19" s="240"/>
      <c r="AV19" s="240"/>
      <c r="AW19" s="240"/>
      <c r="AX19" s="240"/>
      <c r="AY19" s="241"/>
      <c r="AZ19" s="240"/>
    </row>
    <row r="20" spans="1:52" ht="18" hidden="1" customHeight="1" outlineLevel="2" x14ac:dyDescent="0.3">
      <c r="A20" s="240"/>
      <c r="B20" s="7" t="str">
        <f>IF(Table_FormDonBan[[#This Row],[SKU]]&lt;&gt;"",COUNTIF(C$17:C20,"&lt;&gt;"""),"")</f>
        <v/>
      </c>
      <c r="C20" s="240"/>
      <c r="D20" s="7" t="str">
        <f xml:space="preserve">
IFERROR(VLOOKUP(Table_FormDonBan[[#This Row],[SKU]],Table_SKU[[Mã SKU]:[Mô tả]],Sheet_SKU!$H$1,0),"")</f>
        <v/>
      </c>
      <c r="E20" s="15"/>
      <c r="F20" s="15" t="str">
        <f>IFERROR(VLOOKUP(Table_FormDonBan[[#This Row],[SKU]],Table_SKU[[Mã SKU]:[Giá bán]],Sheet_SKU!$J$1,0),"")</f>
        <v/>
      </c>
      <c r="G20" s="242"/>
      <c r="H20" s="242">
        <f>Table_FormDonBan[[#This Row],[ĐK - Phân loại]]*Table_FormDonBan[[#This Row],[ĐK - Thời gian]]*Table_FormDonBan[[#This Row],[ĐK - Giá trị]]*Table_FormDonBan[[#This Row],[ĐK - Số lượng]]*Table_FormDonBan[[#This Row],[ĐK - Sinh nhật]]*Table_FormDonBan[[#This Row],[ĐK - Ngày mua cuối]]</f>
        <v>1</v>
      </c>
      <c r="I20" s="242">
        <f xml:space="preserve">
IF(ISBLANK(Table_FormDonBan[[#This Row],[Chương trình]]),1,
IF(VLOOKUP(Table_FormDonBan[[#This Row],[Chương trình]],Table_ChuongTrinh[[Mã Chương trình]:[Đối tượng CK]],Sheet_ChuongTrinh!$C$1,0) = "Sản phẩm",1,0))</f>
        <v>1</v>
      </c>
      <c r="J20"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0"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0"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0"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0" s="242" cm="1">
        <f t="array" ref="N20">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0" s="15" t="str">
        <f xml:space="preserve">
IF(ISBLANK(Table_FormDonBan[[#This Row],[SKU]]),"",
IF(ISBLANK(Table_FormDonBan[[#This Row],[Chương trình]]),0,
IFERROR(
IF(
ISBLANK(
VLOOKUP(G20,Table_ChuongTrinh[[Mã Chương trình]:[Tỷ lệ CK]],Sheet_ChuongTrinh!$G$1,0)),
VLOOKUP(G20,Table_ChuongTrinh[[Mã Chương trình]:[Giá trị CK]],Sheet_ChuongTrinh!$H$1,0),
VLOOKUP(G20,Table_ChuongTrinh[[Mã Chương trình]:[Tỷ lệ CK]],Sheet_ChuongTrinh!$G$1,0)
*Table_FormDonBan[[#This Row],[Số lượng]]*Table_FormDonBan[[#This Row],[Giá trước VAT]]),0)))</f>
        <v/>
      </c>
      <c r="P20" s="15" t="str">
        <f>IF(ISBLANK(Table_FormDonBan[[#This Row],[SKU]]),"",
(Table_FormDonBan[[#This Row],[Số lượng]]*Table_FormDonBan[[#This Row],[Giá trước VAT]]-Table_FormDonBan[[#This Row],[Khuyến mãi]]))</f>
        <v/>
      </c>
      <c r="Q20" s="45" t="str">
        <f>IFERROR(
VLOOKUP(Table_FormDonBan[[#This Row],[SKU]],Table_SKU[[Mã SKU]:[Tỷ suất VAT]],Sheet_SKU!$K$1,0),"")</f>
        <v/>
      </c>
      <c r="R20" s="15" t="str">
        <f>IF(
ISBLANK(Table_FormDonBan[[#This Row],[SKU]]),"",Table_FormDonBan[[#This Row],[Thành tiền]]*Table_FormDonBan[[#This Row],[Tỷ suất VAT]])</f>
        <v/>
      </c>
      <c r="S20" s="246"/>
      <c r="T20" s="240"/>
      <c r="U20" s="240"/>
      <c r="V20" s="240"/>
      <c r="W20" s="240"/>
      <c r="X20" s="240"/>
      <c r="Y20" s="240"/>
      <c r="Z20" s="240"/>
      <c r="AA20" s="246"/>
      <c r="AB20" s="240"/>
      <c r="AC20" s="240"/>
      <c r="AD20" s="240"/>
      <c r="AE20" s="240"/>
      <c r="AF20" s="246"/>
      <c r="AG20" s="246"/>
      <c r="AH20" s="246"/>
      <c r="AI20" s="246"/>
      <c r="AJ20" s="240"/>
      <c r="AK20" s="240"/>
      <c r="AL20" s="240"/>
      <c r="AM20" s="240"/>
      <c r="AN20" s="240"/>
      <c r="AO20" s="240"/>
      <c r="AP20" s="240"/>
      <c r="AQ20" s="240"/>
      <c r="AR20" s="240"/>
      <c r="AS20" s="240"/>
      <c r="AT20" s="240"/>
      <c r="AU20" s="240"/>
      <c r="AV20" s="240"/>
      <c r="AW20" s="240"/>
      <c r="AX20" s="240"/>
      <c r="AY20" s="241"/>
      <c r="AZ20" s="240"/>
    </row>
    <row r="21" spans="1:52" ht="18" hidden="1" customHeight="1" outlineLevel="2" x14ac:dyDescent="0.3">
      <c r="A21" s="240"/>
      <c r="B21" s="7" t="str">
        <f>IF(Table_FormDonBan[[#This Row],[SKU]]&lt;&gt;"",COUNTIF(C$17:C21,"&lt;&gt;"""),"")</f>
        <v/>
      </c>
      <c r="C21" s="240"/>
      <c r="D21" s="7" t="str">
        <f xml:space="preserve">
IFERROR(VLOOKUP(Table_FormDonBan[[#This Row],[SKU]],Table_SKU[[Mã SKU]:[Mô tả]],Sheet_SKU!$H$1,0),"")</f>
        <v/>
      </c>
      <c r="E21" s="15"/>
      <c r="F21" s="15" t="str">
        <f>IFERROR(VLOOKUP(Table_FormDonBan[[#This Row],[SKU]],Table_SKU[[Mã SKU]:[Giá bán]],Sheet_SKU!$J$1,0),"")</f>
        <v/>
      </c>
      <c r="G21" s="242"/>
      <c r="H21" s="242">
        <f>Table_FormDonBan[[#This Row],[ĐK - Phân loại]]*Table_FormDonBan[[#This Row],[ĐK - Thời gian]]*Table_FormDonBan[[#This Row],[ĐK - Giá trị]]*Table_FormDonBan[[#This Row],[ĐK - Số lượng]]*Table_FormDonBan[[#This Row],[ĐK - Sinh nhật]]*Table_FormDonBan[[#This Row],[ĐK - Ngày mua cuối]]</f>
        <v>1</v>
      </c>
      <c r="I21" s="242">
        <f xml:space="preserve">
IF(ISBLANK(Table_FormDonBan[[#This Row],[Chương trình]]),1,
IF(VLOOKUP(Table_FormDonBan[[#This Row],[Chương trình]],Table_ChuongTrinh[[Mã Chương trình]:[Đối tượng CK]],Sheet_ChuongTrinh!$C$1,0) = "Sản phẩm",1,0))</f>
        <v>1</v>
      </c>
      <c r="J21"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1"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1"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1"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1" s="242" cm="1">
        <f t="array" ref="N2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1" s="15" t="str">
        <f xml:space="preserve">
IF(ISBLANK(Table_FormDonBan[[#This Row],[SKU]]),"",
IF(ISBLANK(Table_FormDonBan[[#This Row],[Chương trình]]),0,
IFERROR(
IF(
ISBLANK(
VLOOKUP(G21,Table_ChuongTrinh[[Mã Chương trình]:[Tỷ lệ CK]],Sheet_ChuongTrinh!$G$1,0)),
VLOOKUP(G21,Table_ChuongTrinh[[Mã Chương trình]:[Giá trị CK]],Sheet_ChuongTrinh!$H$1,0),
VLOOKUP(G21,Table_ChuongTrinh[[Mã Chương trình]:[Tỷ lệ CK]],Sheet_ChuongTrinh!$G$1,0)
*Table_FormDonBan[[#This Row],[Số lượng]]*Table_FormDonBan[[#This Row],[Giá trước VAT]]),0)))</f>
        <v/>
      </c>
      <c r="P21" s="15" t="str">
        <f>IF(ISBLANK(Table_FormDonBan[[#This Row],[SKU]]),"",
(Table_FormDonBan[[#This Row],[Số lượng]]*Table_FormDonBan[[#This Row],[Giá trước VAT]]-Table_FormDonBan[[#This Row],[Khuyến mãi]]))</f>
        <v/>
      </c>
      <c r="Q21" s="45" t="str">
        <f>IFERROR(
VLOOKUP(Table_FormDonBan[[#This Row],[SKU]],Table_SKU[[Mã SKU]:[Tỷ suất VAT]],Sheet_SKU!$K$1,0),"")</f>
        <v/>
      </c>
      <c r="R21" s="15" t="str">
        <f>IF(
ISBLANK(Table_FormDonBan[[#This Row],[SKU]]),"",Table_FormDonBan[[#This Row],[Thành tiền]]*Table_FormDonBan[[#This Row],[Tỷ suất VAT]])</f>
        <v/>
      </c>
      <c r="S21" s="246"/>
      <c r="T21" s="240"/>
      <c r="U21" s="240"/>
      <c r="V21" s="240"/>
      <c r="W21" s="240"/>
      <c r="X21" s="240"/>
      <c r="Y21" s="240"/>
      <c r="Z21" s="240"/>
      <c r="AA21" s="246"/>
      <c r="AB21" s="240"/>
      <c r="AC21" s="240"/>
      <c r="AD21" s="240"/>
      <c r="AE21" s="240"/>
      <c r="AF21" s="246"/>
      <c r="AG21" s="246"/>
      <c r="AH21" s="246"/>
      <c r="AI21" s="246"/>
      <c r="AJ21" s="240"/>
      <c r="AK21" s="240"/>
      <c r="AL21" s="240"/>
      <c r="AM21" s="240"/>
      <c r="AN21" s="240"/>
      <c r="AO21" s="240"/>
      <c r="AP21" s="240"/>
      <c r="AQ21" s="240"/>
      <c r="AR21" s="240"/>
      <c r="AS21" s="240"/>
      <c r="AT21" s="240"/>
      <c r="AU21" s="240"/>
      <c r="AV21" s="240"/>
      <c r="AW21" s="240"/>
      <c r="AX21" s="240"/>
      <c r="AY21" s="241"/>
      <c r="AZ21" s="240"/>
    </row>
    <row r="22" spans="1:52" ht="18" hidden="1" customHeight="1" outlineLevel="2" x14ac:dyDescent="0.3">
      <c r="A22" s="240"/>
      <c r="B22" s="7" t="str">
        <f>IF(Table_FormDonBan[[#This Row],[SKU]]&lt;&gt;"",COUNTIF(C$17:C22,"&lt;&gt;"""),"")</f>
        <v/>
      </c>
      <c r="C22" s="240"/>
      <c r="D22" s="7" t="str">
        <f xml:space="preserve">
IFERROR(VLOOKUP(Table_FormDonBan[[#This Row],[SKU]],Table_SKU[[Mã SKU]:[Mô tả]],Sheet_SKU!$H$1,0),"")</f>
        <v/>
      </c>
      <c r="E22" s="15"/>
      <c r="F22" s="15" t="str">
        <f>IFERROR(VLOOKUP(Table_FormDonBan[[#This Row],[SKU]],Table_SKU[[Mã SKU]:[Giá bán]],Sheet_SKU!$J$1,0),"")</f>
        <v/>
      </c>
      <c r="G22" s="242"/>
      <c r="H22" s="242">
        <f>Table_FormDonBan[[#This Row],[ĐK - Phân loại]]*Table_FormDonBan[[#This Row],[ĐK - Thời gian]]*Table_FormDonBan[[#This Row],[ĐK - Giá trị]]*Table_FormDonBan[[#This Row],[ĐK - Số lượng]]*Table_FormDonBan[[#This Row],[ĐK - Sinh nhật]]*Table_FormDonBan[[#This Row],[ĐK - Ngày mua cuối]]</f>
        <v>1</v>
      </c>
      <c r="I22" s="242">
        <f xml:space="preserve">
IF(ISBLANK(Table_FormDonBan[[#This Row],[Chương trình]]),1,
IF(VLOOKUP(Table_FormDonBan[[#This Row],[Chương trình]],Table_ChuongTrinh[[Mã Chương trình]:[Đối tượng CK]],Sheet_ChuongTrinh!$C$1,0) = "Sản phẩm",1,0))</f>
        <v>1</v>
      </c>
      <c r="J22"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2"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2"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2"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2" s="242" cm="1">
        <f t="array" ref="N22">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2" s="15" t="str">
        <f xml:space="preserve">
IF(ISBLANK(Table_FormDonBan[[#This Row],[SKU]]),"",
IF(ISBLANK(Table_FormDonBan[[#This Row],[Chương trình]]),0,
IFERROR(
IF(
ISBLANK(
VLOOKUP(G22,Table_ChuongTrinh[[Mã Chương trình]:[Tỷ lệ CK]],Sheet_ChuongTrinh!$G$1,0)),
VLOOKUP(G22,Table_ChuongTrinh[[Mã Chương trình]:[Giá trị CK]],Sheet_ChuongTrinh!$H$1,0),
VLOOKUP(G22,Table_ChuongTrinh[[Mã Chương trình]:[Tỷ lệ CK]],Sheet_ChuongTrinh!$G$1,0)
*Table_FormDonBan[[#This Row],[Số lượng]]*Table_FormDonBan[[#This Row],[Giá trước VAT]]),0)))</f>
        <v/>
      </c>
      <c r="P22" s="15" t="str">
        <f>IF(ISBLANK(Table_FormDonBan[[#This Row],[SKU]]),"",
(Table_FormDonBan[[#This Row],[Số lượng]]*Table_FormDonBan[[#This Row],[Giá trước VAT]]-Table_FormDonBan[[#This Row],[Khuyến mãi]]))</f>
        <v/>
      </c>
      <c r="Q22" s="45" t="str">
        <f>IFERROR(
VLOOKUP(Table_FormDonBan[[#This Row],[SKU]],Table_SKU[[Mã SKU]:[Tỷ suất VAT]],Sheet_SKU!$K$1,0),"")</f>
        <v/>
      </c>
      <c r="R22" s="15" t="str">
        <f>IF(
ISBLANK(Table_FormDonBan[[#This Row],[SKU]]),"",Table_FormDonBan[[#This Row],[Thành tiền]]*Table_FormDonBan[[#This Row],[Tỷ suất VAT]])</f>
        <v/>
      </c>
      <c r="S22" s="246"/>
      <c r="T22" s="240"/>
      <c r="U22" s="240"/>
      <c r="V22" s="240"/>
      <c r="W22" s="240"/>
      <c r="X22" s="240"/>
      <c r="Y22" s="240"/>
      <c r="Z22" s="240"/>
      <c r="AA22" s="246"/>
      <c r="AB22" s="240"/>
      <c r="AC22" s="240"/>
      <c r="AD22" s="240"/>
      <c r="AE22" s="240"/>
      <c r="AF22" s="246"/>
      <c r="AG22" s="246"/>
      <c r="AH22" s="246"/>
      <c r="AI22" s="246"/>
      <c r="AJ22" s="240"/>
      <c r="AK22" s="240"/>
      <c r="AL22" s="240"/>
      <c r="AM22" s="240"/>
      <c r="AN22" s="240"/>
      <c r="AO22" s="240"/>
      <c r="AP22" s="240"/>
      <c r="AQ22" s="240"/>
      <c r="AR22" s="240"/>
      <c r="AS22" s="240"/>
      <c r="AT22" s="240"/>
      <c r="AU22" s="240"/>
      <c r="AV22" s="240"/>
      <c r="AW22" s="240"/>
      <c r="AX22" s="240"/>
      <c r="AY22" s="241"/>
      <c r="AZ22" s="240"/>
    </row>
    <row r="23" spans="1:52" ht="18" hidden="1" customHeight="1" outlineLevel="2" x14ac:dyDescent="0.3">
      <c r="A23" s="240"/>
      <c r="B23" s="7" t="str">
        <f>IF(Table_FormDonBan[[#This Row],[SKU]]&lt;&gt;"",COUNTIF(C$17:C23,"&lt;&gt;"""),"")</f>
        <v/>
      </c>
      <c r="C23" s="240"/>
      <c r="D23" s="7" t="str">
        <f xml:space="preserve">
IFERROR(VLOOKUP(Table_FormDonBan[[#This Row],[SKU]],Table_SKU[[Mã SKU]:[Mô tả]],Sheet_SKU!$H$1,0),"")</f>
        <v/>
      </c>
      <c r="E23" s="15"/>
      <c r="F23" s="15" t="str">
        <f>IFERROR(VLOOKUP(Table_FormDonBan[[#This Row],[SKU]],Table_SKU[[Mã SKU]:[Giá bán]],Sheet_SKU!$J$1,0),"")</f>
        <v/>
      </c>
      <c r="G23" s="242"/>
      <c r="H23" s="242">
        <f>Table_FormDonBan[[#This Row],[ĐK - Phân loại]]*Table_FormDonBan[[#This Row],[ĐK - Thời gian]]*Table_FormDonBan[[#This Row],[ĐK - Giá trị]]*Table_FormDonBan[[#This Row],[ĐK - Số lượng]]*Table_FormDonBan[[#This Row],[ĐK - Sinh nhật]]*Table_FormDonBan[[#This Row],[ĐK - Ngày mua cuối]]</f>
        <v>1</v>
      </c>
      <c r="I23" s="242">
        <f xml:space="preserve">
IF(ISBLANK(Table_FormDonBan[[#This Row],[Chương trình]]),1,
IF(VLOOKUP(Table_FormDonBan[[#This Row],[Chương trình]],Table_ChuongTrinh[[Mã Chương trình]:[Đối tượng CK]],Sheet_ChuongTrinh!$C$1,0) = "Sản phẩm",1,0))</f>
        <v>1</v>
      </c>
      <c r="J23"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3"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3"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3"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3" s="242" cm="1">
        <f t="array" ref="N23">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3" s="15" t="str">
        <f xml:space="preserve">
IF(ISBLANK(Table_FormDonBan[[#This Row],[SKU]]),"",
IF(ISBLANK(Table_FormDonBan[[#This Row],[Chương trình]]),0,
IFERROR(
IF(
ISBLANK(
VLOOKUP(G23,Table_ChuongTrinh[[Mã Chương trình]:[Tỷ lệ CK]],Sheet_ChuongTrinh!$G$1,0)),
VLOOKUP(G23,Table_ChuongTrinh[[Mã Chương trình]:[Giá trị CK]],Sheet_ChuongTrinh!$H$1,0),
VLOOKUP(G23,Table_ChuongTrinh[[Mã Chương trình]:[Tỷ lệ CK]],Sheet_ChuongTrinh!$G$1,0)
*Table_FormDonBan[[#This Row],[Số lượng]]*Table_FormDonBan[[#This Row],[Giá trước VAT]]),0)))</f>
        <v/>
      </c>
      <c r="P23" s="15" t="str">
        <f>IF(ISBLANK(Table_FormDonBan[[#This Row],[SKU]]),"",
(Table_FormDonBan[[#This Row],[Số lượng]]*Table_FormDonBan[[#This Row],[Giá trước VAT]]-Table_FormDonBan[[#This Row],[Khuyến mãi]]))</f>
        <v/>
      </c>
      <c r="Q23" s="45" t="str">
        <f>IFERROR(
VLOOKUP(Table_FormDonBan[[#This Row],[SKU]],Table_SKU[[Mã SKU]:[Tỷ suất VAT]],Sheet_SKU!$K$1,0),"")</f>
        <v/>
      </c>
      <c r="R23" s="15" t="str">
        <f>IF(
ISBLANK(Table_FormDonBan[[#This Row],[SKU]]),"",Table_FormDonBan[[#This Row],[Thành tiền]]*Table_FormDonBan[[#This Row],[Tỷ suất VAT]])</f>
        <v/>
      </c>
      <c r="S23" s="246"/>
      <c r="T23" s="240"/>
      <c r="U23" s="240"/>
      <c r="V23" s="240"/>
      <c r="W23" s="240"/>
      <c r="X23" s="240"/>
      <c r="Y23" s="240"/>
      <c r="Z23" s="240"/>
      <c r="AA23" s="246"/>
      <c r="AB23" s="240"/>
      <c r="AC23" s="240"/>
      <c r="AD23" s="240"/>
      <c r="AE23" s="240"/>
      <c r="AF23" s="246"/>
      <c r="AG23" s="246"/>
      <c r="AH23" s="246"/>
      <c r="AI23" s="246"/>
      <c r="AJ23" s="240"/>
      <c r="AK23" s="240"/>
      <c r="AL23" s="240"/>
      <c r="AM23" s="240"/>
      <c r="AN23" s="240"/>
      <c r="AO23" s="240"/>
      <c r="AP23" s="240"/>
      <c r="AQ23" s="240"/>
      <c r="AR23" s="240"/>
      <c r="AS23" s="240"/>
      <c r="AT23" s="240"/>
      <c r="AU23" s="240"/>
      <c r="AV23" s="240"/>
      <c r="AW23" s="240"/>
      <c r="AX23" s="240"/>
      <c r="AY23" s="241"/>
      <c r="AZ23" s="240"/>
    </row>
    <row r="24" spans="1:52" ht="18" hidden="1" customHeight="1" outlineLevel="2" x14ac:dyDescent="0.3">
      <c r="A24" s="240"/>
      <c r="B24" s="7" t="str">
        <f>IF(Table_FormDonBan[[#This Row],[SKU]]&lt;&gt;"",COUNTIF(C$17:C24,"&lt;&gt;"""),"")</f>
        <v/>
      </c>
      <c r="C24" s="240"/>
      <c r="D24" s="7" t="str">
        <f xml:space="preserve">
IFERROR(VLOOKUP(Table_FormDonBan[[#This Row],[SKU]],Table_SKU[[Mã SKU]:[Mô tả]],Sheet_SKU!$H$1,0),"")</f>
        <v/>
      </c>
      <c r="E24" s="15"/>
      <c r="F24" s="15" t="str">
        <f>IFERROR(VLOOKUP(Table_FormDonBan[[#This Row],[SKU]],Table_SKU[[Mã SKU]:[Giá bán]],Sheet_SKU!$J$1,0),"")</f>
        <v/>
      </c>
      <c r="G24" s="242"/>
      <c r="H24" s="242">
        <f>Table_FormDonBan[[#This Row],[ĐK - Phân loại]]*Table_FormDonBan[[#This Row],[ĐK - Thời gian]]*Table_FormDonBan[[#This Row],[ĐK - Giá trị]]*Table_FormDonBan[[#This Row],[ĐK - Số lượng]]*Table_FormDonBan[[#This Row],[ĐK - Sinh nhật]]*Table_FormDonBan[[#This Row],[ĐK - Ngày mua cuối]]</f>
        <v>1</v>
      </c>
      <c r="I24" s="242">
        <f xml:space="preserve">
IF(ISBLANK(Table_FormDonBan[[#This Row],[Chương trình]]),1,
IF(VLOOKUP(Table_FormDonBan[[#This Row],[Chương trình]],Table_ChuongTrinh[[Mã Chương trình]:[Đối tượng CK]],Sheet_ChuongTrinh!$C$1,0) = "Sản phẩm",1,0))</f>
        <v>1</v>
      </c>
      <c r="J24"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4"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4"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4"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4" s="242" cm="1">
        <f t="array" ref="N24">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4" s="15" t="str">
        <f xml:space="preserve">
IF(ISBLANK(Table_FormDonBan[[#This Row],[SKU]]),"",
IF(ISBLANK(Table_FormDonBan[[#This Row],[Chương trình]]),0,
IFERROR(
IF(
ISBLANK(
VLOOKUP(G24,Table_ChuongTrinh[[Mã Chương trình]:[Tỷ lệ CK]],Sheet_ChuongTrinh!$G$1,0)),
VLOOKUP(G24,Table_ChuongTrinh[[Mã Chương trình]:[Giá trị CK]],Sheet_ChuongTrinh!$H$1,0),
VLOOKUP(G24,Table_ChuongTrinh[[Mã Chương trình]:[Tỷ lệ CK]],Sheet_ChuongTrinh!$G$1,0)
*Table_FormDonBan[[#This Row],[Số lượng]]*Table_FormDonBan[[#This Row],[Giá trước VAT]]),0)))</f>
        <v/>
      </c>
      <c r="P24" s="15" t="str">
        <f>IF(ISBLANK(Table_FormDonBan[[#This Row],[SKU]]),"",
(Table_FormDonBan[[#This Row],[Số lượng]]*Table_FormDonBan[[#This Row],[Giá trước VAT]]-Table_FormDonBan[[#This Row],[Khuyến mãi]]))</f>
        <v/>
      </c>
      <c r="Q24" s="45" t="str">
        <f>IFERROR(
VLOOKUP(Table_FormDonBan[[#This Row],[SKU]],Table_SKU[[Mã SKU]:[Tỷ suất VAT]],Sheet_SKU!$K$1,0),"")</f>
        <v/>
      </c>
      <c r="R24" s="15" t="str">
        <f>IF(
ISBLANK(Table_FormDonBan[[#This Row],[SKU]]),"",Table_FormDonBan[[#This Row],[Thành tiền]]*Table_FormDonBan[[#This Row],[Tỷ suất VAT]])</f>
        <v/>
      </c>
      <c r="S24" s="246"/>
      <c r="T24" s="240"/>
      <c r="U24" s="240"/>
      <c r="V24" s="240"/>
      <c r="W24" s="240"/>
      <c r="X24" s="240"/>
      <c r="Y24" s="240"/>
      <c r="Z24" s="240"/>
      <c r="AA24" s="246"/>
      <c r="AB24" s="240"/>
      <c r="AC24" s="240"/>
      <c r="AD24" s="240"/>
      <c r="AE24" s="240"/>
      <c r="AF24" s="246"/>
      <c r="AG24" s="246"/>
      <c r="AH24" s="246"/>
      <c r="AI24" s="246"/>
      <c r="AJ24" s="240"/>
      <c r="AK24" s="240"/>
      <c r="AL24" s="240"/>
      <c r="AM24" s="240"/>
      <c r="AN24" s="240"/>
      <c r="AO24" s="240"/>
      <c r="AP24" s="240"/>
      <c r="AQ24" s="240"/>
      <c r="AR24" s="240"/>
      <c r="AS24" s="240"/>
      <c r="AT24" s="240"/>
      <c r="AU24" s="240"/>
      <c r="AV24" s="240"/>
      <c r="AW24" s="240"/>
      <c r="AX24" s="240"/>
      <c r="AY24" s="241"/>
      <c r="AZ24" s="240"/>
    </row>
    <row r="25" spans="1:52" ht="18" hidden="1" customHeight="1" outlineLevel="2" x14ac:dyDescent="0.3">
      <c r="A25" s="240"/>
      <c r="B25" s="7" t="str">
        <f>IF(Table_FormDonBan[[#This Row],[SKU]]&lt;&gt;"",COUNTIF(C$17:C25,"&lt;&gt;"""),"")</f>
        <v/>
      </c>
      <c r="C25" s="240"/>
      <c r="D25" s="7" t="str">
        <f xml:space="preserve">
IFERROR(VLOOKUP(Table_FormDonBan[[#This Row],[SKU]],Table_SKU[[Mã SKU]:[Mô tả]],Sheet_SKU!$H$1,0),"")</f>
        <v/>
      </c>
      <c r="E25" s="15"/>
      <c r="F25" s="15" t="str">
        <f>IFERROR(VLOOKUP(Table_FormDonBan[[#This Row],[SKU]],Table_SKU[[Mã SKU]:[Giá bán]],Sheet_SKU!$J$1,0),"")</f>
        <v/>
      </c>
      <c r="G25" s="242"/>
      <c r="H25" s="242">
        <f>Table_FormDonBan[[#This Row],[ĐK - Phân loại]]*Table_FormDonBan[[#This Row],[ĐK - Thời gian]]*Table_FormDonBan[[#This Row],[ĐK - Giá trị]]*Table_FormDonBan[[#This Row],[ĐK - Số lượng]]*Table_FormDonBan[[#This Row],[ĐK - Sinh nhật]]*Table_FormDonBan[[#This Row],[ĐK - Ngày mua cuối]]</f>
        <v>1</v>
      </c>
      <c r="I25" s="242">
        <f xml:space="preserve">
IF(ISBLANK(Table_FormDonBan[[#This Row],[Chương trình]]),1,
IF(VLOOKUP(Table_FormDonBan[[#This Row],[Chương trình]],Table_ChuongTrinh[[Mã Chương trình]:[Đối tượng CK]],Sheet_ChuongTrinh!$C$1,0) = "Sản phẩm",1,0))</f>
        <v>1</v>
      </c>
      <c r="J25"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5"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5"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5"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5" s="242" cm="1">
        <f t="array" ref="N25">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5" s="15" t="str">
        <f xml:space="preserve">
IF(ISBLANK(Table_FormDonBan[[#This Row],[SKU]]),"",
IF(ISBLANK(Table_FormDonBan[[#This Row],[Chương trình]]),0,
IFERROR(
IF(
ISBLANK(
VLOOKUP(G25,Table_ChuongTrinh[[Mã Chương trình]:[Tỷ lệ CK]],Sheet_ChuongTrinh!$G$1,0)),
VLOOKUP(G25,Table_ChuongTrinh[[Mã Chương trình]:[Giá trị CK]],Sheet_ChuongTrinh!$H$1,0),
VLOOKUP(G25,Table_ChuongTrinh[[Mã Chương trình]:[Tỷ lệ CK]],Sheet_ChuongTrinh!$G$1,0)
*Table_FormDonBan[[#This Row],[Số lượng]]*Table_FormDonBan[[#This Row],[Giá trước VAT]]),0)))</f>
        <v/>
      </c>
      <c r="P25" s="15" t="str">
        <f>IF(ISBLANK(Table_FormDonBan[[#This Row],[SKU]]),"",
(Table_FormDonBan[[#This Row],[Số lượng]]*Table_FormDonBan[[#This Row],[Giá trước VAT]]-Table_FormDonBan[[#This Row],[Khuyến mãi]]))</f>
        <v/>
      </c>
      <c r="Q25" s="45" t="str">
        <f>IFERROR(
VLOOKUP(Table_FormDonBan[[#This Row],[SKU]],Table_SKU[[Mã SKU]:[Tỷ suất VAT]],Sheet_SKU!$K$1,0),"")</f>
        <v/>
      </c>
      <c r="R25" s="15" t="str">
        <f>IF(
ISBLANK(Table_FormDonBan[[#This Row],[SKU]]),"",Table_FormDonBan[[#This Row],[Thành tiền]]*Table_FormDonBan[[#This Row],[Tỷ suất VAT]])</f>
        <v/>
      </c>
      <c r="S25" s="246"/>
      <c r="T25" s="240"/>
      <c r="U25" s="240"/>
      <c r="V25" s="240"/>
      <c r="W25" s="240"/>
      <c r="X25" s="240"/>
      <c r="Y25" s="240"/>
      <c r="Z25" s="240"/>
      <c r="AA25" s="246"/>
      <c r="AB25" s="240"/>
      <c r="AC25" s="240"/>
      <c r="AD25" s="240"/>
      <c r="AE25" s="240"/>
      <c r="AF25" s="246"/>
      <c r="AG25" s="246"/>
      <c r="AH25" s="246"/>
      <c r="AI25" s="246"/>
      <c r="AJ25" s="240"/>
      <c r="AK25" s="240"/>
      <c r="AL25" s="240"/>
      <c r="AM25" s="240"/>
      <c r="AN25" s="240"/>
      <c r="AO25" s="240"/>
      <c r="AP25" s="240"/>
      <c r="AQ25" s="240"/>
      <c r="AR25" s="240"/>
      <c r="AS25" s="240"/>
      <c r="AT25" s="240"/>
      <c r="AU25" s="240"/>
      <c r="AV25" s="240"/>
      <c r="AW25" s="240"/>
      <c r="AX25" s="240"/>
      <c r="AY25" s="241"/>
      <c r="AZ25" s="240"/>
    </row>
    <row r="26" spans="1:52" ht="18" hidden="1" customHeight="1" outlineLevel="2" x14ac:dyDescent="0.3">
      <c r="A26" s="240"/>
      <c r="B26" s="7" t="str">
        <f>IF(Table_FormDonBan[[#This Row],[SKU]]&lt;&gt;"",COUNTIF(C$17:C26,"&lt;&gt;"""),"")</f>
        <v/>
      </c>
      <c r="C26" s="240"/>
      <c r="D26" s="7" t="str">
        <f xml:space="preserve">
IFERROR(VLOOKUP(Table_FormDonBan[[#This Row],[SKU]],Table_SKU[[Mã SKU]:[Mô tả]],Sheet_SKU!$H$1,0),"")</f>
        <v/>
      </c>
      <c r="E26" s="15"/>
      <c r="F26" s="15" t="str">
        <f>IFERROR(VLOOKUP(Table_FormDonBan[[#This Row],[SKU]],Table_SKU[[Mã SKU]:[Giá bán]],Sheet_SKU!$J$1,0),"")</f>
        <v/>
      </c>
      <c r="G26" s="242"/>
      <c r="H26" s="242">
        <f>Table_FormDonBan[[#This Row],[ĐK - Phân loại]]*Table_FormDonBan[[#This Row],[ĐK - Thời gian]]*Table_FormDonBan[[#This Row],[ĐK - Giá trị]]*Table_FormDonBan[[#This Row],[ĐK - Số lượng]]*Table_FormDonBan[[#This Row],[ĐK - Sinh nhật]]*Table_FormDonBan[[#This Row],[ĐK - Ngày mua cuối]]</f>
        <v>1</v>
      </c>
      <c r="I26" s="242">
        <f xml:space="preserve">
IF(ISBLANK(Table_FormDonBan[[#This Row],[Chương trình]]),1,
IF(VLOOKUP(Table_FormDonBan[[#This Row],[Chương trình]],Table_ChuongTrinh[[Mã Chương trình]:[Đối tượng CK]],Sheet_ChuongTrinh!$C$1,0) = "Sản phẩm",1,0))</f>
        <v>1</v>
      </c>
      <c r="J26"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6"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6"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6"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6" s="242" cm="1">
        <f t="array" ref="N26">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6" s="15" t="str">
        <f xml:space="preserve">
IF(ISBLANK(Table_FormDonBan[[#This Row],[SKU]]),"",
IF(ISBLANK(Table_FormDonBan[[#This Row],[Chương trình]]),0,
IFERROR(
IF(
ISBLANK(
VLOOKUP(G26,Table_ChuongTrinh[[Mã Chương trình]:[Tỷ lệ CK]],Sheet_ChuongTrinh!$G$1,0)),
VLOOKUP(G26,Table_ChuongTrinh[[Mã Chương trình]:[Giá trị CK]],Sheet_ChuongTrinh!$H$1,0),
VLOOKUP(G26,Table_ChuongTrinh[[Mã Chương trình]:[Tỷ lệ CK]],Sheet_ChuongTrinh!$G$1,0)
*Table_FormDonBan[[#This Row],[Số lượng]]*Table_FormDonBan[[#This Row],[Giá trước VAT]]),0)))</f>
        <v/>
      </c>
      <c r="P26" s="15"/>
      <c r="Q26" s="45" t="str">
        <f>IFERROR(
VLOOKUP(Table_FormDonBan[[#This Row],[SKU]],Table_SKU[[Mã SKU]:[Tỷ suất VAT]],Sheet_SKU!$K$1,0),"")</f>
        <v/>
      </c>
      <c r="R26" s="15" t="str">
        <f>IF(
ISBLANK(Table_FormDonBan[[#This Row],[SKU]]),"",Table_FormDonBan[[#This Row],[Thành tiền]]*Table_FormDonBan[[#This Row],[Tỷ suất VAT]])</f>
        <v/>
      </c>
      <c r="S26" s="246"/>
      <c r="T26" s="240"/>
      <c r="U26" s="240"/>
      <c r="V26" s="240"/>
      <c r="W26" s="240"/>
      <c r="X26" s="240"/>
      <c r="Y26" s="240"/>
      <c r="Z26" s="240"/>
      <c r="AA26" s="246"/>
      <c r="AB26" s="240"/>
      <c r="AC26" s="240"/>
      <c r="AD26" s="240"/>
      <c r="AE26" s="240"/>
      <c r="AF26" s="246"/>
      <c r="AG26" s="246"/>
      <c r="AH26" s="246"/>
      <c r="AI26" s="246"/>
      <c r="AJ26" s="240"/>
      <c r="AK26" s="240"/>
      <c r="AL26" s="240"/>
      <c r="AM26" s="240"/>
      <c r="AN26" s="240"/>
      <c r="AO26" s="240"/>
      <c r="AP26" s="240"/>
      <c r="AQ26" s="240"/>
      <c r="AR26" s="240"/>
      <c r="AS26" s="240"/>
      <c r="AT26" s="240"/>
      <c r="AU26" s="240"/>
      <c r="AV26" s="240"/>
      <c r="AW26" s="240"/>
      <c r="AX26" s="240"/>
      <c r="AY26" s="241"/>
      <c r="AZ26" s="240"/>
    </row>
    <row r="27" spans="1:52" ht="18" hidden="1" customHeight="1" outlineLevel="2" x14ac:dyDescent="0.3">
      <c r="A27" s="240"/>
      <c r="B27" s="7" t="str">
        <f>IF(Table_FormDonBan[[#This Row],[SKU]]&lt;&gt;"",COUNTIF(C$17:C27,"&lt;&gt;"""),"")</f>
        <v/>
      </c>
      <c r="C27" s="240"/>
      <c r="D27" s="7" t="str">
        <f xml:space="preserve">
IFERROR(VLOOKUP(Table_FormDonBan[[#This Row],[SKU]],Table_SKU[[Mã SKU]:[Mô tả]],Sheet_SKU!$H$1,0),"")</f>
        <v/>
      </c>
      <c r="E27" s="15"/>
      <c r="F27" s="15" t="str">
        <f>IFERROR(VLOOKUP(Table_FormDonBan[[#This Row],[SKU]],Table_SKU[[Mã SKU]:[Giá bán]],Sheet_SKU!$J$1,0),"")</f>
        <v/>
      </c>
      <c r="G27" s="242"/>
      <c r="H27" s="242">
        <f>Table_FormDonBan[[#This Row],[ĐK - Phân loại]]*Table_FormDonBan[[#This Row],[ĐK - Thời gian]]*Table_FormDonBan[[#This Row],[ĐK - Giá trị]]*Table_FormDonBan[[#This Row],[ĐK - Số lượng]]*Table_FormDonBan[[#This Row],[ĐK - Sinh nhật]]*Table_FormDonBan[[#This Row],[ĐK - Ngày mua cuối]]</f>
        <v>1</v>
      </c>
      <c r="I27" s="242">
        <f xml:space="preserve">
IF(ISBLANK(Table_FormDonBan[[#This Row],[Chương trình]]),1,
IF(VLOOKUP(Table_FormDonBan[[#This Row],[Chương trình]],Table_ChuongTrinh[[Mã Chương trình]:[Đối tượng CK]],Sheet_ChuongTrinh!$C$1,0) = "Sản phẩm",1,0))</f>
        <v>1</v>
      </c>
      <c r="J27"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7"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7"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7"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7" s="242" cm="1">
        <f t="array" ref="N2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7" s="15" t="str">
        <f xml:space="preserve">
IF(ISBLANK(Table_FormDonBan[[#This Row],[SKU]]),"",
IF(ISBLANK(Table_FormDonBan[[#This Row],[Chương trình]]),0,
IFERROR(
IF(
ISBLANK(
VLOOKUP(G27,Table_ChuongTrinh[[Mã Chương trình]:[Tỷ lệ CK]],Sheet_ChuongTrinh!$G$1,0)),
VLOOKUP(G27,Table_ChuongTrinh[[Mã Chương trình]:[Giá trị CK]],Sheet_ChuongTrinh!$H$1,0),
VLOOKUP(G27,Table_ChuongTrinh[[Mã Chương trình]:[Tỷ lệ CK]],Sheet_ChuongTrinh!$G$1,0)
*Table_FormDonBan[[#This Row],[Số lượng]]*Table_FormDonBan[[#This Row],[Giá trước VAT]]),0)))</f>
        <v/>
      </c>
      <c r="P27" s="15" t="str">
        <f>IF(ISBLANK(Table_FormDonBan[[#This Row],[SKU]]),"",
(Table_FormDonBan[[#This Row],[Số lượng]]*Table_FormDonBan[[#This Row],[Giá trước VAT]]-Table_FormDonBan[[#This Row],[Khuyến mãi]]))</f>
        <v/>
      </c>
      <c r="Q27" s="45" t="str">
        <f>IFERROR(
VLOOKUP(Table_FormDonBan[[#This Row],[SKU]],Table_SKU[[Mã SKU]:[Tỷ suất VAT]],Sheet_SKU!$K$1,0),"")</f>
        <v/>
      </c>
      <c r="R27" s="15" t="str">
        <f>IF(
ISBLANK(Table_FormDonBan[[#This Row],[SKU]]),"",Table_FormDonBan[[#This Row],[Thành tiền]]*Table_FormDonBan[[#This Row],[Tỷ suất VAT]])</f>
        <v/>
      </c>
      <c r="S27" s="246"/>
      <c r="T27" s="240"/>
      <c r="U27" s="240"/>
      <c r="V27" s="240"/>
      <c r="W27" s="240"/>
      <c r="X27" s="240"/>
      <c r="Y27" s="240"/>
      <c r="Z27" s="240"/>
      <c r="AA27" s="246"/>
      <c r="AB27" s="240"/>
      <c r="AC27" s="240"/>
      <c r="AD27" s="240"/>
      <c r="AE27" s="240"/>
      <c r="AF27" s="246"/>
      <c r="AG27" s="246"/>
      <c r="AH27" s="246"/>
      <c r="AI27" s="246"/>
      <c r="AJ27" s="240"/>
      <c r="AK27" s="240"/>
      <c r="AL27" s="240"/>
      <c r="AM27" s="240"/>
      <c r="AN27" s="240"/>
      <c r="AO27" s="240"/>
      <c r="AP27" s="240"/>
      <c r="AQ27" s="240"/>
      <c r="AR27" s="240"/>
      <c r="AS27" s="240"/>
      <c r="AT27" s="240"/>
      <c r="AU27" s="240"/>
      <c r="AV27" s="240"/>
      <c r="AW27" s="240"/>
      <c r="AX27" s="240"/>
      <c r="AY27" s="241"/>
      <c r="AZ27" s="240"/>
    </row>
    <row r="28" spans="1:52" ht="18" hidden="1" customHeight="1" outlineLevel="2" x14ac:dyDescent="0.3">
      <c r="A28" s="240"/>
      <c r="B28" s="7" t="str">
        <f>IF(Table_FormDonBan[[#This Row],[SKU]]&lt;&gt;"",COUNTIF(C$17:C28,"&lt;&gt;"""),"")</f>
        <v/>
      </c>
      <c r="C28" s="240"/>
      <c r="D28" s="7" t="str">
        <f xml:space="preserve">
IFERROR(VLOOKUP(Table_FormDonBan[[#This Row],[SKU]],Table_SKU[[Mã SKU]:[Mô tả]],Sheet_SKU!$H$1,0),"")</f>
        <v/>
      </c>
      <c r="E28" s="15"/>
      <c r="F28" s="15" t="str">
        <f>IFERROR(VLOOKUP(Table_FormDonBan[[#This Row],[SKU]],Table_SKU[[Mã SKU]:[Giá bán]],Sheet_SKU!$J$1,0),"")</f>
        <v/>
      </c>
      <c r="G28" s="242"/>
      <c r="H28" s="242">
        <f>Table_FormDonBan[[#This Row],[ĐK - Phân loại]]*Table_FormDonBan[[#This Row],[ĐK - Thời gian]]*Table_FormDonBan[[#This Row],[ĐK - Giá trị]]*Table_FormDonBan[[#This Row],[ĐK - Số lượng]]*Table_FormDonBan[[#This Row],[ĐK - Sinh nhật]]*Table_FormDonBan[[#This Row],[ĐK - Ngày mua cuối]]</f>
        <v>1</v>
      </c>
      <c r="I28" s="242">
        <f xml:space="preserve">
IF(ISBLANK(Table_FormDonBan[[#This Row],[Chương trình]]),1,
IF(VLOOKUP(Table_FormDonBan[[#This Row],[Chương trình]],Table_ChuongTrinh[[Mã Chương trình]:[Đối tượng CK]],Sheet_ChuongTrinh!$C$1,0) = "Sản phẩm",1,0))</f>
        <v>1</v>
      </c>
      <c r="J28"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8"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8"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8"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8" s="242" cm="1">
        <f t="array" ref="N2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8" s="15" t="str">
        <f xml:space="preserve">
IF(ISBLANK(Table_FormDonBan[[#This Row],[SKU]]),"",
IF(ISBLANK(Table_FormDonBan[[#This Row],[Chương trình]]),0,
IFERROR(
IF(
ISBLANK(
VLOOKUP(G28,Table_ChuongTrinh[[Mã Chương trình]:[Tỷ lệ CK]],Sheet_ChuongTrinh!$G$1,0)),
VLOOKUP(G28,Table_ChuongTrinh[[Mã Chương trình]:[Giá trị CK]],Sheet_ChuongTrinh!$H$1,0),
VLOOKUP(G28,Table_ChuongTrinh[[Mã Chương trình]:[Tỷ lệ CK]],Sheet_ChuongTrinh!$G$1,0)
*Table_FormDonBan[[#This Row],[Số lượng]]*Table_FormDonBan[[#This Row],[Giá trước VAT]]),0)))</f>
        <v/>
      </c>
      <c r="P28" s="15" t="str">
        <f>IF(ISBLANK(Table_FormDonBan[[#This Row],[SKU]]),"",
(Table_FormDonBan[[#This Row],[Số lượng]]*Table_FormDonBan[[#This Row],[Giá trước VAT]]-Table_FormDonBan[[#This Row],[Khuyến mãi]]))</f>
        <v/>
      </c>
      <c r="Q28" s="45" t="str">
        <f>IFERROR(
VLOOKUP(Table_FormDonBan[[#This Row],[SKU]],Table_SKU[[Mã SKU]:[Tỷ suất VAT]],Sheet_SKU!$K$1,0),"")</f>
        <v/>
      </c>
      <c r="R28" s="15" t="str">
        <f>IF(
ISBLANK(Table_FormDonBan[[#This Row],[SKU]]),"",Table_FormDonBan[[#This Row],[Thành tiền]]*Table_FormDonBan[[#This Row],[Tỷ suất VAT]])</f>
        <v/>
      </c>
      <c r="S28" s="246"/>
      <c r="T28" s="240"/>
      <c r="U28" s="240"/>
      <c r="V28" s="240"/>
      <c r="W28" s="240"/>
      <c r="X28" s="240"/>
      <c r="Y28" s="240"/>
      <c r="Z28" s="240"/>
      <c r="AA28" s="246"/>
      <c r="AB28" s="240"/>
      <c r="AC28" s="240"/>
      <c r="AD28" s="240"/>
      <c r="AE28" s="240"/>
      <c r="AF28" s="246"/>
      <c r="AG28" s="246"/>
      <c r="AH28" s="246"/>
      <c r="AI28" s="246"/>
      <c r="AJ28" s="240"/>
      <c r="AK28" s="240"/>
      <c r="AL28" s="240"/>
      <c r="AM28" s="240"/>
      <c r="AN28" s="240"/>
      <c r="AO28" s="240"/>
      <c r="AP28" s="240"/>
      <c r="AQ28" s="240"/>
      <c r="AR28" s="240"/>
      <c r="AS28" s="240"/>
      <c r="AT28" s="240"/>
      <c r="AU28" s="240"/>
      <c r="AV28" s="240"/>
      <c r="AW28" s="240"/>
      <c r="AX28" s="240"/>
      <c r="AY28" s="241"/>
      <c r="AZ28" s="240"/>
    </row>
    <row r="29" spans="1:52" ht="18" hidden="1" customHeight="1" outlineLevel="2" x14ac:dyDescent="0.3">
      <c r="A29" s="240"/>
      <c r="B29" s="274"/>
      <c r="C29" s="274"/>
      <c r="D29" s="274"/>
      <c r="E29" s="274"/>
      <c r="F29" s="274"/>
      <c r="G29" s="274"/>
      <c r="H29" s="274"/>
      <c r="I29" s="274"/>
      <c r="J29" s="274"/>
      <c r="K29" s="274"/>
      <c r="L29" s="274"/>
      <c r="M29" s="274"/>
      <c r="N29" s="274"/>
      <c r="O29" s="274"/>
      <c r="P29" s="295"/>
      <c r="Q29" s="274"/>
      <c r="R29" s="274"/>
      <c r="S29" s="273"/>
      <c r="T29" s="246"/>
      <c r="U29" s="246"/>
      <c r="V29" s="240"/>
      <c r="W29" s="240"/>
      <c r="X29" s="240"/>
      <c r="Y29" s="240"/>
      <c r="Z29" s="240"/>
      <c r="AA29" s="240"/>
      <c r="AB29" s="246"/>
      <c r="AC29" s="240"/>
      <c r="AD29" s="240"/>
      <c r="AE29" s="240"/>
      <c r="AF29" s="240"/>
      <c r="AG29" s="246"/>
      <c r="AH29" s="246"/>
      <c r="AI29" s="246"/>
      <c r="AJ29" s="246"/>
      <c r="AK29" s="246"/>
      <c r="AL29" s="240"/>
      <c r="AM29" s="240"/>
      <c r="AN29" s="240"/>
      <c r="AO29" s="240"/>
      <c r="AP29" s="240"/>
      <c r="AQ29" s="240"/>
      <c r="AR29" s="240"/>
      <c r="AS29" s="240"/>
      <c r="AT29" s="240"/>
      <c r="AU29" s="240"/>
      <c r="AV29" s="240"/>
      <c r="AW29" s="240"/>
      <c r="AX29" s="240"/>
      <c r="AY29" s="240"/>
      <c r="AZ29" s="241"/>
    </row>
    <row r="30" spans="1:52" ht="18" hidden="1" customHeight="1" outlineLevel="1" x14ac:dyDescent="0.3">
      <c r="A30" s="240"/>
      <c r="B30" s="61" t="s">
        <v>539</v>
      </c>
      <c r="C30" s="285"/>
      <c r="D30" s="285"/>
      <c r="E30" s="286"/>
      <c r="F30" s="94" t="s">
        <v>729</v>
      </c>
      <c r="G30" s="274"/>
      <c r="H30" s="274"/>
      <c r="I30" s="274"/>
      <c r="J30" s="274"/>
      <c r="K30" s="274"/>
      <c r="L30" s="274"/>
      <c r="M30" s="274"/>
      <c r="N30" s="274"/>
      <c r="O30" s="274"/>
      <c r="P30" s="577" cm="1">
        <f t="array" ref="P30">IFERROR(
SUM(_xlfn._xlws.FILTER(Table_FormDonBan[Thành tiền],
(NOT(ISBLANK(Table_FormDonBan[SKU])))
)),0)</f>
        <v>0</v>
      </c>
      <c r="Q30" s="577"/>
      <c r="R30" s="274"/>
      <c r="S30" s="273"/>
      <c r="T30" s="246"/>
      <c r="U30" s="246"/>
      <c r="V30" s="240"/>
      <c r="W30" s="240"/>
      <c r="X30" s="240"/>
      <c r="Y30" s="240"/>
      <c r="Z30" s="240"/>
      <c r="AA30" s="240"/>
      <c r="AB30" s="246"/>
      <c r="AC30" s="240"/>
      <c r="AD30" s="240"/>
      <c r="AE30" s="240"/>
      <c r="AF30" s="240"/>
      <c r="AG30" s="246"/>
      <c r="AH30" s="246"/>
      <c r="AI30" s="246"/>
      <c r="AJ30" s="246"/>
      <c r="AK30" s="246"/>
      <c r="AL30" s="240"/>
      <c r="AM30" s="240"/>
      <c r="AN30" s="240"/>
      <c r="AO30" s="240"/>
      <c r="AP30" s="240"/>
      <c r="AQ30" s="240"/>
      <c r="AR30" s="240"/>
      <c r="AS30" s="240"/>
      <c r="AT30" s="240"/>
      <c r="AU30" s="240"/>
      <c r="AV30" s="240"/>
      <c r="AW30" s="240"/>
      <c r="AX30" s="240"/>
      <c r="AY30" s="240"/>
      <c r="AZ30" s="241"/>
    </row>
    <row r="31" spans="1:52" ht="18" hidden="1" customHeight="1" outlineLevel="2" x14ac:dyDescent="0.3">
      <c r="A31" s="240"/>
      <c r="B31" s="426"/>
      <c r="C31" s="274"/>
      <c r="D31" s="274"/>
      <c r="E31" s="289"/>
      <c r="F31" s="94" t="s">
        <v>915</v>
      </c>
      <c r="G31" s="274"/>
      <c r="H31" s="274"/>
      <c r="I31" s="274"/>
      <c r="J31" s="274"/>
      <c r="K31" s="274"/>
      <c r="L31" s="274"/>
      <c r="M31" s="274"/>
      <c r="N31" s="274"/>
      <c r="O31" s="274"/>
      <c r="P31" s="579" cm="1">
        <f t="array" ref="P31" xml:space="preserve">
IF(ISBLANK(KHThanThiet_HieuLuc),
MAX(0,
IFERROR(
SUM(_xlfn._xlws.FILTER(Table_DonBan[Điểm tích lũy],
(Table_DonBan[Ngày lập]&lt;=V45)*
(Table_DonBan[Mã Khách]=Y45)
)),0)
-IFERROR(
SUM(_xlfn._xlws.FILTER(Table_DonBan[Điểm sử dụng],
(Table_DonBan[Mã Khách]= Y45)
)),0)),
MAX(0,
IFERROR(
SUM(_xlfn._xlws.FILTER(Table_DonBan[Điểm tích lũy],
(Table_DonBan[Ngày lập]&lt;= V45)*
(Table_DonBan[Ngày lập]&gt;= V45-KHThanThiet_HieuLuc)*
(Table_DonBan[Mã Khách]=Y45 )
)),0)
-IFERROR(
SUM(_xlfn._xlws.FILTER(Table_DonBan[Điểm sử dụng],
(Table_DonBan[Ngày lập]&gt;= V45-KHThanThiet_HieuLuc)*
(Table_DonBan[Mã Khách]=Y45 )
)),0)
))</f>
        <v>0</v>
      </c>
      <c r="Q31" s="579"/>
      <c r="R31" s="274"/>
      <c r="S31" s="273"/>
      <c r="T31" s="246"/>
      <c r="U31" s="246"/>
      <c r="V31" s="240"/>
      <c r="W31" s="240"/>
      <c r="X31" s="240"/>
      <c r="Y31" s="240"/>
      <c r="Z31" s="240"/>
      <c r="AA31" s="240"/>
      <c r="AB31" s="246"/>
      <c r="AC31" s="240"/>
      <c r="AD31" s="240"/>
      <c r="AE31" s="240"/>
      <c r="AF31" s="240"/>
      <c r="AG31" s="246"/>
      <c r="AH31" s="246"/>
      <c r="AI31" s="246"/>
      <c r="AJ31" s="246"/>
      <c r="AK31" s="246"/>
      <c r="AL31" s="240"/>
      <c r="AM31" s="240"/>
      <c r="AN31" s="240"/>
      <c r="AO31" s="240"/>
      <c r="AP31" s="240"/>
      <c r="AQ31" s="240"/>
      <c r="AR31" s="240"/>
      <c r="AS31" s="240"/>
      <c r="AT31" s="240"/>
      <c r="AU31" s="240"/>
      <c r="AV31" s="240"/>
      <c r="AW31" s="240"/>
      <c r="AX31" s="240"/>
      <c r="AY31" s="240"/>
      <c r="AZ31" s="241"/>
    </row>
    <row r="32" spans="1:52" ht="18" hidden="1" customHeight="1" outlineLevel="2" x14ac:dyDescent="0.3">
      <c r="A32" s="240"/>
      <c r="B32" s="426"/>
      <c r="C32" s="274"/>
      <c r="D32" s="274"/>
      <c r="E32" s="289"/>
      <c r="F32" s="94" t="s">
        <v>916</v>
      </c>
      <c r="G32" s="274"/>
      <c r="H32" s="274"/>
      <c r="I32" s="274"/>
      <c r="J32" s="274"/>
      <c r="K32" s="274"/>
      <c r="L32" s="274"/>
      <c r="M32" s="274"/>
      <c r="N32" s="274"/>
      <c r="O32" s="274"/>
      <c r="P32" s="580"/>
      <c r="Q32" s="580"/>
      <c r="R32" s="274"/>
      <c r="S32" s="273"/>
      <c r="T32" s="246"/>
      <c r="U32" s="246"/>
      <c r="V32" s="240"/>
      <c r="W32" s="240"/>
      <c r="X32" s="240"/>
      <c r="Y32" s="240"/>
      <c r="Z32" s="240"/>
      <c r="AA32" s="240"/>
      <c r="AB32" s="246"/>
      <c r="AC32" s="240"/>
      <c r="AD32" s="240"/>
      <c r="AE32" s="240"/>
      <c r="AF32" s="240"/>
      <c r="AG32" s="246"/>
      <c r="AH32" s="246"/>
      <c r="AI32" s="246"/>
      <c r="AJ32" s="246"/>
      <c r="AK32" s="246"/>
      <c r="AL32" s="240"/>
      <c r="AM32" s="240"/>
      <c r="AN32" s="240"/>
      <c r="AO32" s="240"/>
      <c r="AP32" s="240"/>
      <c r="AQ32" s="240"/>
      <c r="AR32" s="240"/>
      <c r="AS32" s="240"/>
      <c r="AT32" s="240"/>
      <c r="AU32" s="240"/>
      <c r="AV32" s="240"/>
      <c r="AW32" s="240"/>
      <c r="AX32" s="240"/>
      <c r="AY32" s="240"/>
      <c r="AZ32" s="241"/>
    </row>
    <row r="33" spans="1:52" ht="18" hidden="1" customHeight="1" outlineLevel="2" x14ac:dyDescent="0.3">
      <c r="A33" s="240"/>
      <c r="B33" s="288"/>
      <c r="C33" s="274"/>
      <c r="D33" s="274"/>
      <c r="E33" s="289"/>
      <c r="F33" s="94" t="s">
        <v>236</v>
      </c>
      <c r="G33" s="274"/>
      <c r="H33" s="274">
        <f>I33*J33*K33*L33*M33*N33</f>
        <v>1</v>
      </c>
      <c r="I33" s="274">
        <f xml:space="preserve">
IF(ISBLANK(P33),1,
IF(VLOOKUP(P33,Table_ChuongTrinh[[Mã Chương trình]:[Đối tượng CK]],Sheet_ChuongTrinh!$C$1,0) = "Đơn hàng",1,0))</f>
        <v>1</v>
      </c>
      <c r="J33" s="274">
        <f>IF(ISBLANK(P33),
1,
IF(ISBLANK(VLOOKUP(P33,Table_ChuongTrinh[],Sheet_ChuongTrinh!$E$1,0)),
1,
IF($P$5&gt;= VLOOKUP(P33,Table_ChuongTrinh[],Sheet_ChuongTrinh!$E$1,0),1,
0)))
*IF(ISBLANK(P33),
1,
IF(ISBLANK(VLOOKUP(P33,Table_ChuongTrinh[],Sheet_ChuongTrinh!$F$1,0)),
1,
IF($P$5&lt; VLOOKUP(P33,Table_ChuongTrinh[],Sheet_ChuongTrinh!$F$1,0),
1,
0)))</f>
        <v>1</v>
      </c>
      <c r="K33" s="274">
        <f>IF(ISBLANK(P33),
1,
IF(ISBLANK(VLOOKUP(P33,Table_ChuongTrinh[],Sheet_ChuongTrinh!$J$1,0)),
1,
IF(P30&gt;= VLOOKUP(P33,Table_ChuongTrinh[],Sheet_ChuongTrinh!$J$1,0),
1,
0)))</f>
        <v>1</v>
      </c>
      <c r="L33" s="274">
        <f>IF(ISBLANK(P33),
1,
IF(ISBLANK(VLOOKUP(P33,Table_ChuongTrinh[],Sheet_ChuongTrinh!$I$1,0)),
1,
IF(COUNTIF(Table_DonBan[Chương trình],P33)+1
&lt;= VLOOKUP(P33,Table_ChuongTrinh[],Sheet_ChuongTrinh!$I$1,0),
1,
0)))</f>
        <v>1</v>
      </c>
      <c r="M33" s="274">
        <f>IF(ISBLANK( $P$33), 1,
IF(ISBLANK(VLOOKUP( $P$33,Table_ChuongTrinh[],COUNTA(Table_ChuongTrinh[[#Headers],[Mã Chương trình]:[Sinh nhật]]),0)), 1,
IF(VLOOKUP( $P$33,Table_ChuongTrinh[],COUNTA(Table_ChuongTrinh[[#Headers],[Mã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33" s="274" cm="1">
        <f t="array" ref="N33">IF(ISBLANK($P$33 ), 1,
IF(ISBLANK(VLOOKUP($P$33,Table_ChuongTrinh[],COUNTA(Table_ChuongTrinh[[#Headers],[Mã Chương trình]:[Ngày mua cuối]]),0)), 1,
IF(VLOOKUP($P$33,Table_ChuongTrinh[],COUNTA(Table_ChuongTrinh[[#Headers],[Mã Chương trình]:[Ngày mua cuối]]),0)&lt;=
IFERROR($P$5   -
MAX(_xlfn._xlws.FILTER(Table_DonBan[Ngày lập],
(Table_DonBan[Mã Khách] = $C$3)*
(Table_DonBan[Ngày lập] &lt;= $P$5)
)),0),1,0)))</f>
        <v>1</v>
      </c>
      <c r="O33" s="274"/>
      <c r="P33" s="578"/>
      <c r="Q33" s="578"/>
      <c r="R33" s="274"/>
      <c r="S33" s="273"/>
      <c r="T33" s="246"/>
      <c r="U33" s="246"/>
      <c r="V33" s="240"/>
      <c r="W33" s="240"/>
      <c r="X33" s="240"/>
      <c r="Y33" s="240"/>
      <c r="Z33" s="240"/>
      <c r="AA33" s="240"/>
      <c r="AB33" s="246"/>
      <c r="AC33" s="240"/>
      <c r="AD33" s="240"/>
      <c r="AE33" s="240"/>
      <c r="AF33" s="240"/>
      <c r="AG33" s="246"/>
      <c r="AH33" s="246"/>
      <c r="AI33" s="246"/>
      <c r="AJ33" s="246"/>
      <c r="AK33" s="246"/>
      <c r="AL33" s="240"/>
      <c r="AM33" s="240"/>
      <c r="AN33" s="240"/>
      <c r="AO33" s="240"/>
      <c r="AP33" s="240"/>
      <c r="AQ33" s="240"/>
      <c r="AR33" s="240"/>
      <c r="AS33" s="240"/>
      <c r="AT33" s="240"/>
      <c r="AU33" s="240"/>
      <c r="AV33" s="240"/>
      <c r="AW33" s="240"/>
      <c r="AX33" s="240"/>
      <c r="AY33" s="240"/>
      <c r="AZ33" s="241"/>
    </row>
    <row r="34" spans="1:52" ht="18" hidden="1" customHeight="1" outlineLevel="1" x14ac:dyDescent="0.3">
      <c r="A34" s="240"/>
      <c r="B34" s="288"/>
      <c r="C34" s="274"/>
      <c r="D34" s="274"/>
      <c r="E34" s="289"/>
      <c r="F34" s="94" t="s">
        <v>730</v>
      </c>
      <c r="G34" s="274"/>
      <c r="H34" s="274"/>
      <c r="I34" s="274"/>
      <c r="J34" s="274"/>
      <c r="K34" s="274"/>
      <c r="L34" s="274"/>
      <c r="M34" s="274"/>
      <c r="N34" s="274"/>
      <c r="O34" s="274"/>
      <c r="P34" s="579">
        <f xml:space="preserve">
IF(ISBLANK(P33),0,
IFERROR(
IF(
ISBLANK(
VLOOKUP(P33,Table_ChuongTrinh[[Mã Chương trình]:[Tỷ lệ CK]],Sheet_ChuongTrinh!$G$1,0)),
VLOOKUP(P33,Table_ChuongTrinh[[Mã Chương trình]:[Giá trị CK]],Sheet_ChuongTrinh!$H$1,0),
VLOOKUP(P33,Table_ChuongTrinh[[Mã Chương trình]:[Tỷ lệ CK]],Sheet_ChuongTrinh!$G$1,0)
*P30),0))+P31</f>
        <v>0</v>
      </c>
      <c r="Q34" s="579"/>
      <c r="R34" s="274"/>
      <c r="S34" s="273"/>
      <c r="T34" s="246"/>
      <c r="U34" s="246"/>
      <c r="V34" s="240"/>
      <c r="W34" s="240"/>
      <c r="X34" s="240"/>
      <c r="Y34" s="240"/>
      <c r="Z34" s="240"/>
      <c r="AA34" s="240"/>
      <c r="AB34" s="246"/>
      <c r="AC34" s="240"/>
      <c r="AD34" s="240"/>
      <c r="AE34" s="240"/>
      <c r="AF34" s="240"/>
      <c r="AG34" s="246"/>
      <c r="AH34" s="246"/>
      <c r="AI34" s="246"/>
      <c r="AJ34" s="246"/>
      <c r="AK34" s="246"/>
      <c r="AL34" s="240"/>
      <c r="AM34" s="240"/>
      <c r="AN34" s="240"/>
      <c r="AO34" s="240"/>
      <c r="AP34" s="240"/>
      <c r="AQ34" s="240"/>
      <c r="AR34" s="240"/>
      <c r="AS34" s="240"/>
      <c r="AT34" s="240"/>
      <c r="AU34" s="240"/>
      <c r="AV34" s="240"/>
      <c r="AW34" s="240"/>
      <c r="AX34" s="240"/>
      <c r="AY34" s="240"/>
      <c r="AZ34" s="241"/>
    </row>
    <row r="35" spans="1:52" ht="18" hidden="1" customHeight="1" outlineLevel="1" x14ac:dyDescent="0.3">
      <c r="A35" s="240"/>
      <c r="B35" s="288"/>
      <c r="C35" s="274"/>
      <c r="D35" s="274"/>
      <c r="E35" s="289"/>
      <c r="F35" s="94" t="s">
        <v>731</v>
      </c>
      <c r="G35" s="274"/>
      <c r="H35" s="274"/>
      <c r="I35" s="274"/>
      <c r="J35" s="274"/>
      <c r="K35" s="274"/>
      <c r="L35" s="274"/>
      <c r="M35" s="274"/>
      <c r="N35" s="274"/>
      <c r="O35" s="274"/>
      <c r="P35" s="579" cm="1">
        <f t="array" ref="P35" xml:space="preserve">
IFERROR(
IFERROR(
SUM(_xlfn._xlws.FILTER(Table_FormDonBan[VAT],
(NOT(ISBLANK(Table_FormDonBan[SKU])))
)),0)
-P34*
IFERROR(
SUM(_xlfn._xlws.FILTER(Table_FormDonBan[VAT],
(NOT(ISBLANK(Table_FormDonBan[SKU])))
)),0)/P30,0)</f>
        <v>0</v>
      </c>
      <c r="Q35" s="579"/>
      <c r="R35" s="240"/>
      <c r="S35" s="273"/>
      <c r="T35" s="246"/>
      <c r="U35" s="246"/>
      <c r="V35" s="240"/>
      <c r="W35" s="240"/>
      <c r="X35" s="240"/>
      <c r="Y35" s="240"/>
      <c r="Z35" s="240"/>
      <c r="AA35" s="240"/>
      <c r="AB35" s="246"/>
      <c r="AC35" s="240"/>
      <c r="AD35" s="240"/>
      <c r="AE35" s="240"/>
      <c r="AF35" s="240"/>
      <c r="AG35" s="246"/>
      <c r="AH35" s="246"/>
      <c r="AI35" s="246"/>
      <c r="AJ35" s="246"/>
      <c r="AK35" s="246"/>
      <c r="AL35" s="240"/>
      <c r="AM35" s="240"/>
      <c r="AN35" s="240"/>
      <c r="AO35" s="240"/>
      <c r="AP35" s="240"/>
      <c r="AQ35" s="240"/>
      <c r="AR35" s="240"/>
      <c r="AS35" s="240"/>
      <c r="AT35" s="240"/>
      <c r="AU35" s="240"/>
      <c r="AV35" s="240"/>
      <c r="AW35" s="240"/>
      <c r="AX35" s="240"/>
      <c r="AY35" s="240"/>
      <c r="AZ35" s="241"/>
    </row>
    <row r="36" spans="1:52" ht="18" hidden="1" customHeight="1" outlineLevel="1" x14ac:dyDescent="0.3">
      <c r="A36" s="240"/>
      <c r="B36" s="290"/>
      <c r="C36" s="291"/>
      <c r="D36" s="291"/>
      <c r="E36" s="292"/>
      <c r="F36" s="575" t="s">
        <v>732</v>
      </c>
      <c r="G36" s="576"/>
      <c r="H36" s="576"/>
      <c r="I36" s="576"/>
      <c r="J36" s="576"/>
      <c r="K36" s="576"/>
      <c r="L36" s="576"/>
      <c r="M36" s="576"/>
      <c r="N36" s="576"/>
      <c r="O36" s="576"/>
      <c r="P36" s="574">
        <f>+P30-P34+P35</f>
        <v>0</v>
      </c>
      <c r="Q36" s="574"/>
      <c r="R36" s="293"/>
      <c r="S36" s="273"/>
      <c r="T36" s="246"/>
      <c r="U36" s="246"/>
      <c r="V36" s="240"/>
      <c r="W36" s="240"/>
      <c r="X36" s="240"/>
      <c r="Y36" s="240"/>
      <c r="Z36" s="240"/>
      <c r="AA36" s="240"/>
      <c r="AB36" s="246"/>
      <c r="AC36" s="240"/>
      <c r="AD36" s="240"/>
      <c r="AE36" s="240"/>
      <c r="AF36" s="240"/>
      <c r="AG36" s="246"/>
      <c r="AH36" s="246"/>
      <c r="AI36" s="246"/>
      <c r="AJ36" s="246"/>
      <c r="AK36" s="246"/>
      <c r="AL36" s="240"/>
      <c r="AM36" s="240"/>
      <c r="AN36" s="240"/>
      <c r="AO36" s="240"/>
      <c r="AP36" s="240"/>
      <c r="AQ36" s="240"/>
      <c r="AR36" s="240"/>
      <c r="AS36" s="240"/>
      <c r="AT36" s="240"/>
      <c r="AU36" s="240"/>
      <c r="AV36" s="240"/>
      <c r="AW36" s="240"/>
      <c r="AX36" s="240"/>
      <c r="AY36" s="240"/>
      <c r="AZ36" s="241"/>
    </row>
    <row r="37" spans="1:52" ht="18" hidden="1" customHeight="1" outlineLevel="1" x14ac:dyDescent="0.3">
      <c r="A37" s="240"/>
      <c r="B37" s="274"/>
      <c r="C37" s="274"/>
      <c r="D37" s="274"/>
      <c r="E37" s="274"/>
      <c r="F37" s="274"/>
      <c r="G37" s="274"/>
      <c r="H37" s="274"/>
      <c r="I37" s="274"/>
      <c r="J37" s="274"/>
      <c r="K37" s="274"/>
      <c r="L37" s="274"/>
      <c r="M37" s="274"/>
      <c r="N37" s="274"/>
      <c r="O37" s="274"/>
      <c r="P37" s="295"/>
      <c r="Q37" s="274"/>
      <c r="R37" s="274"/>
      <c r="S37" s="273"/>
      <c r="T37" s="246"/>
      <c r="U37" s="246"/>
      <c r="V37" s="240"/>
      <c r="W37" s="240"/>
      <c r="X37" s="240"/>
      <c r="Y37" s="240"/>
      <c r="Z37" s="240"/>
      <c r="AA37" s="240"/>
      <c r="AB37" s="246"/>
      <c r="AC37" s="240"/>
      <c r="AD37" s="240"/>
      <c r="AE37" s="240"/>
      <c r="AF37" s="240"/>
      <c r="AG37" s="246"/>
      <c r="AH37" s="246"/>
      <c r="AI37" s="246"/>
      <c r="AJ37" s="246"/>
      <c r="AK37" s="246"/>
      <c r="AL37" s="240"/>
      <c r="AM37" s="240"/>
      <c r="AN37" s="240"/>
      <c r="AO37" s="240"/>
      <c r="AP37" s="240"/>
      <c r="AQ37" s="240"/>
      <c r="AR37" s="240"/>
      <c r="AS37" s="240"/>
      <c r="AT37" s="240"/>
      <c r="AU37" s="240"/>
      <c r="AV37" s="240"/>
      <c r="AW37" s="240"/>
      <c r="AX37" s="240"/>
      <c r="AY37" s="240"/>
      <c r="AZ37" s="241"/>
    </row>
    <row r="38" spans="1:52" ht="18" hidden="1" customHeight="1" outlineLevel="1" x14ac:dyDescent="0.3">
      <c r="A38" s="240"/>
      <c r="B38" s="274"/>
      <c r="C38" s="274"/>
      <c r="D38" s="274"/>
      <c r="E38" s="274"/>
      <c r="F38" s="240"/>
      <c r="G38" s="309"/>
      <c r="H38" s="309"/>
      <c r="I38" s="309"/>
      <c r="J38" s="309"/>
      <c r="K38" s="309"/>
      <c r="L38" s="309"/>
      <c r="M38" s="309"/>
      <c r="N38" s="309"/>
      <c r="O38" s="562" t="str">
        <f>B1</f>
        <v>Công ty ABC XYZ</v>
      </c>
      <c r="P38" s="563"/>
      <c r="Q38" s="563"/>
      <c r="R38" s="309"/>
      <c r="S38" s="273"/>
      <c r="T38" s="246"/>
      <c r="U38" s="246"/>
      <c r="V38" s="240"/>
      <c r="W38" s="240"/>
      <c r="X38" s="240"/>
      <c r="Y38" s="240"/>
      <c r="Z38" s="240"/>
      <c r="AA38" s="240"/>
      <c r="AB38" s="246"/>
      <c r="AC38" s="240"/>
      <c r="AD38" s="240"/>
      <c r="AE38" s="240"/>
      <c r="AF38" s="240"/>
      <c r="AG38" s="246"/>
      <c r="AH38" s="246"/>
      <c r="AI38" s="246"/>
      <c r="AJ38" s="246"/>
      <c r="AK38" s="246"/>
      <c r="AL38" s="240"/>
      <c r="AM38" s="240"/>
      <c r="AN38" s="240"/>
      <c r="AO38" s="240"/>
      <c r="AP38" s="240"/>
      <c r="AQ38" s="240"/>
      <c r="AR38" s="240"/>
      <c r="AS38" s="240"/>
      <c r="AT38" s="240"/>
      <c r="AU38" s="240"/>
      <c r="AV38" s="240"/>
      <c r="AW38" s="240"/>
      <c r="AX38" s="240"/>
      <c r="AY38" s="240"/>
      <c r="AZ38" s="241"/>
    </row>
    <row r="39" spans="1:52" ht="18" hidden="1" customHeight="1" outlineLevel="1" x14ac:dyDescent="0.3">
      <c r="A39" s="240"/>
      <c r="B39" s="274"/>
      <c r="C39" s="274"/>
      <c r="D39" s="274"/>
      <c r="E39" s="274"/>
      <c r="F39" s="240"/>
      <c r="G39" s="309"/>
      <c r="H39" s="309"/>
      <c r="I39" s="309"/>
      <c r="J39" s="309"/>
      <c r="K39" s="309"/>
      <c r="L39" s="309"/>
      <c r="M39" s="309"/>
      <c r="N39" s="309"/>
      <c r="O39" s="562" t="s">
        <v>733</v>
      </c>
      <c r="P39" s="563"/>
      <c r="Q39" s="563"/>
      <c r="R39" s="309"/>
      <c r="S39" s="273"/>
      <c r="T39" s="246"/>
      <c r="U39" s="246"/>
      <c r="V39" s="240"/>
      <c r="W39" s="240"/>
      <c r="X39" s="240"/>
      <c r="Y39" s="240"/>
      <c r="Z39" s="240"/>
      <c r="AA39" s="240"/>
      <c r="AB39" s="246"/>
      <c r="AC39" s="240"/>
      <c r="AD39" s="240"/>
      <c r="AE39" s="240"/>
      <c r="AF39" s="240"/>
      <c r="AG39" s="246"/>
      <c r="AH39" s="246"/>
      <c r="AI39" s="246"/>
      <c r="AJ39" s="246"/>
      <c r="AK39" s="246"/>
      <c r="AL39" s="240"/>
      <c r="AM39" s="240"/>
      <c r="AN39" s="240"/>
      <c r="AO39" s="240"/>
      <c r="AP39" s="240"/>
      <c r="AQ39" s="240"/>
      <c r="AR39" s="240"/>
      <c r="AS39" s="240"/>
      <c r="AT39" s="240"/>
      <c r="AU39" s="240"/>
      <c r="AV39" s="240"/>
      <c r="AW39" s="240"/>
      <c r="AX39" s="240"/>
      <c r="AY39" s="240"/>
      <c r="AZ39" s="241"/>
    </row>
    <row r="40" spans="1:52" ht="18" hidden="1" customHeight="1" outlineLevel="1" x14ac:dyDescent="0.3">
      <c r="A40" s="240"/>
      <c r="B40" s="274"/>
      <c r="C40" s="274"/>
      <c r="D40" s="274"/>
      <c r="E40" s="274"/>
      <c r="F40" s="240"/>
      <c r="G40" s="309"/>
      <c r="H40" s="309"/>
      <c r="I40" s="309"/>
      <c r="J40" s="309"/>
      <c r="K40" s="309"/>
      <c r="L40" s="309"/>
      <c r="M40" s="309"/>
      <c r="N40" s="309"/>
      <c r="O40" s="560" t="str">
        <f>IFERROR(VLOOKUP(P8,Table_NhanVien[#All],Sheet_CauTruc!$T$1,0),"")</f>
        <v/>
      </c>
      <c r="P40" s="561"/>
      <c r="Q40" s="561"/>
      <c r="R40" s="309"/>
      <c r="S40" s="273"/>
      <c r="T40" s="246"/>
      <c r="U40" s="246"/>
      <c r="V40" s="240"/>
      <c r="W40" s="240"/>
      <c r="X40" s="240"/>
      <c r="Y40" s="240"/>
      <c r="Z40" s="240"/>
      <c r="AA40" s="240"/>
      <c r="AB40" s="246"/>
      <c r="AC40" s="240"/>
      <c r="AD40" s="240"/>
      <c r="AE40" s="240"/>
      <c r="AF40" s="240"/>
      <c r="AG40" s="246"/>
      <c r="AH40" s="246"/>
      <c r="AI40" s="246"/>
      <c r="AJ40" s="246"/>
      <c r="AK40" s="246"/>
      <c r="AL40" s="240"/>
      <c r="AM40" s="240"/>
      <c r="AN40" s="240"/>
      <c r="AO40" s="240"/>
      <c r="AP40" s="240"/>
      <c r="AQ40" s="240"/>
      <c r="AR40" s="240"/>
      <c r="AS40" s="240"/>
      <c r="AT40" s="240"/>
      <c r="AU40" s="240"/>
      <c r="AV40" s="240"/>
      <c r="AW40" s="240"/>
      <c r="AX40" s="240"/>
      <c r="AY40" s="240"/>
      <c r="AZ40" s="241"/>
    </row>
    <row r="41" spans="1:52" ht="18" hidden="1" customHeight="1" outlineLevel="1" x14ac:dyDescent="0.3">
      <c r="A41" s="240"/>
      <c r="B41" s="274"/>
      <c r="C41" s="274"/>
      <c r="D41" s="274"/>
      <c r="E41" s="274"/>
      <c r="F41" s="240"/>
      <c r="G41" s="309"/>
      <c r="H41" s="309"/>
      <c r="I41" s="309"/>
      <c r="J41" s="309"/>
      <c r="K41" s="309"/>
      <c r="L41" s="309"/>
      <c r="M41" s="309"/>
      <c r="N41" s="309"/>
      <c r="O41" s="294"/>
      <c r="P41" s="294"/>
      <c r="Q41" s="294"/>
      <c r="R41" s="309"/>
      <c r="S41" s="273"/>
      <c r="T41" s="246"/>
      <c r="U41" s="246"/>
      <c r="V41" s="240"/>
      <c r="W41" s="240"/>
      <c r="X41" s="240"/>
      <c r="Y41" s="240"/>
      <c r="Z41" s="240"/>
      <c r="AA41" s="240"/>
      <c r="AB41" s="246"/>
      <c r="AC41" s="240"/>
      <c r="AD41" s="240"/>
      <c r="AE41" s="240"/>
      <c r="AF41" s="240"/>
      <c r="AG41" s="246"/>
      <c r="AH41" s="246"/>
      <c r="AI41" s="246"/>
      <c r="AJ41" s="246"/>
      <c r="AK41" s="246"/>
      <c r="AL41" s="240"/>
      <c r="AM41" s="240"/>
      <c r="AN41" s="240"/>
      <c r="AO41" s="240"/>
      <c r="AP41" s="240"/>
      <c r="AQ41" s="240"/>
      <c r="AR41" s="240"/>
      <c r="AS41" s="240"/>
      <c r="AT41" s="240"/>
      <c r="AU41" s="240"/>
      <c r="AV41" s="240"/>
      <c r="AW41" s="240"/>
      <c r="AX41" s="240"/>
      <c r="AY41" s="240"/>
      <c r="AZ41" s="241"/>
    </row>
    <row r="42" spans="1:52" ht="18" hidden="1" customHeight="1" outlineLevel="1" x14ac:dyDescent="0.3">
      <c r="A42" s="240"/>
      <c r="B42" s="274"/>
      <c r="C42" s="274"/>
      <c r="D42" s="274"/>
      <c r="E42" s="274"/>
      <c r="F42" s="240"/>
      <c r="G42" s="274"/>
      <c r="H42" s="274"/>
      <c r="I42" s="274"/>
      <c r="J42" s="274"/>
      <c r="K42" s="274"/>
      <c r="L42" s="274"/>
      <c r="M42" s="274"/>
      <c r="N42" s="274"/>
      <c r="O42" s="274"/>
      <c r="P42" s="274"/>
      <c r="Q42" s="274"/>
      <c r="R42" s="274"/>
      <c r="S42" s="273"/>
      <c r="T42" s="246"/>
      <c r="U42" s="246"/>
      <c r="V42" s="240"/>
      <c r="W42" s="240"/>
      <c r="X42" s="240"/>
      <c r="Y42" s="240"/>
      <c r="Z42" s="240"/>
      <c r="AA42" s="240"/>
      <c r="AB42" s="246"/>
      <c r="AC42" s="240"/>
      <c r="AD42" s="240"/>
      <c r="AE42" s="240"/>
      <c r="AF42" s="240"/>
      <c r="AG42" s="246"/>
      <c r="AH42" s="246"/>
      <c r="AI42" s="246"/>
      <c r="AJ42" s="246"/>
      <c r="AK42" s="246"/>
      <c r="AL42" s="240"/>
      <c r="AM42" s="240"/>
      <c r="AN42" s="240"/>
      <c r="AO42" s="240"/>
      <c r="AP42" s="240"/>
      <c r="AQ42" s="240"/>
      <c r="AR42" s="240"/>
      <c r="AS42" s="240"/>
      <c r="AT42" s="240"/>
      <c r="AU42" s="240"/>
      <c r="AV42" s="240"/>
      <c r="AW42" s="240"/>
      <c r="AX42" s="240"/>
      <c r="AY42" s="240"/>
      <c r="AZ42" s="241"/>
    </row>
    <row r="43" spans="1:52" ht="18" hidden="1" customHeight="1" outlineLevel="1" x14ac:dyDescent="0.3">
      <c r="A43" s="240"/>
      <c r="B43" s="274"/>
      <c r="C43" s="274"/>
      <c r="D43" s="274"/>
      <c r="E43" s="274"/>
      <c r="F43" s="240"/>
      <c r="G43" s="274"/>
      <c r="H43" s="274"/>
      <c r="I43" s="274"/>
      <c r="J43" s="274"/>
      <c r="K43" s="274"/>
      <c r="L43" s="274"/>
      <c r="M43" s="274"/>
      <c r="N43" s="274"/>
      <c r="O43" s="295"/>
      <c r="P43" s="295"/>
      <c r="Q43" s="295"/>
      <c r="R43" s="274"/>
      <c r="S43" s="273"/>
      <c r="T43" s="246"/>
      <c r="U43" s="246"/>
      <c r="V43" s="240"/>
      <c r="W43" s="240"/>
      <c r="X43" s="240"/>
      <c r="Y43" s="240"/>
      <c r="Z43" s="240"/>
      <c r="AA43" s="240"/>
      <c r="AB43" s="246"/>
      <c r="AC43" s="240"/>
      <c r="AD43" s="240"/>
      <c r="AE43" s="240"/>
      <c r="AF43" s="240"/>
      <c r="AG43" s="246"/>
      <c r="AH43" s="246"/>
      <c r="AI43" s="246"/>
      <c r="AJ43" s="246"/>
      <c r="AK43" s="246"/>
      <c r="AL43" s="240"/>
      <c r="AM43" s="240"/>
      <c r="AN43" s="240"/>
      <c r="AO43" s="240"/>
      <c r="AP43" s="240"/>
      <c r="AQ43" s="240"/>
      <c r="AR43" s="240"/>
      <c r="AS43" s="240"/>
      <c r="AT43" s="240"/>
      <c r="AU43" s="240"/>
      <c r="AV43" s="240"/>
      <c r="AW43" s="240"/>
      <c r="AX43" s="240"/>
      <c r="AY43" s="240"/>
      <c r="AZ43" s="241"/>
    </row>
    <row r="44" spans="1:52" ht="18" customHeight="1" collapsed="1" x14ac:dyDescent="0.3">
      <c r="A44" s="240"/>
      <c r="B44" s="274"/>
      <c r="C44" s="274"/>
      <c r="D44" s="274"/>
      <c r="E44" s="274"/>
      <c r="F44" s="274"/>
      <c r="G44" s="274"/>
      <c r="H44" s="274"/>
      <c r="I44" s="274"/>
      <c r="J44" s="274"/>
      <c r="K44" s="274"/>
      <c r="L44" s="274"/>
      <c r="M44" s="274"/>
      <c r="N44" s="274"/>
      <c r="O44" s="274"/>
      <c r="P44" s="274"/>
      <c r="Q44" s="274"/>
      <c r="R44" s="274"/>
      <c r="S44" s="273"/>
      <c r="T44" s="299">
        <v>0</v>
      </c>
      <c r="U44" s="299">
        <f t="shared" ref="U44:AB44" si="0">+T44+1</f>
        <v>1</v>
      </c>
      <c r="V44" s="299">
        <f t="shared" si="0"/>
        <v>2</v>
      </c>
      <c r="W44" s="299"/>
      <c r="X44" s="299"/>
      <c r="Y44" s="299">
        <f>+V44+1</f>
        <v>3</v>
      </c>
      <c r="Z44" s="299">
        <f t="shared" si="0"/>
        <v>4</v>
      </c>
      <c r="AA44" s="299">
        <f t="shared" si="0"/>
        <v>5</v>
      </c>
      <c r="AB44" s="299">
        <f t="shared" si="0"/>
        <v>6</v>
      </c>
      <c r="AC44" s="299">
        <f t="shared" ref="AC44:AL44" si="1">+AB44+1</f>
        <v>7</v>
      </c>
      <c r="AD44" s="299">
        <f t="shared" si="1"/>
        <v>8</v>
      </c>
      <c r="AE44" s="299">
        <f t="shared" si="1"/>
        <v>9</v>
      </c>
      <c r="AF44" s="299">
        <f t="shared" si="1"/>
        <v>10</v>
      </c>
      <c r="AG44" s="299">
        <f t="shared" si="1"/>
        <v>11</v>
      </c>
      <c r="AH44" s="299">
        <f t="shared" si="1"/>
        <v>12</v>
      </c>
      <c r="AI44" s="299">
        <f t="shared" si="1"/>
        <v>13</v>
      </c>
      <c r="AJ44" s="299">
        <f t="shared" si="1"/>
        <v>14</v>
      </c>
      <c r="AK44" s="299">
        <f t="shared" si="1"/>
        <v>15</v>
      </c>
      <c r="AL44" s="299">
        <f t="shared" si="1"/>
        <v>16</v>
      </c>
      <c r="AM44" s="299">
        <f t="shared" ref="AM44" si="2">+AL44+1</f>
        <v>17</v>
      </c>
      <c r="AN44" s="299">
        <f t="shared" ref="AN44" si="3">+AM44+1</f>
        <v>18</v>
      </c>
      <c r="AO44" s="299">
        <f t="shared" ref="AO44" si="4">+AN44+1</f>
        <v>19</v>
      </c>
      <c r="AP44" s="299">
        <f t="shared" ref="AP44" si="5">+AO44+1</f>
        <v>20</v>
      </c>
      <c r="AQ44" s="247"/>
      <c r="AR44" s="247"/>
      <c r="AS44" s="247"/>
      <c r="AT44" s="247"/>
      <c r="AU44" s="247"/>
      <c r="AV44" s="247"/>
      <c r="AW44" s="247"/>
      <c r="AX44" s="247"/>
      <c r="AY44" s="247"/>
      <c r="AZ44" s="241"/>
    </row>
    <row r="45" spans="1:52" ht="18" customHeight="1" x14ac:dyDescent="0.3">
      <c r="A45" s="240"/>
      <c r="B45" s="274"/>
      <c r="C45" s="274"/>
      <c r="D45" s="274"/>
      <c r="E45" s="274"/>
      <c r="F45" s="274"/>
      <c r="G45" s="274"/>
      <c r="H45" s="274"/>
      <c r="I45" s="274"/>
      <c r="J45" s="274"/>
      <c r="K45" s="274"/>
      <c r="L45" s="274"/>
      <c r="M45" s="274"/>
      <c r="N45" s="274"/>
      <c r="O45" s="274"/>
      <c r="P45" s="274"/>
      <c r="Q45" s="274"/>
      <c r="R45" s="274"/>
      <c r="S45" s="273"/>
      <c r="T45" s="248">
        <f>R4</f>
        <v>1</v>
      </c>
      <c r="U45" s="51" t="str">
        <f>P4</f>
        <v>BAN--100-1</v>
      </c>
      <c r="V45" s="408">
        <f>P5</f>
        <v>0</v>
      </c>
      <c r="W45" s="408"/>
      <c r="X45" s="408"/>
      <c r="Y45" s="244">
        <f>C3</f>
        <v>0</v>
      </c>
      <c r="Z45" s="244">
        <f>P8</f>
        <v>0</v>
      </c>
      <c r="AA45" s="244">
        <f>P7</f>
        <v>0</v>
      </c>
      <c r="AB45" s="48">
        <f>P30</f>
        <v>0</v>
      </c>
      <c r="AC45" s="48" cm="1">
        <f t="array" ref="AC45">IFERROR(
SUM(_xlfn._xlws.FILTER(Table_FormDonBan[VAT],
(NOT(ISBLANK(Table_FormDonBan[SKU])))
)),0)</f>
        <v>0</v>
      </c>
      <c r="AD45" s="48" cm="1">
        <f t="array" ref="AD45" xml:space="preserve">
IF(ISBLANK(KHThanThiet_HieuLuc),
MAX(0,
IFERROR(
SUM(_xlfn._xlws.FILTER(Table_DonBan[Điểm tích lũy],
(Table_DonBan[Ngày lập]&lt;=V45)*
(Table_DonBan[Mã Khách]=Y45)
)),0)
-IFERROR(
SUM(_xlfn._xlws.FILTER(Table_DonBan[Điểm sử dụng],
(Table_DonBan[Mã Khách]= Y45)
)),0)),
MAX(0,
IFERROR(
SUM(_xlfn._xlws.FILTER(Table_DonBan[Điểm tích lũy],
(Table_DonBan[Ngày lập]&lt;= V45)*
(Table_DonBan[Ngày lập]&gt;= V45-KHThanThiet_HieuLuc)*
(Table_DonBan[Mã Khách]=Y45 )
)),0)
-IFERROR(
SUM(_xlfn._xlws.FILTER(Table_DonBan[Điểm sử dụng],
(Table_DonBan[Ngày lập]&gt;= V45-KHThanThiet_HieuLuc)*
(Table_DonBan[Mã Khách]=Y45 )
)),0)
))</f>
        <v>0</v>
      </c>
      <c r="AE45" s="48">
        <f>P32</f>
        <v>0</v>
      </c>
      <c r="AF45" s="256">
        <f>P33</f>
        <v>0</v>
      </c>
      <c r="AG45" s="64">
        <f xml:space="preserve">
IFERROR(
IF(
ISBLANK(
VLOOKUP(
AF45,
Table_ChuongTrinh[],
COUNTA(Table_ChuongTrinh[[#Headers],[Mã Chương trình]:[Tỷ lệ CK]]),
0)
),
0,
VLOOKUP(
AF45,
Table_ChuongTrinh[],
COUNTA(Table_ChuongTrinh[[#Headers],[Mã Chương trình]:[Tỷ lệ CK]]),
0)
),
0)</f>
        <v>0</v>
      </c>
      <c r="AH45" s="226" t="e">
        <f>(AB45/ABS(AB45))
*IFERROR(
IF(
ISBLANK(
VLOOKUP(
AF45,
Table_ChuongTrinh[],
COUNTA(Table_ChuongTrinh[[#Headers],[Mã Chương trình]:[Tỷ lệ CK]]),
0)
),
VLOOKUP(
AF45,
Table_ChuongTrinh[],
COUNTA(Table_ChuongTrinh[[#Headers],[Mã Chương trình]:[Giá trị CK]]),
0),
VLOOKUP(
AF45,
Table_ChuongTrinh[],
COUNTA(Table_ChuongTrinh[[#Headers],[Mã Chương trình]:[Tỷ lệ CK]]),
0)*ABS(AB45)
),
0)+AE45</f>
        <v>#DIV/0!</v>
      </c>
      <c r="AI45" s="405">
        <f>P35</f>
        <v>0</v>
      </c>
      <c r="AJ45" s="48" t="e">
        <f>AL45-AI45</f>
        <v>#DIV/0!</v>
      </c>
      <c r="AK45" s="48" t="e">
        <f>AJ45</f>
        <v>#DIV/0!</v>
      </c>
      <c r="AL45" s="120" t="e">
        <f>+AB45+AI45-AH45</f>
        <v>#DIV/0!</v>
      </c>
      <c r="AM45" s="120" cm="1">
        <f t="array" ref="AM45" xml:space="preserve">
IF(ISBLANK(KHThanThiet_SoNgay),
IFERROR(
SUM(_xlfn._xlws.FILTER(Table_DonBan[Doanh thu ròng],
(Table_DonBan[Mã Khách] =Y45)*
(Table_DonBan[Ngày lập]&lt;=V45)
)),0),
IFERROR(
SUM(_xlfn._xlws.FILTER(Table_DonBan[Doanh thu ròng],
(Table_DonBan[Mã Khách] = Y45)*
(Table_DonBan[Ngày lập] &gt;= (V45 - KHThanThiet_SoNgay))*
(Table_DonBan[Ngày lập]&lt;=V45)
)),0))</f>
        <v>0</v>
      </c>
      <c r="AN45" s="120" cm="1">
        <f t="array" ref="AN45">+IFERROR(
MAX(_xlfn._xlws.FILTER(Table_KHThanThiet_ChinhSach[Tỷ lệ điểm thưởng],
(Table_KHThanThiet_ChinhSach[Doanh thu tối thiểu]&lt;=AM45)
)),0)</f>
        <v>0</v>
      </c>
      <c r="AO45" s="120" t="e">
        <f>AN45*AJ45</f>
        <v>#DIV/0!</v>
      </c>
      <c r="AP45" s="244" cm="1">
        <f t="array" ref="AP45">COUNTA(_xlfn._xlws.FILTER(Table_DonBan[Mã Khách],
(Table_DonBan[Mã Khách]=Y45)*
(Table_DonBan[Ngày lập]&lt;=V45)
))</f>
        <v>1</v>
      </c>
      <c r="AQ45" s="245"/>
      <c r="AR45" s="376"/>
      <c r="AS45" s="243"/>
      <c r="AT45" s="243"/>
      <c r="AU45" s="243"/>
      <c r="AV45" s="243"/>
      <c r="AW45" s="243"/>
      <c r="AX45" s="243"/>
      <c r="AY45" s="245"/>
      <c r="AZ45" s="241"/>
    </row>
    <row r="46" spans="1:52" ht="18" customHeight="1" x14ac:dyDescent="0.3">
      <c r="A46" s="240"/>
      <c r="B46" s="274"/>
      <c r="C46" s="274"/>
      <c r="D46" s="274"/>
      <c r="E46" s="274"/>
      <c r="F46" s="274"/>
      <c r="G46" s="274"/>
      <c r="H46" s="274"/>
      <c r="I46" s="274"/>
      <c r="J46" s="274"/>
      <c r="K46" s="274"/>
      <c r="L46" s="274"/>
      <c r="M46" s="274"/>
      <c r="N46" s="274"/>
      <c r="O46" s="274"/>
      <c r="P46" s="274"/>
      <c r="Q46" s="274"/>
      <c r="R46" s="274"/>
      <c r="S46" s="273"/>
      <c r="T46" s="248">
        <v>1</v>
      </c>
      <c r="U46" s="51" t="str">
        <f>CONCATENATE("BAN-",Y46,"-",MOD(YEAR(V46),100)*10000+MONTH(V46)*100+DAY(V46),"-",T46)</f>
        <v>BAN--100-1</v>
      </c>
      <c r="V46" s="408"/>
      <c r="W46" s="408"/>
      <c r="X46" s="408"/>
      <c r="Y46" s="244"/>
      <c r="Z46" s="244"/>
      <c r="AA46" s="244"/>
      <c r="AB46" s="48" cm="1">
        <f t="array" ref="AB46">IFERROR(SUM(_xlfn._xlws.FILTER(Table_Main[Giá trị bán trước VAT],
(Table_Main[Đơn bán]=U46),
)),0)</f>
        <v>0</v>
      </c>
      <c r="AC46" s="48" cm="1">
        <f t="array" ref="AC46">IFERROR(SUM(_xlfn._xlws.FILTER(Table_Main[VAT],
(Table_Main[Đơn bán]=U46),
)),0)</f>
        <v>0</v>
      </c>
      <c r="AD46" s="48" cm="1">
        <f t="array" ref="AD46" xml:space="preserve">
IF(ISBLANK(KHThanThiet_HieuLuc),
MAX(0,
IFERROR(
SUM(_xlfn._xlws.FILTER(Table_DonBan[Điểm tích lũy],
(Table_DonBan[Ngày lập]&lt;=V46)*
(Table_DonBan[Mã Khách]=Y46)
)),0)
-IFERROR(
SUM(_xlfn._xlws.FILTER(Table_DonBan[Điểm sử dụng],
(Table_DonBan[Mã Khách]= Y46)
)),0)),
MAX(0,
IFERROR(
SUM(_xlfn._xlws.FILTER(Table_DonBan[Điểm tích lũy],
(Table_DonBan[Ngày lập]&lt;= V46)*
(Table_DonBan[Ngày lập]&gt;= V46-KHThanThiet_HieuLuc)*
(Table_DonBan[Mã Khách]=Y46 )
)),0)
-IFERROR(
SUM(_xlfn._xlws.FILTER(Table_DonBan[Điểm sử dụng],
(Table_DonBan[Ngày lập]&gt;= V46-KHThanThiet_HieuLuc)*
(Table_DonBan[Mã Khách]=Y46 )
)),0)
))</f>
        <v>0</v>
      </c>
      <c r="AE46" s="405"/>
      <c r="AF46" s="256"/>
      <c r="AG46" s="64">
        <f xml:space="preserve">
IFERROR(
IF(
ISBLANK(
VLOOKUP(
AF46,
Table_ChuongTrinh[],
COUNTA(Table_ChuongTrinh[[#Headers],[Mã Chương trình]:[Tỷ lệ CK]]),
0)
),
0,
VLOOKUP(
AF46,
Table_ChuongTrinh[],
COUNTA(Table_ChuongTrinh[[#Headers],[Mã Chương trình]:[Tỷ lệ CK]]),
0)
),
0)</f>
        <v>0</v>
      </c>
      <c r="AH46" s="226" t="e">
        <f>(AB46/ABS(AB46))
*IFERROR(
IF(
ISBLANK(
VLOOKUP(
AF46,
Table_ChuongTrinh[],
COUNTA(Table_ChuongTrinh[[#Headers],[Mã Chương trình]:[Tỷ lệ CK]]),
0)
),
VLOOKUP(
AF46,
Table_ChuongTrinh[],
COUNTA(Table_ChuongTrinh[[#Headers],[Mã Chương trình]:[Giá trị CK]]),
0),
VLOOKUP(
AF46,
Table_ChuongTrinh[],
COUNTA(Table_ChuongTrinh[[#Headers],[Mã Chương trình]:[Tỷ lệ CK]]),
0)*ABS(AB46)
),
0)+AE46</f>
        <v>#DIV/0!</v>
      </c>
      <c r="AI46" s="405">
        <f>IFERROR(AC46-AC46*AH46/AB46,0)</f>
        <v>0</v>
      </c>
      <c r="AJ46" s="48" t="e">
        <f>AL46-AI46</f>
        <v>#DIV/0!</v>
      </c>
      <c r="AK46" s="48" t="e">
        <f>AJ46</f>
        <v>#DIV/0!</v>
      </c>
      <c r="AL46" s="120" t="e">
        <f>+AB46+AI46-AH46</f>
        <v>#DIV/0!</v>
      </c>
      <c r="AM46" s="120" cm="1">
        <f t="array" ref="AM46" xml:space="preserve">
IF(ISBLANK(KHThanThiet_SoNgay),
IFERROR(
SUM(_xlfn._xlws.FILTER(Table_DonBan[Doanh thu ròng],
(Table_DonBan[Mã Khách] =Y46)*
(Table_DonBan[Ngày lập]&lt;=V46)
)),0),
IFERROR(
SUM(_xlfn._xlws.FILTER(Table_DonBan[Doanh thu ròng],
(Table_DonBan[Mã Khách] = Y46)*
(Table_DonBan[Ngày lập] &gt;= (V46 - KHThanThiet_SoNgay))*
(Table_DonBan[Ngày lập]&lt;=V46)
)),0))</f>
        <v>0</v>
      </c>
      <c r="AN46" s="120" cm="1">
        <f t="array" ref="AN46">+IFERROR(
MAX(_xlfn._xlws.FILTER(Table_KHThanThiet_ChinhSach[Tỷ lệ điểm thưởng],
(Table_KHThanThiet_ChinhSach[Doanh thu tối thiểu]&lt;=AM46)
)),0)</f>
        <v>0</v>
      </c>
      <c r="AO46" s="120" t="e">
        <f>AN46*AJ46</f>
        <v>#DIV/0!</v>
      </c>
      <c r="AP46" s="244" cm="1">
        <f t="array" ref="AP46">COUNTA(_xlfn._xlws.FILTER(Table_DonBan[Mã Khách],
(Table_DonBan[Mã Khách]=Y46)*
(Table_DonBan[Ngày lập]&lt;=V46)
))</f>
        <v>1</v>
      </c>
      <c r="AQ46" s="245"/>
      <c r="AR46" s="376">
        <f>AS46*AT46*AU46*AV46*AW46*AX46</f>
        <v>1</v>
      </c>
      <c r="AS46" s="243">
        <f xml:space="preserve">
IF(ISBLANK($AF$46 ),1,
IF(VLOOKUP($AF$46,Table_ChuongTrinh[[Mã Chương trình]:[Đối tượng CK]],Sheet_ChuongTrinh!$C$1,0) = "Đơn hàng",1,0))</f>
        <v>1</v>
      </c>
      <c r="AT46" s="243">
        <f>IF(ISBLANK( $AF$46),
1,
IF(ISBLANK(VLOOKUP( $AF$46,Table_ChuongTrinh[],Sheet_ChuongTrinh!$E$1,0)),
1,
IF( $V$46&gt;= VLOOKUP( $AF$46,Table_ChuongTrinh[],Sheet_ChuongTrinh!$E$1,0),1,
0)))
*IF(ISBLANK( $AF$46),
1,
IF(ISBLANK(VLOOKUP( $AF$46,Table_ChuongTrinh[],Sheet_ChuongTrinh!$F$1,0)),
1,
IF($V$46 &lt; VLOOKUP( $AF$46,Table_ChuongTrinh[],Sheet_ChuongTrinh!$F$1,0),
1,
0)))</f>
        <v>1</v>
      </c>
      <c r="AU46" s="243">
        <f>IF(ISBLANK( $AF$46),
1,
IF(ISBLANK(VLOOKUP($AF$46,Table_ChuongTrinh[],Sheet_ChuongTrinh!$J$1,0)),
1,
IF(AB46 &gt;= VLOOKUP($AF$46,Table_ChuongTrinh[],Sheet_ChuongTrinh!$J$1,0),
1,
0)))</f>
        <v>1</v>
      </c>
      <c r="AV46" s="243">
        <f>IF(ISBLANK( $AF$46),
1,
IF(ISBLANK(VLOOKUP($AF$46,Table_ChuongTrinh[],Sheet_ChuongTrinh!$I$1,0)),
1,
IF(COUNTIF(Table_DonBan[Chương trình],$AF$46 )+1
&lt;= VLOOKUP($AF$46,Table_ChuongTrinh[],Sheet_ChuongTrinh!$I$1,0),
1,
0)))</f>
        <v>1</v>
      </c>
      <c r="AW46" s="243">
        <f>IF(ISBLANK( $AF$46), 1,
IF(ISBLANK(VLOOKUP($AF$46,Table_ChuongTrinh[],COUNTA(Table_ChuongTrinh[[#Headers],[Mã Chương trình]:[Sinh nhật]]),0)), 1,
IF(VLOOKUP($AF$46,Table_ChuongTrinh[],COUNTA(Table_ChuongTrinh[[#Headers],[Mã Chương trình]:[Sinh nhật]]),0) = "Ngày sinh",
IF( AND(
DAY(VLOOKUP($Y$46, Table_KhachHang[], COUNTA(Table_KhachHang[[#Headers],[Mã KH]:[Ngày sinh]]),0)) = DAY($V$46 ),
MONTH(VLOOKUP($Y$46, Table_KhachHang[], COUNTA(Table_KhachHang[[#Headers],[Mã KH]:[Ngày sinh]]),0)) = MONTH($V$46 )
),1,0),
IF(MONTH(VLOOKUP($Y$46, Table_KhachHang[], COUNTA(Table_KhachHang[[#Headers],[Mã KH]:[Ngày sinh]]),0)) = MONTH($V$46 ),1,0)
)))</f>
        <v>1</v>
      </c>
      <c r="AX46" s="243" cm="1">
        <f t="array" ref="AX46">IF(ISBLANK($AF$46 ), 1,
IF(ISBLANK(VLOOKUP($AF$46,Table_ChuongTrinh[],COUNTA(Table_ChuongTrinh[[#Headers],[Mã Chương trình]:[Ngày mua cuối]]),0)), 1,
IF(VLOOKUP($AF$46,Table_ChuongTrinh[],COUNTA(Table_ChuongTrinh[[#Headers],[Mã Chương trình]:[Ngày mua cuối]]),0)&lt;=
IFERROR($V$46  -
MAX(_xlfn._xlws.FILTER(Table_DonBan[Ngày lập],
(Table_DonBan[Mã Khách] = $Y$46 )*
(Table_DonBan[Ngày lập] &lt;= $V$46 )
)),0),1,0)))</f>
        <v>1</v>
      </c>
      <c r="AY46" s="245"/>
      <c r="AZ46" s="241"/>
    </row>
    <row r="47" spans="1:52" ht="18" customHeight="1" x14ac:dyDescent="0.3">
      <c r="A47" s="240"/>
      <c r="B47" s="274"/>
      <c r="C47" s="274"/>
      <c r="D47" s="274"/>
      <c r="E47" s="274"/>
      <c r="F47" s="274"/>
      <c r="G47" s="274"/>
      <c r="H47" s="274"/>
      <c r="I47" s="274"/>
      <c r="J47" s="274"/>
      <c r="K47" s="274"/>
      <c r="L47" s="274"/>
      <c r="M47" s="274"/>
      <c r="N47" s="274"/>
      <c r="O47" s="274"/>
      <c r="P47" s="274"/>
      <c r="Q47" s="274"/>
      <c r="R47" s="274"/>
      <c r="S47" s="273"/>
      <c r="T47" s="46" t="s">
        <v>60</v>
      </c>
      <c r="U47" s="46" t="s">
        <v>27</v>
      </c>
      <c r="V47" s="46" t="s">
        <v>695</v>
      </c>
      <c r="W47" s="46" t="s">
        <v>640</v>
      </c>
      <c r="X47" s="46" t="s">
        <v>641</v>
      </c>
      <c r="Y47" s="46" t="s">
        <v>734</v>
      </c>
      <c r="Z47" s="46" t="s">
        <v>35</v>
      </c>
      <c r="AA47" s="46" t="s">
        <v>38</v>
      </c>
      <c r="AB47" s="46" t="s">
        <v>714</v>
      </c>
      <c r="AC47" s="90" t="s">
        <v>715</v>
      </c>
      <c r="AD47" s="90" t="s">
        <v>915</v>
      </c>
      <c r="AE47" s="90" t="s">
        <v>916</v>
      </c>
      <c r="AF47" s="46" t="s">
        <v>236</v>
      </c>
      <c r="AG47" s="46" t="s">
        <v>685</v>
      </c>
      <c r="AH47" s="46" t="s">
        <v>686</v>
      </c>
      <c r="AI47" s="46" t="s">
        <v>731</v>
      </c>
      <c r="AJ47" s="46" t="s">
        <v>888</v>
      </c>
      <c r="AK47" s="46" t="s">
        <v>889</v>
      </c>
      <c r="AL47" s="46" t="s">
        <v>18</v>
      </c>
      <c r="AM47" s="7" t="s">
        <v>917</v>
      </c>
      <c r="AN47" s="7" t="s">
        <v>1018</v>
      </c>
      <c r="AO47" s="484" t="s">
        <v>1019</v>
      </c>
      <c r="AP47" s="46" t="s">
        <v>28</v>
      </c>
      <c r="AQ47" s="7" t="s">
        <v>873</v>
      </c>
      <c r="AR47" s="7" t="s">
        <v>724</v>
      </c>
      <c r="AS47" s="7" t="s">
        <v>725</v>
      </c>
      <c r="AT47" s="7" t="s">
        <v>726</v>
      </c>
      <c r="AU47" s="7" t="s">
        <v>727</v>
      </c>
      <c r="AV47" s="7" t="s">
        <v>728</v>
      </c>
      <c r="AW47" s="46" t="s">
        <v>920</v>
      </c>
      <c r="AX47" s="46" t="s">
        <v>921</v>
      </c>
      <c r="AY47" s="7" t="s">
        <v>1243</v>
      </c>
      <c r="AZ47" s="241"/>
    </row>
    <row r="48" spans="1:52" ht="18" customHeight="1" x14ac:dyDescent="0.3">
      <c r="A48" s="240"/>
      <c r="B48" s="274"/>
      <c r="C48" s="274"/>
      <c r="D48" s="274"/>
      <c r="E48" s="274"/>
      <c r="F48" s="274"/>
      <c r="G48" s="274"/>
      <c r="H48" s="274"/>
      <c r="I48" s="274"/>
      <c r="J48" s="274"/>
      <c r="K48" s="274"/>
      <c r="L48" s="274"/>
      <c r="M48" s="274"/>
      <c r="N48" s="274"/>
      <c r="O48" s="274"/>
      <c r="P48" s="274"/>
      <c r="Q48" s="274"/>
      <c r="R48" s="274"/>
      <c r="S48" s="273"/>
      <c r="T48" s="248"/>
      <c r="U48" s="51" t="str">
        <f>CONCATENATE("BAN-",Table_DonBan[[#This Row],[Mã Khách]],"-",MOD(YEAR(Table_DonBan[[#This Row],[Ngày lập]]),100)*10000+MONTH(Table_DonBan[[#This Row],[Ngày lập]])*100+DAY(Table_DonBan[[#This Row],[Ngày lập]]),"-",Table_DonBan[[#This Row],[TT]])</f>
        <v>BAN-KH3-250531-</v>
      </c>
      <c r="V48" s="411">
        <v>45808</v>
      </c>
      <c r="W48" s="411"/>
      <c r="X48" s="411"/>
      <c r="Y48" s="249" t="s">
        <v>1197</v>
      </c>
      <c r="Z48" s="244"/>
      <c r="AA48" s="244"/>
      <c r="AB48" s="17">
        <f>IFERROR(SUM(_xlfn._xlws.FILTER(Table_Main[Giá trị bán trước VAT],
(Table_Main[Đơn bán]=Table_DonBan[[#This Row],[Mã Đơn bán]]),
)),0)</f>
        <v>5700000</v>
      </c>
      <c r="AC48" s="17">
        <f>IFERROR(SUM(_xlfn._xlws.FILTER(Table_Main[VAT],
(Table_Main[Đơn bán]=Table_DonBan[[#This Row],[Mã Đơn bán]]),
)),0)</f>
        <v>0</v>
      </c>
      <c r="AD48" s="17" cm="1">
        <f t="array" ref="AD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585000</v>
      </c>
      <c r="AE48" s="418"/>
      <c r="AF48" s="246"/>
      <c r="AG48"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48" s="48">
        <f>(AB48/ABS(AB48))
*IFERROR(
IF(
ISBLANK(
VLOOKUP(
AF48,
Table_ChuongTrinh[],
COUNTA(Table_ChuongTrinh[[#Headers],[Mã Chương trình]:[Tỷ lệ CK]]),
0)
),
VLOOKUP(
AF48,
Table_ChuongTrinh[],
COUNTA(Table_ChuongTrinh[[#Headers],[Mã Chương trình]:[Giá trị CK]]),
0),
VLOOKUP(
AF48,
Table_ChuongTrinh[],
COUNTA(Table_ChuongTrinh[[#Headers],[Mã Chương trình]:[Tỷ lệ CK]]),
0)*ABS(AB48)
),
0)+AE48</f>
        <v>0</v>
      </c>
      <c r="AI48" s="17">
        <f>IFERROR(Table_DonBan[[#This Row],[VAT hàng]]-Table_DonBan[[#This Row],[VAT hàng]]*Table_DonBan[[#This Row],[Giá trị CK]]/Table_DonBan[[#This Row],[Tiền hàng]],0)</f>
        <v>0</v>
      </c>
      <c r="AJ48" s="17">
        <f>+Table_DonBan[[#This Row],[Tiền hàng]]-Table_DonBan[[#This Row],[Giá trị CK]]</f>
        <v>5700000</v>
      </c>
      <c r="AK48" s="17">
        <f>Table_DonBan[[#This Row],[Doanh thu ròng]]</f>
        <v>5700000</v>
      </c>
      <c r="AL48" s="17">
        <f>Table_DonBan[[#This Row],[Tiền hàng]]+Table_DonBan[[#This Row],[Tổng VAT]]-Table_DonBan[[#This Row],[Giá trị CK]]</f>
        <v>5700000</v>
      </c>
      <c r="AM4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39500000</v>
      </c>
      <c r="AN48" s="536">
        <f>+IFERROR(
MAX(_xlfn._xlws.FILTER(Table_KHThanThiet_ChinhSach[Tỷ lệ điểm thưởng],
(Table_KHThanThiet_ChinhSach[Doanh thu tối thiểu]&lt;=Table_DonBan[[#This Row],[Doanh thu tính điểm]])
)),0)</f>
        <v>0.05</v>
      </c>
      <c r="AO48" s="17">
        <f xml:space="preserve">
Table_DonBan[[#This Row],[Tỷ lệ tính điểm]]*Table_DonBan[[#This Row],[Doanh thu ròng]]</f>
        <v>285000</v>
      </c>
      <c r="AP48" s="246">
        <f>COUNTA(_xlfn._xlws.FILTER(Table_DonBan[Mã Khách],
(Table_DonBan[Mã Khách]=Table_DonBan[[#This Row],[Mã Khách]])*
(Table_DonBan[Ngày lập]&lt;=Table_DonBan[[#This Row],[Ngày lập]])
))</f>
        <v>6</v>
      </c>
      <c r="AQ48" s="244"/>
      <c r="AR48" s="245">
        <f>Table_DonBan[[#This Row],[ĐK - Phân loại]]*Table_DonBan[[#This Row],[ĐK - Thời gian]]*Table_DonBan[[#This Row],[ĐK - Giá trị]]*Table_DonBan[[#This Row],[ĐK - Số lượng]]*Table_DonBan[[#This Row],[ĐK - Sinh nhật]]*Table_DonBan[[#This Row],[ĐK - Ngày mua cuối]]</f>
        <v>1</v>
      </c>
      <c r="AS48" s="245">
        <f xml:space="preserve">
IF(ISBLANK(Table_DonBan[[#This Row],[Chương trình]]),1,
IF(VLOOKUP(Table_DonBan[[#This Row],[Chương trình]],Table_ChuongTrinh[[Mã Chương trình]:[Đối tượng CK]],Sheet_ChuongTrinh!$C$1,0) = "Đơn hàng",1,0))</f>
        <v>1</v>
      </c>
      <c r="AT48"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48" s="245">
        <f>IF(ISBLANK(Table_DonBan[[#This Row],[Chương trình]]),
1,
IF(ISBLANK(VLOOKUP(Table_DonBan[[#This Row],[Chương trình]],Table_ChuongTrinh[],Sheet_ChuongTrinh!$J$1,0)),
1,
IF(Table_DonBan[[#This Row],[Tiền hàng]]&gt;= VLOOKUP(Table_DonBan[[#This Row],[Chương trình]],Table_ChuongTrinh[],Sheet_ChuongTrinh!$J$1,0),
1,
0)))</f>
        <v>1</v>
      </c>
      <c r="AV48"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48"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48"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48"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c r="AZ48" s="241"/>
    </row>
    <row r="49" spans="20:51" ht="18" customHeight="1" x14ac:dyDescent="0.3">
      <c r="T49" s="248"/>
      <c r="U49" s="51" t="str">
        <f>CONCATENATE("BAN-",Table_DonBan[[#This Row],[Mã Khách]],"-",MOD(YEAR(Table_DonBan[[#This Row],[Ngày lập]]),100)*10000+MONTH(Table_DonBan[[#This Row],[Ngày lập]])*100+DAY(Table_DonBan[[#This Row],[Ngày lập]]),"-",Table_DonBan[[#This Row],[TT]])</f>
        <v>BAN-KH1-250519-</v>
      </c>
      <c r="V49" s="411">
        <v>45796</v>
      </c>
      <c r="W49" s="411"/>
      <c r="X49" s="411"/>
      <c r="Y49" s="249" t="s">
        <v>1195</v>
      </c>
      <c r="Z49" s="244"/>
      <c r="AA49" s="244"/>
      <c r="AB49" s="17">
        <f>IFERROR(SUM(_xlfn._xlws.FILTER(Table_Main[Giá trị bán trước VAT],
(Table_Main[Đơn bán]=Table_DonBan[[#This Row],[Mã Đơn bán]]),
)),0)</f>
        <v>10200000</v>
      </c>
      <c r="AC49" s="17">
        <f>IFERROR(SUM(_xlfn._xlws.FILTER(Table_Main[VAT],
(Table_Main[Đơn bán]=Table_DonBan[[#This Row],[Mã Đơn bán]]),
)),0)</f>
        <v>0</v>
      </c>
      <c r="AD49" s="17" cm="1">
        <f t="array" ref="AD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625000</v>
      </c>
      <c r="AE49" s="418"/>
      <c r="AF49" s="246"/>
      <c r="AG49"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49" s="48">
        <f>(AB49/ABS(AB49))
*IFERROR(
IF(
ISBLANK(
VLOOKUP(
AF49,
Table_ChuongTrinh[],
COUNTA(Table_ChuongTrinh[[#Headers],[Mã Chương trình]:[Tỷ lệ CK]]),
0)
),
VLOOKUP(
AF49,
Table_ChuongTrinh[],
COUNTA(Table_ChuongTrinh[[#Headers],[Mã Chương trình]:[Giá trị CK]]),
0),
VLOOKUP(
AF49,
Table_ChuongTrinh[],
COUNTA(Table_ChuongTrinh[[#Headers],[Mã Chương trình]:[Tỷ lệ CK]]),
0)*ABS(AB49)
),
0)+AE49</f>
        <v>0</v>
      </c>
      <c r="AI49" s="17">
        <f>IFERROR(Table_DonBan[[#This Row],[VAT hàng]]-Table_DonBan[[#This Row],[VAT hàng]]*Table_DonBan[[#This Row],[Giá trị CK]]/Table_DonBan[[#This Row],[Tiền hàng]],0)</f>
        <v>0</v>
      </c>
      <c r="AJ49" s="17">
        <f>+Table_DonBan[[#This Row],[Tiền hàng]]-Table_DonBan[[#This Row],[Giá trị CK]]</f>
        <v>10200000</v>
      </c>
      <c r="AK49" s="17">
        <f>Table_DonBan[[#This Row],[Doanh thu ròng]]</f>
        <v>10200000</v>
      </c>
      <c r="AL49" s="17">
        <f>Table_DonBan[[#This Row],[Tiền hàng]]+Table_DonBan[[#This Row],[Tổng VAT]]-Table_DonBan[[#This Row],[Giá trị CK]]</f>
        <v>10200000</v>
      </c>
      <c r="AM4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45200000</v>
      </c>
      <c r="AN49" s="536">
        <f>+IFERROR(
MAX(_xlfn._xlws.FILTER(Table_KHThanThiet_ChinhSach[Tỷ lệ điểm thưởng],
(Table_KHThanThiet_ChinhSach[Doanh thu tối thiểu]&lt;=Table_DonBan[[#This Row],[Doanh thu tính điểm]])
)),0)</f>
        <v>0.05</v>
      </c>
      <c r="AO49" s="17">
        <f xml:space="preserve">
Table_DonBan[[#This Row],[Tỷ lệ tính điểm]]*Table_DonBan[[#This Row],[Doanh thu ròng]]</f>
        <v>510000</v>
      </c>
      <c r="AP49" s="246">
        <f>COUNTA(_xlfn._xlws.FILTER(Table_DonBan[Mã Khách],
(Table_DonBan[Mã Khách]=Table_DonBan[[#This Row],[Mã Khách]])*
(Table_DonBan[Ngày lập]&lt;=Table_DonBan[[#This Row],[Ngày lập]])
))</f>
        <v>8</v>
      </c>
      <c r="AQ49" s="244"/>
      <c r="AR49" s="245">
        <f>Table_DonBan[[#This Row],[ĐK - Phân loại]]*Table_DonBan[[#This Row],[ĐK - Thời gian]]*Table_DonBan[[#This Row],[ĐK - Giá trị]]*Table_DonBan[[#This Row],[ĐK - Số lượng]]*Table_DonBan[[#This Row],[ĐK - Sinh nhật]]*Table_DonBan[[#This Row],[ĐK - Ngày mua cuối]]</f>
        <v>1</v>
      </c>
      <c r="AS49" s="245">
        <f xml:space="preserve">
IF(ISBLANK(Table_DonBan[[#This Row],[Chương trình]]),1,
IF(VLOOKUP(Table_DonBan[[#This Row],[Chương trình]],Table_ChuongTrinh[[Mã Chương trình]:[Đối tượng CK]],Sheet_ChuongTrinh!$C$1,0) = "Đơn hàng",1,0))</f>
        <v>1</v>
      </c>
      <c r="AT49"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49" s="245">
        <f>IF(ISBLANK(Table_DonBan[[#This Row],[Chương trình]]),
1,
IF(ISBLANK(VLOOKUP(Table_DonBan[[#This Row],[Chương trình]],Table_ChuongTrinh[],Sheet_ChuongTrinh!$J$1,0)),
1,
IF(Table_DonBan[[#This Row],[Tiền hàng]]&gt;= VLOOKUP(Table_DonBan[[#This Row],[Chương trình]],Table_ChuongTrinh[],Sheet_ChuongTrinh!$J$1,0),
1,
0)))</f>
        <v>1</v>
      </c>
      <c r="AV49"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49"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49"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49"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400000</v>
      </c>
    </row>
    <row r="50" spans="20:51" ht="18" customHeight="1" x14ac:dyDescent="0.3">
      <c r="T50" s="248"/>
      <c r="U50" s="51" t="str">
        <f>CONCATENATE("BAN-",Table_DonBan[[#This Row],[Mã Khách]],"-",MOD(YEAR(Table_DonBan[[#This Row],[Ngày lập]]),100)*10000+MONTH(Table_DonBan[[#This Row],[Ngày lập]])*100+DAY(Table_DonBan[[#This Row],[Ngày lập]]),"-",Table_DonBan[[#This Row],[TT]])</f>
        <v>BAN-KH1-250516-</v>
      </c>
      <c r="V50" s="411">
        <v>45793</v>
      </c>
      <c r="W50" s="411"/>
      <c r="X50" s="411"/>
      <c r="Y50" s="249" t="s">
        <v>1195</v>
      </c>
      <c r="Z50" s="244"/>
      <c r="AA50" s="244"/>
      <c r="AB50" s="17">
        <f>IFERROR(SUM(_xlfn._xlws.FILTER(Table_Main[Giá trị bán trước VAT],
(Table_Main[Đơn bán]=Table_DonBan[[#This Row],[Mã Đơn bán]]),
)),0)</f>
        <v>2200000</v>
      </c>
      <c r="AC50" s="17">
        <f>IFERROR(SUM(_xlfn._xlws.FILTER(Table_Main[VAT],
(Table_Main[Đơn bán]=Table_DonBan[[#This Row],[Mã Đơn bán]]),
)),0)</f>
        <v>0</v>
      </c>
      <c r="AD50" s="17" cm="1">
        <f t="array" ref="AD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515000</v>
      </c>
      <c r="AE50" s="418"/>
      <c r="AF50" s="246"/>
      <c r="AG50"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0" s="48">
        <f>(AB50/ABS(AB50))
*IFERROR(
IF(
ISBLANK(
VLOOKUP(
AF50,
Table_ChuongTrinh[],
COUNTA(Table_ChuongTrinh[[#Headers],[Mã Chương trình]:[Tỷ lệ CK]]),
0)
),
VLOOKUP(
AF50,
Table_ChuongTrinh[],
COUNTA(Table_ChuongTrinh[[#Headers],[Mã Chương trình]:[Giá trị CK]]),
0),
VLOOKUP(
AF50,
Table_ChuongTrinh[],
COUNTA(Table_ChuongTrinh[[#Headers],[Mã Chương trình]:[Tỷ lệ CK]]),
0)*ABS(AB50)
),
0)+AE50</f>
        <v>0</v>
      </c>
      <c r="AI50" s="17">
        <f>IFERROR(Table_DonBan[[#This Row],[VAT hàng]]-Table_DonBan[[#This Row],[VAT hàng]]*Table_DonBan[[#This Row],[Giá trị CK]]/Table_DonBan[[#This Row],[Tiền hàng]],0)</f>
        <v>0</v>
      </c>
      <c r="AJ50" s="17">
        <f>+Table_DonBan[[#This Row],[Tiền hàng]]-Table_DonBan[[#This Row],[Giá trị CK]]</f>
        <v>2200000</v>
      </c>
      <c r="AK50" s="17">
        <f>Table_DonBan[[#This Row],[Doanh thu ròng]]</f>
        <v>2200000</v>
      </c>
      <c r="AL50" s="17">
        <f>Table_DonBan[[#This Row],[Tiền hàng]]+Table_DonBan[[#This Row],[Tổng VAT]]-Table_DonBan[[#This Row],[Giá trị CK]]</f>
        <v>2200000</v>
      </c>
      <c r="AM5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43000000</v>
      </c>
      <c r="AN50" s="536">
        <f>+IFERROR(
MAX(_xlfn._xlws.FILTER(Table_KHThanThiet_ChinhSach[Tỷ lệ điểm thưởng],
(Table_KHThanThiet_ChinhSach[Doanh thu tối thiểu]&lt;=Table_DonBan[[#This Row],[Doanh thu tính điểm]])
)),0)</f>
        <v>0.05</v>
      </c>
      <c r="AO50" s="17">
        <f xml:space="preserve">
Table_DonBan[[#This Row],[Tỷ lệ tính điểm]]*Table_DonBan[[#This Row],[Doanh thu ròng]]</f>
        <v>110000</v>
      </c>
      <c r="AP50" s="246">
        <f>COUNTA(_xlfn._xlws.FILTER(Table_DonBan[Mã Khách],
(Table_DonBan[Mã Khách]=Table_DonBan[[#This Row],[Mã Khách]])*
(Table_DonBan[Ngày lập]&lt;=Table_DonBan[[#This Row],[Ngày lập]])
))</f>
        <v>7</v>
      </c>
      <c r="AQ50" s="244"/>
      <c r="AR50" s="245">
        <f>Table_DonBan[[#This Row],[ĐK - Phân loại]]*Table_DonBan[[#This Row],[ĐK - Thời gian]]*Table_DonBan[[#This Row],[ĐK - Giá trị]]*Table_DonBan[[#This Row],[ĐK - Số lượng]]*Table_DonBan[[#This Row],[ĐK - Sinh nhật]]*Table_DonBan[[#This Row],[ĐK - Ngày mua cuối]]</f>
        <v>1</v>
      </c>
      <c r="AS50" s="245">
        <f xml:space="preserve">
IF(ISBLANK(Table_DonBan[[#This Row],[Chương trình]]),1,
IF(VLOOKUP(Table_DonBan[[#This Row],[Chương trình]],Table_ChuongTrinh[[Mã Chương trình]:[Đối tượng CK]],Sheet_ChuongTrinh!$C$1,0) = "Đơn hàng",1,0))</f>
        <v>1</v>
      </c>
      <c r="AT50"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0" s="245">
        <f>IF(ISBLANK(Table_DonBan[[#This Row],[Chương trình]]),
1,
IF(ISBLANK(VLOOKUP(Table_DonBan[[#This Row],[Chương trình]],Table_ChuongTrinh[],Sheet_ChuongTrinh!$J$1,0)),
1,
IF(Table_DonBan[[#This Row],[Tiền hàng]]&gt;= VLOOKUP(Table_DonBan[[#This Row],[Chương trình]],Table_ChuongTrinh[],Sheet_ChuongTrinh!$J$1,0),
1,
0)))</f>
        <v>1</v>
      </c>
      <c r="AV50"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0"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0"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0"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1" spans="20:51" ht="18" customHeight="1" x14ac:dyDescent="0.3">
      <c r="T51" s="248"/>
      <c r="U51" s="51" t="str">
        <f>CONCATENATE("BAN-",Table_DonBan[[#This Row],[Mã Khách]],"-",MOD(YEAR(Table_DonBan[[#This Row],[Ngày lập]]),100)*10000+MONTH(Table_DonBan[[#This Row],[Ngày lập]])*100+DAY(Table_DonBan[[#This Row],[Ngày lập]]),"-",Table_DonBan[[#This Row],[TT]])</f>
        <v>BAN-KH2-250515-</v>
      </c>
      <c r="V51" s="411">
        <v>45792</v>
      </c>
      <c r="W51" s="411"/>
      <c r="X51" s="411"/>
      <c r="Y51" s="249" t="s">
        <v>1196</v>
      </c>
      <c r="Z51" s="244"/>
      <c r="AA51" s="244"/>
      <c r="AB51" s="17">
        <f>IFERROR(SUM(_xlfn._xlws.FILTER(Table_Main[Giá trị bán trước VAT],
(Table_Main[Đơn bán]=Table_DonBan[[#This Row],[Mã Đơn bán]]),
)),0)</f>
        <v>200000</v>
      </c>
      <c r="AC51" s="17">
        <f>IFERROR(SUM(_xlfn._xlws.FILTER(Table_Main[VAT],
(Table_Main[Đơn bán]=Table_DonBan[[#This Row],[Mã Đơn bán]]),
)),0)</f>
        <v>0</v>
      </c>
      <c r="AD51" s="17" cm="1">
        <f t="array" ref="AD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1946000</v>
      </c>
      <c r="AE51" s="418"/>
      <c r="AF51" s="246"/>
      <c r="AG51"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1" s="48">
        <f>(AB51/ABS(AB51))
*IFERROR(
IF(
ISBLANK(
VLOOKUP(
AF51,
Table_ChuongTrinh[],
COUNTA(Table_ChuongTrinh[[#Headers],[Mã Chương trình]:[Tỷ lệ CK]]),
0)
),
VLOOKUP(
AF51,
Table_ChuongTrinh[],
COUNTA(Table_ChuongTrinh[[#Headers],[Mã Chương trình]:[Giá trị CK]]),
0),
VLOOKUP(
AF51,
Table_ChuongTrinh[],
COUNTA(Table_ChuongTrinh[[#Headers],[Mã Chương trình]:[Tỷ lệ CK]]),
0)*ABS(AB51)
),
0)+AE51</f>
        <v>0</v>
      </c>
      <c r="AI51" s="17">
        <f>IFERROR(Table_DonBan[[#This Row],[VAT hàng]]-Table_DonBan[[#This Row],[VAT hàng]]*Table_DonBan[[#This Row],[Giá trị CK]]/Table_DonBan[[#This Row],[Tiền hàng]],0)</f>
        <v>0</v>
      </c>
      <c r="AJ51" s="17">
        <f>+Table_DonBan[[#This Row],[Tiền hàng]]-Table_DonBan[[#This Row],[Giá trị CK]]</f>
        <v>200000</v>
      </c>
      <c r="AK51" s="17">
        <f>Table_DonBan[[#This Row],[Doanh thu ròng]]</f>
        <v>200000</v>
      </c>
      <c r="AL51" s="17">
        <f>Table_DonBan[[#This Row],[Tiền hàng]]+Table_DonBan[[#This Row],[Tổng VAT]]-Table_DonBan[[#This Row],[Giá trị CK]]</f>
        <v>200000</v>
      </c>
      <c r="AM5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71100000</v>
      </c>
      <c r="AN51" s="536">
        <f>+IFERROR(
MAX(_xlfn._xlws.FILTER(Table_KHThanThiet_ChinhSach[Tỷ lệ điểm thưởng],
(Table_KHThanThiet_ChinhSach[Doanh thu tối thiểu]&lt;=Table_DonBan[[#This Row],[Doanh thu tính điểm]])
)),0)</f>
        <v>7.0000000000000007E-2</v>
      </c>
      <c r="AO51" s="17">
        <f xml:space="preserve">
Table_DonBan[[#This Row],[Tỷ lệ tính điểm]]*Table_DonBan[[#This Row],[Doanh thu ròng]]</f>
        <v>14000.000000000002</v>
      </c>
      <c r="AP51" s="246">
        <f>COUNTA(_xlfn._xlws.FILTER(Table_DonBan[Mã Khách],
(Table_DonBan[Mã Khách]=Table_DonBan[[#This Row],[Mã Khách]])*
(Table_DonBan[Ngày lập]&lt;=Table_DonBan[[#This Row],[Ngày lập]])
))</f>
        <v>10</v>
      </c>
      <c r="AQ51" s="244"/>
      <c r="AR51" s="245">
        <f>Table_DonBan[[#This Row],[ĐK - Phân loại]]*Table_DonBan[[#This Row],[ĐK - Thời gian]]*Table_DonBan[[#This Row],[ĐK - Giá trị]]*Table_DonBan[[#This Row],[ĐK - Số lượng]]*Table_DonBan[[#This Row],[ĐK - Sinh nhật]]*Table_DonBan[[#This Row],[ĐK - Ngày mua cuối]]</f>
        <v>1</v>
      </c>
      <c r="AS51" s="245">
        <f xml:space="preserve">
IF(ISBLANK(Table_DonBan[[#This Row],[Chương trình]]),1,
IF(VLOOKUP(Table_DonBan[[#This Row],[Chương trình]],Table_ChuongTrinh[[Mã Chương trình]:[Đối tượng CK]],Sheet_ChuongTrinh!$C$1,0) = "Đơn hàng",1,0))</f>
        <v>1</v>
      </c>
      <c r="AT51"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1" s="245">
        <f>IF(ISBLANK(Table_DonBan[[#This Row],[Chương trình]]),
1,
IF(ISBLANK(VLOOKUP(Table_DonBan[[#This Row],[Chương trình]],Table_ChuongTrinh[],Sheet_ChuongTrinh!$J$1,0)),
1,
IF(Table_DonBan[[#This Row],[Tiền hàng]]&gt;= VLOOKUP(Table_DonBan[[#This Row],[Chương trình]],Table_ChuongTrinh[],Sheet_ChuongTrinh!$J$1,0),
1,
0)))</f>
        <v>1</v>
      </c>
      <c r="AV51"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1"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1"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1"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300000</v>
      </c>
    </row>
    <row r="52" spans="20:51" ht="18" customHeight="1" x14ac:dyDescent="0.3">
      <c r="T52" s="248"/>
      <c r="U52" s="51" t="str">
        <f>CONCATENATE("BAN-",Table_DonBan[[#This Row],[Mã Khách]],"-",MOD(YEAR(Table_DonBan[[#This Row],[Ngày lập]]),100)*10000+MONTH(Table_DonBan[[#This Row],[Ngày lập]])*100+DAY(Table_DonBan[[#This Row],[Ngày lập]]),"-",Table_DonBan[[#This Row],[TT]])</f>
        <v>BAN-KH1-250509-</v>
      </c>
      <c r="V52" s="411">
        <v>45786</v>
      </c>
      <c r="W52" s="411"/>
      <c r="X52" s="411"/>
      <c r="Y52" s="249" t="s">
        <v>1195</v>
      </c>
      <c r="Z52" s="244"/>
      <c r="AA52" s="244"/>
      <c r="AB52" s="17">
        <f>IFERROR(SUM(_xlfn._xlws.FILTER(Table_Main[Giá trị bán trước VAT],
(Table_Main[Đơn bán]=Table_DonBan[[#This Row],[Mã Đơn bán]]),
)),0)</f>
        <v>10600000</v>
      </c>
      <c r="AC52" s="17">
        <f>IFERROR(SUM(_xlfn._xlws.FILTER(Table_Main[VAT],
(Table_Main[Đơn bán]=Table_DonBan[[#This Row],[Mã Đơn bán]]),
)),0)</f>
        <v>0</v>
      </c>
      <c r="AD52" s="17" cm="1">
        <f t="array" ref="AD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197000</v>
      </c>
      <c r="AE52" s="418"/>
      <c r="AF52" s="246"/>
      <c r="AG52"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2" s="48">
        <f>(AB52/ABS(AB52))
*IFERROR(
IF(
ISBLANK(
VLOOKUP(
AF52,
Table_ChuongTrinh[],
COUNTA(Table_ChuongTrinh[[#Headers],[Mã Chương trình]:[Tỷ lệ CK]]),
0)
),
VLOOKUP(
AF52,
Table_ChuongTrinh[],
COUNTA(Table_ChuongTrinh[[#Headers],[Mã Chương trình]:[Giá trị CK]]),
0),
VLOOKUP(
AF52,
Table_ChuongTrinh[],
COUNTA(Table_ChuongTrinh[[#Headers],[Mã Chương trình]:[Tỷ lệ CK]]),
0)*ABS(AB52)
),
0)+AE52</f>
        <v>0</v>
      </c>
      <c r="AI52" s="17">
        <f>IFERROR(Table_DonBan[[#This Row],[VAT hàng]]-Table_DonBan[[#This Row],[VAT hàng]]*Table_DonBan[[#This Row],[Giá trị CK]]/Table_DonBan[[#This Row],[Tiền hàng]],0)</f>
        <v>0</v>
      </c>
      <c r="AJ52" s="17">
        <f>+Table_DonBan[[#This Row],[Tiền hàng]]-Table_DonBan[[#This Row],[Giá trị CK]]</f>
        <v>10600000</v>
      </c>
      <c r="AK52" s="17">
        <f>Table_DonBan[[#This Row],[Doanh thu ròng]]</f>
        <v>10600000</v>
      </c>
      <c r="AL52" s="17">
        <f>Table_DonBan[[#This Row],[Tiền hàng]]+Table_DonBan[[#This Row],[Tổng VAT]]-Table_DonBan[[#This Row],[Giá trị CK]]</f>
        <v>10600000</v>
      </c>
      <c r="AM5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32400000</v>
      </c>
      <c r="AN52" s="536">
        <f>+IFERROR(
MAX(_xlfn._xlws.FILTER(Table_KHThanThiet_ChinhSach[Tỷ lệ điểm thưởng],
(Table_KHThanThiet_ChinhSach[Doanh thu tối thiểu]&lt;=Table_DonBan[[#This Row],[Doanh thu tính điểm]])
)),0)</f>
        <v>0.03</v>
      </c>
      <c r="AO52" s="17">
        <f xml:space="preserve">
Table_DonBan[[#This Row],[Tỷ lệ tính điểm]]*Table_DonBan[[#This Row],[Doanh thu ròng]]</f>
        <v>318000</v>
      </c>
      <c r="AP52" s="246">
        <f>COUNTA(_xlfn._xlws.FILTER(Table_DonBan[Mã Khách],
(Table_DonBan[Mã Khách]=Table_DonBan[[#This Row],[Mã Khách]])*
(Table_DonBan[Ngày lập]&lt;=Table_DonBan[[#This Row],[Ngày lập]])
))</f>
        <v>6</v>
      </c>
      <c r="AQ52" s="244"/>
      <c r="AR52" s="245">
        <f>Table_DonBan[[#This Row],[ĐK - Phân loại]]*Table_DonBan[[#This Row],[ĐK - Thời gian]]*Table_DonBan[[#This Row],[ĐK - Giá trị]]*Table_DonBan[[#This Row],[ĐK - Số lượng]]*Table_DonBan[[#This Row],[ĐK - Sinh nhật]]*Table_DonBan[[#This Row],[ĐK - Ngày mua cuối]]</f>
        <v>1</v>
      </c>
      <c r="AS52" s="245">
        <f xml:space="preserve">
IF(ISBLANK(Table_DonBan[[#This Row],[Chương trình]]),1,
IF(VLOOKUP(Table_DonBan[[#This Row],[Chương trình]],Table_ChuongTrinh[[Mã Chương trình]:[Đối tượng CK]],Sheet_ChuongTrinh!$C$1,0) = "Đơn hàng",1,0))</f>
        <v>1</v>
      </c>
      <c r="AT52"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2" s="245">
        <f>IF(ISBLANK(Table_DonBan[[#This Row],[Chương trình]]),
1,
IF(ISBLANK(VLOOKUP(Table_DonBan[[#This Row],[Chương trình]],Table_ChuongTrinh[],Sheet_ChuongTrinh!$J$1,0)),
1,
IF(Table_DonBan[[#This Row],[Tiền hàng]]&gt;= VLOOKUP(Table_DonBan[[#This Row],[Chương trình]],Table_ChuongTrinh[],Sheet_ChuongTrinh!$J$1,0),
1,
0)))</f>
        <v>1</v>
      </c>
      <c r="AV52"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2"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2"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2"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3" spans="20:51" ht="18" customHeight="1" x14ac:dyDescent="0.3">
      <c r="T53" s="248"/>
      <c r="U53" s="51" t="str">
        <f>CONCATENATE("BAN-",Table_DonBan[[#This Row],[Mã Khách]],"-",MOD(YEAR(Table_DonBan[[#This Row],[Ngày lập]]),100)*10000+MONTH(Table_DonBan[[#This Row],[Ngày lập]])*100+DAY(Table_DonBan[[#This Row],[Ngày lập]]),"-",Table_DonBan[[#This Row],[TT]])</f>
        <v>BAN-KH1-250507-</v>
      </c>
      <c r="V53" s="411">
        <v>45784</v>
      </c>
      <c r="W53" s="411"/>
      <c r="X53" s="411"/>
      <c r="Y53" s="249" t="s">
        <v>1195</v>
      </c>
      <c r="Z53" s="244"/>
      <c r="AA53" s="244"/>
      <c r="AB53" s="17">
        <f>IFERROR(SUM(_xlfn._xlws.FILTER(Table_Main[Giá trị bán trước VAT],
(Table_Main[Đơn bán]=Table_DonBan[[#This Row],[Mã Đơn bán]]),
)),0)</f>
        <v>17000000</v>
      </c>
      <c r="AC53" s="17">
        <f>IFERROR(SUM(_xlfn._xlws.FILTER(Table_Main[VAT],
(Table_Main[Đơn bán]=Table_DonBan[[#This Row],[Mã Đơn bán]]),
)),0)</f>
        <v>0</v>
      </c>
      <c r="AD53" s="17" cm="1">
        <f t="array" ref="AD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27000</v>
      </c>
      <c r="AE53" s="418"/>
      <c r="AF53" s="246"/>
      <c r="AG53"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3" s="48">
        <f>(AB53/ABS(AB53))
*IFERROR(
IF(
ISBLANK(
VLOOKUP(
AF53,
Table_ChuongTrinh[],
COUNTA(Table_ChuongTrinh[[#Headers],[Mã Chương trình]:[Tỷ lệ CK]]),
0)
),
VLOOKUP(
AF53,
Table_ChuongTrinh[],
COUNTA(Table_ChuongTrinh[[#Headers],[Mã Chương trình]:[Giá trị CK]]),
0),
VLOOKUP(
AF53,
Table_ChuongTrinh[],
COUNTA(Table_ChuongTrinh[[#Headers],[Mã Chương trình]:[Tỷ lệ CK]]),
0)*ABS(AB53)
),
0)+AE53</f>
        <v>0</v>
      </c>
      <c r="AI53" s="17">
        <f>IFERROR(Table_DonBan[[#This Row],[VAT hàng]]-Table_DonBan[[#This Row],[VAT hàng]]*Table_DonBan[[#This Row],[Giá trị CK]]/Table_DonBan[[#This Row],[Tiền hàng]],0)</f>
        <v>0</v>
      </c>
      <c r="AJ53" s="17">
        <f>+Table_DonBan[[#This Row],[Tiền hàng]]-Table_DonBan[[#This Row],[Giá trị CK]]</f>
        <v>17000000</v>
      </c>
      <c r="AK53" s="17">
        <f>Table_DonBan[[#This Row],[Doanh thu ròng]]</f>
        <v>17000000</v>
      </c>
      <c r="AL53" s="17">
        <f>Table_DonBan[[#This Row],[Tiền hàng]]+Table_DonBan[[#This Row],[Tổng VAT]]-Table_DonBan[[#This Row],[Giá trị CK]]</f>
        <v>17000000</v>
      </c>
      <c r="AM5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15400000</v>
      </c>
      <c r="AN53" s="536">
        <f>+IFERROR(
MAX(_xlfn._xlws.FILTER(Table_KHThanThiet_ChinhSach[Tỷ lệ điểm thưởng],
(Table_KHThanThiet_ChinhSach[Doanh thu tối thiểu]&lt;=Table_DonBan[[#This Row],[Doanh thu tính điểm]])
)),0)</f>
        <v>0.01</v>
      </c>
      <c r="AO53" s="17">
        <f xml:space="preserve">
Table_DonBan[[#This Row],[Tỷ lệ tính điểm]]*Table_DonBan[[#This Row],[Doanh thu ròng]]</f>
        <v>170000</v>
      </c>
      <c r="AP53" s="246">
        <f>COUNTA(_xlfn._xlws.FILTER(Table_DonBan[Mã Khách],
(Table_DonBan[Mã Khách]=Table_DonBan[[#This Row],[Mã Khách]])*
(Table_DonBan[Ngày lập]&lt;=Table_DonBan[[#This Row],[Ngày lập]])
))</f>
        <v>5</v>
      </c>
      <c r="AQ53" s="244"/>
      <c r="AR53" s="245">
        <f>Table_DonBan[[#This Row],[ĐK - Phân loại]]*Table_DonBan[[#This Row],[ĐK - Thời gian]]*Table_DonBan[[#This Row],[ĐK - Giá trị]]*Table_DonBan[[#This Row],[ĐK - Số lượng]]*Table_DonBan[[#This Row],[ĐK - Sinh nhật]]*Table_DonBan[[#This Row],[ĐK - Ngày mua cuối]]</f>
        <v>1</v>
      </c>
      <c r="AS53" s="245">
        <f xml:space="preserve">
IF(ISBLANK(Table_DonBan[[#This Row],[Chương trình]]),1,
IF(VLOOKUP(Table_DonBan[[#This Row],[Chương trình]],Table_ChuongTrinh[[Mã Chương trình]:[Đối tượng CK]],Sheet_ChuongTrinh!$C$1,0) = "Đơn hàng",1,0))</f>
        <v>1</v>
      </c>
      <c r="AT53"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3" s="245">
        <f>IF(ISBLANK(Table_DonBan[[#This Row],[Chương trình]]),
1,
IF(ISBLANK(VLOOKUP(Table_DonBan[[#This Row],[Chương trình]],Table_ChuongTrinh[],Sheet_ChuongTrinh!$J$1,0)),
1,
IF(Table_DonBan[[#This Row],[Tiền hàng]]&gt;= VLOOKUP(Table_DonBan[[#This Row],[Chương trình]],Table_ChuongTrinh[],Sheet_ChuongTrinh!$J$1,0),
1,
0)))</f>
        <v>1</v>
      </c>
      <c r="AV53"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3"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3"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3"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4" spans="20:51" ht="18" customHeight="1" x14ac:dyDescent="0.3">
      <c r="T54" s="248"/>
      <c r="U54" s="51" t="str">
        <f>CONCATENATE("BAN-",Table_DonBan[[#This Row],[Mã Khách]],"-",MOD(YEAR(Table_DonBan[[#This Row],[Ngày lập]]),100)*10000+MONTH(Table_DonBan[[#This Row],[Ngày lập]])*100+DAY(Table_DonBan[[#This Row],[Ngày lập]]),"-",Table_DonBan[[#This Row],[TT]])</f>
        <v>BAN-KH2-250502-</v>
      </c>
      <c r="V54" s="411">
        <v>45779</v>
      </c>
      <c r="W54" s="411"/>
      <c r="X54" s="411"/>
      <c r="Y54" s="249" t="s">
        <v>1196</v>
      </c>
      <c r="Z54" s="244"/>
      <c r="AA54" s="244"/>
      <c r="AB54" s="17">
        <f>IFERROR(SUM(_xlfn._xlws.FILTER(Table_Main[Giá trị bán trước VAT],
(Table_Main[Đơn bán]=Table_DonBan[[#This Row],[Mã Đơn bán]]),
)),0)</f>
        <v>4800000</v>
      </c>
      <c r="AC54" s="17">
        <f>IFERROR(SUM(_xlfn._xlws.FILTER(Table_Main[VAT],
(Table_Main[Đơn bán]=Table_DonBan[[#This Row],[Mã Đơn bán]]),
)),0)</f>
        <v>0</v>
      </c>
      <c r="AD54" s="17" cm="1">
        <f t="array" ref="AD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1610000</v>
      </c>
      <c r="AE54" s="418"/>
      <c r="AF54" s="246"/>
      <c r="AG54"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4" s="48">
        <f>(AB54/ABS(AB54))
*IFERROR(
IF(
ISBLANK(
VLOOKUP(
AF54,
Table_ChuongTrinh[],
COUNTA(Table_ChuongTrinh[[#Headers],[Mã Chương trình]:[Tỷ lệ CK]]),
0)
),
VLOOKUP(
AF54,
Table_ChuongTrinh[],
COUNTA(Table_ChuongTrinh[[#Headers],[Mã Chương trình]:[Giá trị CK]]),
0),
VLOOKUP(
AF54,
Table_ChuongTrinh[],
COUNTA(Table_ChuongTrinh[[#Headers],[Mã Chương trình]:[Tỷ lệ CK]]),
0)*ABS(AB54)
),
0)+AE54</f>
        <v>0</v>
      </c>
      <c r="AI54" s="17">
        <f>IFERROR(Table_DonBan[[#This Row],[VAT hàng]]-Table_DonBan[[#This Row],[VAT hàng]]*Table_DonBan[[#This Row],[Giá trị CK]]/Table_DonBan[[#This Row],[Tiền hàng]],0)</f>
        <v>0</v>
      </c>
      <c r="AJ54" s="17">
        <f>+Table_DonBan[[#This Row],[Tiền hàng]]-Table_DonBan[[#This Row],[Giá trị CK]]</f>
        <v>4800000</v>
      </c>
      <c r="AK54" s="17">
        <f>Table_DonBan[[#This Row],[Doanh thu ròng]]</f>
        <v>4800000</v>
      </c>
      <c r="AL54" s="17">
        <f>Table_DonBan[[#This Row],[Tiền hàng]]+Table_DonBan[[#This Row],[Tổng VAT]]-Table_DonBan[[#This Row],[Giá trị CK]]</f>
        <v>4800000</v>
      </c>
      <c r="AM5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66300000</v>
      </c>
      <c r="AN54" s="536">
        <f>+IFERROR(
MAX(_xlfn._xlws.FILTER(Table_KHThanThiet_ChinhSach[Tỷ lệ điểm thưởng],
(Table_KHThanThiet_ChinhSach[Doanh thu tối thiểu]&lt;=Table_DonBan[[#This Row],[Doanh thu tính điểm]])
)),0)</f>
        <v>7.0000000000000007E-2</v>
      </c>
      <c r="AO54" s="17">
        <f xml:space="preserve">
Table_DonBan[[#This Row],[Tỷ lệ tính điểm]]*Table_DonBan[[#This Row],[Doanh thu ròng]]</f>
        <v>336000.00000000006</v>
      </c>
      <c r="AP54" s="246">
        <f>COUNTA(_xlfn._xlws.FILTER(Table_DonBan[Mã Khách],
(Table_DonBan[Mã Khách]=Table_DonBan[[#This Row],[Mã Khách]])*
(Table_DonBan[Ngày lập]&lt;=Table_DonBan[[#This Row],[Ngày lập]])
))</f>
        <v>9</v>
      </c>
      <c r="AQ54" s="244"/>
      <c r="AR54" s="245">
        <f>Table_DonBan[[#This Row],[ĐK - Phân loại]]*Table_DonBan[[#This Row],[ĐK - Thời gian]]*Table_DonBan[[#This Row],[ĐK - Giá trị]]*Table_DonBan[[#This Row],[ĐK - Số lượng]]*Table_DonBan[[#This Row],[ĐK - Sinh nhật]]*Table_DonBan[[#This Row],[ĐK - Ngày mua cuối]]</f>
        <v>1</v>
      </c>
      <c r="AS54" s="245">
        <f xml:space="preserve">
IF(ISBLANK(Table_DonBan[[#This Row],[Chương trình]]),1,
IF(VLOOKUP(Table_DonBan[[#This Row],[Chương trình]],Table_ChuongTrinh[[Mã Chương trình]:[Đối tượng CK]],Sheet_ChuongTrinh!$C$1,0) = "Đơn hàng",1,0))</f>
        <v>1</v>
      </c>
      <c r="AT54"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4" s="245">
        <f>IF(ISBLANK(Table_DonBan[[#This Row],[Chương trình]]),
1,
IF(ISBLANK(VLOOKUP(Table_DonBan[[#This Row],[Chương trình]],Table_ChuongTrinh[],Sheet_ChuongTrinh!$J$1,0)),
1,
IF(Table_DonBan[[#This Row],[Tiền hàng]]&gt;= VLOOKUP(Table_DonBan[[#This Row],[Chương trình]],Table_ChuongTrinh[],Sheet_ChuongTrinh!$J$1,0),
1,
0)))</f>
        <v>1</v>
      </c>
      <c r="AV54"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4"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4"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4"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100000</v>
      </c>
    </row>
    <row r="55" spans="20:51" ht="18" customHeight="1" x14ac:dyDescent="0.3">
      <c r="T55" s="248"/>
      <c r="U55" s="51" t="str">
        <f>CONCATENATE("BAN-",Table_DonBan[[#This Row],[Mã Khách]],"-",MOD(YEAR(Table_DonBan[[#This Row],[Ngày lập]]),100)*10000+MONTH(Table_DonBan[[#This Row],[Ngày lập]])*100+DAY(Table_DonBan[[#This Row],[Ngày lập]]),"-",Table_DonBan[[#This Row],[TT]])</f>
        <v>BAN-KH3-250430-</v>
      </c>
      <c r="V55" s="411">
        <v>45777</v>
      </c>
      <c r="W55" s="411"/>
      <c r="X55" s="411"/>
      <c r="Y55" s="249" t="s">
        <v>1197</v>
      </c>
      <c r="Z55" s="244"/>
      <c r="AA55" s="244"/>
      <c r="AB55" s="17">
        <f>IFERROR(SUM(_xlfn._xlws.FILTER(Table_Main[Giá trị bán trước VAT],
(Table_Main[Đơn bán]=Table_DonBan[[#This Row],[Mã Đơn bán]]),
)),0)</f>
        <v>19500000</v>
      </c>
      <c r="AC55" s="17">
        <f>IFERROR(SUM(_xlfn._xlws.FILTER(Table_Main[VAT],
(Table_Main[Đơn bán]=Table_DonBan[[#This Row],[Mã Đơn bán]]),
)),0)</f>
        <v>0</v>
      </c>
      <c r="AD55" s="17" cm="1">
        <f t="array" ref="AD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55" s="418"/>
      <c r="AF55" s="246"/>
      <c r="AG55"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5" s="48">
        <f>(AB55/ABS(AB55))
*IFERROR(
IF(
ISBLANK(
VLOOKUP(
AF55,
Table_ChuongTrinh[],
COUNTA(Table_ChuongTrinh[[#Headers],[Mã Chương trình]:[Tỷ lệ CK]]),
0)
),
VLOOKUP(
AF55,
Table_ChuongTrinh[],
COUNTA(Table_ChuongTrinh[[#Headers],[Mã Chương trình]:[Giá trị CK]]),
0),
VLOOKUP(
AF55,
Table_ChuongTrinh[],
COUNTA(Table_ChuongTrinh[[#Headers],[Mã Chương trình]:[Tỷ lệ CK]]),
0)*ABS(AB55)
),
0)+AE55</f>
        <v>0</v>
      </c>
      <c r="AI55" s="17">
        <f>IFERROR(Table_DonBan[[#This Row],[VAT hàng]]-Table_DonBan[[#This Row],[VAT hàng]]*Table_DonBan[[#This Row],[Giá trị CK]]/Table_DonBan[[#This Row],[Tiền hàng]],0)</f>
        <v>0</v>
      </c>
      <c r="AJ55" s="17">
        <f>+Table_DonBan[[#This Row],[Tiền hàng]]-Table_DonBan[[#This Row],[Giá trị CK]]</f>
        <v>19500000</v>
      </c>
      <c r="AK55" s="17">
        <f>Table_DonBan[[#This Row],[Doanh thu ròng]]</f>
        <v>19500000</v>
      </c>
      <c r="AL55" s="17">
        <f>Table_DonBan[[#This Row],[Tiền hàng]]+Table_DonBan[[#This Row],[Tổng VAT]]-Table_DonBan[[#This Row],[Giá trị CK]]</f>
        <v>19500000</v>
      </c>
      <c r="AM5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20000000</v>
      </c>
      <c r="AN55" s="536">
        <f>+IFERROR(
MAX(_xlfn._xlws.FILTER(Table_KHThanThiet_ChinhSach[Tỷ lệ điểm thưởng],
(Table_KHThanThiet_ChinhSach[Doanh thu tối thiểu]&lt;=Table_DonBan[[#This Row],[Doanh thu tính điểm]])
)),0)</f>
        <v>0.03</v>
      </c>
      <c r="AO55" s="17">
        <f xml:space="preserve">
Table_DonBan[[#This Row],[Tỷ lệ tính điểm]]*Table_DonBan[[#This Row],[Doanh thu ròng]]</f>
        <v>585000</v>
      </c>
      <c r="AP55" s="246">
        <f>COUNTA(_xlfn._xlws.FILTER(Table_DonBan[Mã Khách],
(Table_DonBan[Mã Khách]=Table_DonBan[[#This Row],[Mã Khách]])*
(Table_DonBan[Ngày lập]&lt;=Table_DonBan[[#This Row],[Ngày lập]])
))</f>
        <v>5</v>
      </c>
      <c r="AQ55" s="244"/>
      <c r="AR55" s="245">
        <f>Table_DonBan[[#This Row],[ĐK - Phân loại]]*Table_DonBan[[#This Row],[ĐK - Thời gian]]*Table_DonBan[[#This Row],[ĐK - Giá trị]]*Table_DonBan[[#This Row],[ĐK - Số lượng]]*Table_DonBan[[#This Row],[ĐK - Sinh nhật]]*Table_DonBan[[#This Row],[ĐK - Ngày mua cuối]]</f>
        <v>1</v>
      </c>
      <c r="AS55" s="245">
        <f xml:space="preserve">
IF(ISBLANK(Table_DonBan[[#This Row],[Chương trình]]),1,
IF(VLOOKUP(Table_DonBan[[#This Row],[Chương trình]],Table_ChuongTrinh[[Mã Chương trình]:[Đối tượng CK]],Sheet_ChuongTrinh!$C$1,0) = "Đơn hàng",1,0))</f>
        <v>1</v>
      </c>
      <c r="AT55"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5" s="245">
        <f>IF(ISBLANK(Table_DonBan[[#This Row],[Chương trình]]),
1,
IF(ISBLANK(VLOOKUP(Table_DonBan[[#This Row],[Chương trình]],Table_ChuongTrinh[],Sheet_ChuongTrinh!$J$1,0)),
1,
IF(Table_DonBan[[#This Row],[Tiền hàng]]&gt;= VLOOKUP(Table_DonBan[[#This Row],[Chương trình]],Table_ChuongTrinh[],Sheet_ChuongTrinh!$J$1,0),
1,
0)))</f>
        <v>1</v>
      </c>
      <c r="AV55"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5"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5"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5"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6" spans="20:51" ht="18" customHeight="1" x14ac:dyDescent="0.3">
      <c r="T56" s="248"/>
      <c r="U56" s="51" t="str">
        <f>CONCATENATE("BAN-",Table_DonBan[[#This Row],[Mã Khách]],"-",MOD(YEAR(Table_DonBan[[#This Row],[Ngày lập]]),100)*10000+MONTH(Table_DonBan[[#This Row],[Ngày lập]])*100+DAY(Table_DonBan[[#This Row],[Ngày lập]]),"-",Table_DonBan[[#This Row],[TT]])</f>
        <v>BAN-KH3-250429-</v>
      </c>
      <c r="V56" s="411">
        <v>45776</v>
      </c>
      <c r="W56" s="411"/>
      <c r="X56" s="411"/>
      <c r="Y56" s="249" t="s">
        <v>1197</v>
      </c>
      <c r="Z56" s="244"/>
      <c r="AA56" s="244"/>
      <c r="AB56" s="17">
        <f>IFERROR(SUM(_xlfn._xlws.FILTER(Table_Main[Giá trị bán trước VAT],
(Table_Main[Đơn bán]=Table_DonBan[[#This Row],[Mã Đơn bán]]),
)),0)</f>
        <v>10500000</v>
      </c>
      <c r="AC56" s="17">
        <f>IFERROR(SUM(_xlfn._xlws.FILTER(Table_Main[VAT],
(Table_Main[Đơn bán]=Table_DonBan[[#This Row],[Mã Đơn bán]]),
)),0)</f>
        <v>0</v>
      </c>
      <c r="AD56" s="17" cm="1">
        <f t="array" ref="AD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56" s="418"/>
      <c r="AF56" s="246"/>
      <c r="AG56"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6" s="48">
        <f>(AB56/ABS(AB56))
*IFERROR(
IF(
ISBLANK(
VLOOKUP(
AF56,
Table_ChuongTrinh[],
COUNTA(Table_ChuongTrinh[[#Headers],[Mã Chương trình]:[Tỷ lệ CK]]),
0)
),
VLOOKUP(
AF56,
Table_ChuongTrinh[],
COUNTA(Table_ChuongTrinh[[#Headers],[Mã Chương trình]:[Giá trị CK]]),
0),
VLOOKUP(
AF56,
Table_ChuongTrinh[],
COUNTA(Table_ChuongTrinh[[#Headers],[Mã Chương trình]:[Tỷ lệ CK]]),
0)*ABS(AB56)
),
0)+AE56</f>
        <v>0</v>
      </c>
      <c r="AI56" s="17">
        <f>IFERROR(Table_DonBan[[#This Row],[VAT hàng]]-Table_DonBan[[#This Row],[VAT hàng]]*Table_DonBan[[#This Row],[Giá trị CK]]/Table_DonBan[[#This Row],[Tiền hàng]],0)</f>
        <v>0</v>
      </c>
      <c r="AJ56" s="17">
        <f>+Table_DonBan[[#This Row],[Tiền hàng]]-Table_DonBan[[#This Row],[Giá trị CK]]</f>
        <v>10500000</v>
      </c>
      <c r="AK56" s="17">
        <f>Table_DonBan[[#This Row],[Doanh thu ròng]]</f>
        <v>10500000</v>
      </c>
      <c r="AL56" s="17">
        <f>Table_DonBan[[#This Row],[Tiền hàng]]+Table_DonBan[[#This Row],[Tổng VAT]]-Table_DonBan[[#This Row],[Giá trị CK]]</f>
        <v>10500000</v>
      </c>
      <c r="AM5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9500000</v>
      </c>
      <c r="AN56" s="536">
        <f>+IFERROR(
MAX(_xlfn._xlws.FILTER(Table_KHThanThiet_ChinhSach[Tỷ lệ điểm thưởng],
(Table_KHThanThiet_ChinhSach[Doanh thu tối thiểu]&lt;=Table_DonBan[[#This Row],[Doanh thu tính điểm]])
)),0)</f>
        <v>0</v>
      </c>
      <c r="AO56" s="17">
        <f xml:space="preserve">
Table_DonBan[[#This Row],[Tỷ lệ tính điểm]]*Table_DonBan[[#This Row],[Doanh thu ròng]]</f>
        <v>0</v>
      </c>
      <c r="AP56" s="246">
        <f>COUNTA(_xlfn._xlws.FILTER(Table_DonBan[Mã Khách],
(Table_DonBan[Mã Khách]=Table_DonBan[[#This Row],[Mã Khách]])*
(Table_DonBan[Ngày lập]&lt;=Table_DonBan[[#This Row],[Ngày lập]])
))</f>
        <v>4</v>
      </c>
      <c r="AQ56" s="244"/>
      <c r="AR56" s="245">
        <f>Table_DonBan[[#This Row],[ĐK - Phân loại]]*Table_DonBan[[#This Row],[ĐK - Thời gian]]*Table_DonBan[[#This Row],[ĐK - Giá trị]]*Table_DonBan[[#This Row],[ĐK - Số lượng]]*Table_DonBan[[#This Row],[ĐK - Sinh nhật]]*Table_DonBan[[#This Row],[ĐK - Ngày mua cuối]]</f>
        <v>1</v>
      </c>
      <c r="AS56" s="245">
        <f xml:space="preserve">
IF(ISBLANK(Table_DonBan[[#This Row],[Chương trình]]),1,
IF(VLOOKUP(Table_DonBan[[#This Row],[Chương trình]],Table_ChuongTrinh[[Mã Chương trình]:[Đối tượng CK]],Sheet_ChuongTrinh!$C$1,0) = "Đơn hàng",1,0))</f>
        <v>1</v>
      </c>
      <c r="AT56"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6" s="245">
        <f>IF(ISBLANK(Table_DonBan[[#This Row],[Chương trình]]),
1,
IF(ISBLANK(VLOOKUP(Table_DonBan[[#This Row],[Chương trình]],Table_ChuongTrinh[],Sheet_ChuongTrinh!$J$1,0)),
1,
IF(Table_DonBan[[#This Row],[Tiền hàng]]&gt;= VLOOKUP(Table_DonBan[[#This Row],[Chương trình]],Table_ChuongTrinh[],Sheet_ChuongTrinh!$J$1,0),
1,
0)))</f>
        <v>1</v>
      </c>
      <c r="AV56"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6"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6"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6"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7" spans="20:51" ht="18" customHeight="1" x14ac:dyDescent="0.3">
      <c r="T57" s="248"/>
      <c r="U57" s="51" t="str">
        <f>CONCATENATE("BAN-",Table_DonBan[[#This Row],[Mã Khách]],"-",MOD(YEAR(Table_DonBan[[#This Row],[Ngày lập]]),100)*10000+MONTH(Table_DonBan[[#This Row],[Ngày lập]])*100+DAY(Table_DonBan[[#This Row],[Ngày lập]]),"-",Table_DonBan[[#This Row],[TT]])</f>
        <v>BAN-KH2-250427-</v>
      </c>
      <c r="V57" s="411">
        <v>45774</v>
      </c>
      <c r="W57" s="411"/>
      <c r="X57" s="411"/>
      <c r="Y57" s="249" t="s">
        <v>1196</v>
      </c>
      <c r="Z57" s="244"/>
      <c r="AA57" s="244"/>
      <c r="AB57" s="17">
        <f>IFERROR(SUM(_xlfn._xlws.FILTER(Table_Main[Giá trị bán trước VAT],
(Table_Main[Đơn bán]=Table_DonBan[[#This Row],[Mã Đơn bán]]),
)),0)</f>
        <v>8400000</v>
      </c>
      <c r="AC57" s="17">
        <f>IFERROR(SUM(_xlfn._xlws.FILTER(Table_Main[VAT],
(Table_Main[Đơn bán]=Table_DonBan[[#This Row],[Mã Đơn bán]]),
)),0)</f>
        <v>0</v>
      </c>
      <c r="AD57" s="17" cm="1">
        <f t="array" ref="AD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1190000</v>
      </c>
      <c r="AE57" s="418"/>
      <c r="AF57" s="246"/>
      <c r="AG57"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7" s="48">
        <f>(AB57/ABS(AB57))
*IFERROR(
IF(
ISBLANK(
VLOOKUP(
AF57,
Table_ChuongTrinh[],
COUNTA(Table_ChuongTrinh[[#Headers],[Mã Chương trình]:[Tỷ lệ CK]]),
0)
),
VLOOKUP(
AF57,
Table_ChuongTrinh[],
COUNTA(Table_ChuongTrinh[[#Headers],[Mã Chương trình]:[Giá trị CK]]),
0),
VLOOKUP(
AF57,
Table_ChuongTrinh[],
COUNTA(Table_ChuongTrinh[[#Headers],[Mã Chương trình]:[Tỷ lệ CK]]),
0)*ABS(AB57)
),
0)+AE57</f>
        <v>0</v>
      </c>
      <c r="AI57" s="17">
        <f>IFERROR(Table_DonBan[[#This Row],[VAT hàng]]-Table_DonBan[[#This Row],[VAT hàng]]*Table_DonBan[[#This Row],[Giá trị CK]]/Table_DonBan[[#This Row],[Tiền hàng]],0)</f>
        <v>0</v>
      </c>
      <c r="AJ57" s="17">
        <f>+Table_DonBan[[#This Row],[Tiền hàng]]-Table_DonBan[[#This Row],[Giá trị CK]]</f>
        <v>8400000</v>
      </c>
      <c r="AK57" s="17">
        <f>Table_DonBan[[#This Row],[Doanh thu ròng]]</f>
        <v>8400000</v>
      </c>
      <c r="AL57" s="17">
        <f>Table_DonBan[[#This Row],[Tiền hàng]]+Table_DonBan[[#This Row],[Tổng VAT]]-Table_DonBan[[#This Row],[Giá trị CK]]</f>
        <v>8400000</v>
      </c>
      <c r="AM5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57900000</v>
      </c>
      <c r="AN57" s="536">
        <f>+IFERROR(
MAX(_xlfn._xlws.FILTER(Table_KHThanThiet_ChinhSach[Tỷ lệ điểm thưởng],
(Table_KHThanThiet_ChinhSach[Doanh thu tối thiểu]&lt;=Table_DonBan[[#This Row],[Doanh thu tính điểm]])
)),0)</f>
        <v>0.05</v>
      </c>
      <c r="AO57" s="17">
        <f xml:space="preserve">
Table_DonBan[[#This Row],[Tỷ lệ tính điểm]]*Table_DonBan[[#This Row],[Doanh thu ròng]]</f>
        <v>420000</v>
      </c>
      <c r="AP57" s="246">
        <f>COUNTA(_xlfn._xlws.FILTER(Table_DonBan[Mã Khách],
(Table_DonBan[Mã Khách]=Table_DonBan[[#This Row],[Mã Khách]])*
(Table_DonBan[Ngày lập]&lt;=Table_DonBan[[#This Row],[Ngày lập]])
))</f>
        <v>8</v>
      </c>
      <c r="AQ57" s="244"/>
      <c r="AR57" s="245">
        <f>Table_DonBan[[#This Row],[ĐK - Phân loại]]*Table_DonBan[[#This Row],[ĐK - Thời gian]]*Table_DonBan[[#This Row],[ĐK - Giá trị]]*Table_DonBan[[#This Row],[ĐK - Số lượng]]*Table_DonBan[[#This Row],[ĐK - Sinh nhật]]*Table_DonBan[[#This Row],[ĐK - Ngày mua cuối]]</f>
        <v>1</v>
      </c>
      <c r="AS57" s="245">
        <f xml:space="preserve">
IF(ISBLANK(Table_DonBan[[#This Row],[Chương trình]]),1,
IF(VLOOKUP(Table_DonBan[[#This Row],[Chương trình]],Table_ChuongTrinh[[Mã Chương trình]:[Đối tượng CK]],Sheet_ChuongTrinh!$C$1,0) = "Đơn hàng",1,0))</f>
        <v>1</v>
      </c>
      <c r="AT57"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7" s="245">
        <f>IF(ISBLANK(Table_DonBan[[#This Row],[Chương trình]]),
1,
IF(ISBLANK(VLOOKUP(Table_DonBan[[#This Row],[Chương trình]],Table_ChuongTrinh[],Sheet_ChuongTrinh!$J$1,0)),
1,
IF(Table_DonBan[[#This Row],[Tiền hàng]]&gt;= VLOOKUP(Table_DonBan[[#This Row],[Chương trình]],Table_ChuongTrinh[],Sheet_ChuongTrinh!$J$1,0),
1,
0)))</f>
        <v>1</v>
      </c>
      <c r="AV57"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7"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7"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7"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8" spans="20:51" ht="18" customHeight="1" x14ac:dyDescent="0.3">
      <c r="T58" s="248"/>
      <c r="U58" s="51" t="str">
        <f>CONCATENATE("BAN-",Table_DonBan[[#This Row],[Mã Khách]],"-",MOD(YEAR(Table_DonBan[[#This Row],[Ngày lập]]),100)*10000+MONTH(Table_DonBan[[#This Row],[Ngày lập]])*100+DAY(Table_DonBan[[#This Row],[Ngày lập]]),"-",Table_DonBan[[#This Row],[TT]])</f>
        <v>BAN-KH2-250424-</v>
      </c>
      <c r="V58" s="411">
        <v>45771</v>
      </c>
      <c r="W58" s="411"/>
      <c r="X58" s="411"/>
      <c r="Y58" s="249" t="s">
        <v>1196</v>
      </c>
      <c r="Z58" s="244"/>
      <c r="AA58" s="244"/>
      <c r="AB58" s="17">
        <f>IFERROR(SUM(_xlfn._xlws.FILTER(Table_Main[Giá trị bán trước VAT],
(Table_Main[Đơn bán]=Table_DonBan[[#This Row],[Mã Đơn bán]]),
)),0)</f>
        <v>5400000</v>
      </c>
      <c r="AC58" s="17">
        <f>IFERROR(SUM(_xlfn._xlws.FILTER(Table_Main[VAT],
(Table_Main[Đơn bán]=Table_DonBan[[#This Row],[Mã Đơn bán]]),
)),0)</f>
        <v>0</v>
      </c>
      <c r="AD58" s="17" cm="1">
        <f t="array" ref="AD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920000</v>
      </c>
      <c r="AE58" s="418"/>
      <c r="AF58" s="246"/>
      <c r="AG58"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8" s="48">
        <f>(AB58/ABS(AB58))
*IFERROR(
IF(
ISBLANK(
VLOOKUP(
AF58,
Table_ChuongTrinh[],
COUNTA(Table_ChuongTrinh[[#Headers],[Mã Chương trình]:[Tỷ lệ CK]]),
0)
),
VLOOKUP(
AF58,
Table_ChuongTrinh[],
COUNTA(Table_ChuongTrinh[[#Headers],[Mã Chương trình]:[Giá trị CK]]),
0),
VLOOKUP(
AF58,
Table_ChuongTrinh[],
COUNTA(Table_ChuongTrinh[[#Headers],[Mã Chương trình]:[Tỷ lệ CK]]),
0)*ABS(AB58)
),
0)+AE58</f>
        <v>0</v>
      </c>
      <c r="AI58" s="17">
        <f>IFERROR(Table_DonBan[[#This Row],[VAT hàng]]-Table_DonBan[[#This Row],[VAT hàng]]*Table_DonBan[[#This Row],[Giá trị CK]]/Table_DonBan[[#This Row],[Tiền hàng]],0)</f>
        <v>0</v>
      </c>
      <c r="AJ58" s="17">
        <f>+Table_DonBan[[#This Row],[Tiền hàng]]-Table_DonBan[[#This Row],[Giá trị CK]]</f>
        <v>5400000</v>
      </c>
      <c r="AK58" s="17">
        <f>Table_DonBan[[#This Row],[Doanh thu ròng]]</f>
        <v>5400000</v>
      </c>
      <c r="AL58" s="17">
        <f>Table_DonBan[[#This Row],[Tiền hàng]]+Table_DonBan[[#This Row],[Tổng VAT]]-Table_DonBan[[#This Row],[Giá trị CK]]</f>
        <v>5400000</v>
      </c>
      <c r="AM5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52500000</v>
      </c>
      <c r="AN58" s="536">
        <f>+IFERROR(
MAX(_xlfn._xlws.FILTER(Table_KHThanThiet_ChinhSach[Tỷ lệ điểm thưởng],
(Table_KHThanThiet_ChinhSach[Doanh thu tối thiểu]&lt;=Table_DonBan[[#This Row],[Doanh thu tính điểm]])
)),0)</f>
        <v>0.05</v>
      </c>
      <c r="AO58" s="17">
        <f xml:space="preserve">
Table_DonBan[[#This Row],[Tỷ lệ tính điểm]]*Table_DonBan[[#This Row],[Doanh thu ròng]]</f>
        <v>270000</v>
      </c>
      <c r="AP58" s="246">
        <f>COUNTA(_xlfn._xlws.FILTER(Table_DonBan[Mã Khách],
(Table_DonBan[Mã Khách]=Table_DonBan[[#This Row],[Mã Khách]])*
(Table_DonBan[Ngày lập]&lt;=Table_DonBan[[#This Row],[Ngày lập]])
))</f>
        <v>7</v>
      </c>
      <c r="AQ58" s="244"/>
      <c r="AR58" s="245">
        <f>Table_DonBan[[#This Row],[ĐK - Phân loại]]*Table_DonBan[[#This Row],[ĐK - Thời gian]]*Table_DonBan[[#This Row],[ĐK - Giá trị]]*Table_DonBan[[#This Row],[ĐK - Số lượng]]*Table_DonBan[[#This Row],[ĐK - Sinh nhật]]*Table_DonBan[[#This Row],[ĐK - Ngày mua cuối]]</f>
        <v>1</v>
      </c>
      <c r="AS58" s="245">
        <f xml:space="preserve">
IF(ISBLANK(Table_DonBan[[#This Row],[Chương trình]]),1,
IF(VLOOKUP(Table_DonBan[[#This Row],[Chương trình]],Table_ChuongTrinh[[Mã Chương trình]:[Đối tượng CK]],Sheet_ChuongTrinh!$C$1,0) = "Đơn hàng",1,0))</f>
        <v>1</v>
      </c>
      <c r="AT58"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8" s="245">
        <f>IF(ISBLANK(Table_DonBan[[#This Row],[Chương trình]]),
1,
IF(ISBLANK(VLOOKUP(Table_DonBan[[#This Row],[Chương trình]],Table_ChuongTrinh[],Sheet_ChuongTrinh!$J$1,0)),
1,
IF(Table_DonBan[[#This Row],[Tiền hàng]]&gt;= VLOOKUP(Table_DonBan[[#This Row],[Chương trình]],Table_ChuongTrinh[],Sheet_ChuongTrinh!$J$1,0),
1,
0)))</f>
        <v>1</v>
      </c>
      <c r="AV58"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8"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8"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8"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9" spans="20:51" ht="18" customHeight="1" x14ac:dyDescent="0.3">
      <c r="T59" s="248"/>
      <c r="U59" s="51" t="str">
        <f>CONCATENATE("BAN-",Table_DonBan[[#This Row],[Mã Khách]],"-",MOD(YEAR(Table_DonBan[[#This Row],[Ngày lập]]),100)*10000+MONTH(Table_DonBan[[#This Row],[Ngày lập]])*100+DAY(Table_DonBan[[#This Row],[Ngày lập]]),"-",Table_DonBan[[#This Row],[TT]])</f>
        <v>BAN-KH3-250417-</v>
      </c>
      <c r="V59" s="411">
        <v>45764</v>
      </c>
      <c r="W59" s="411"/>
      <c r="X59" s="411"/>
      <c r="Y59" s="249" t="s">
        <v>1197</v>
      </c>
      <c r="Z59" s="244"/>
      <c r="AA59" s="244"/>
      <c r="AB59" s="17">
        <f>IFERROR(SUM(_xlfn._xlws.FILTER(Table_Main[Giá trị bán trước VAT],
(Table_Main[Đơn bán]=Table_DonBan[[#This Row],[Mã Đơn bán]]),
)),0)</f>
        <v>2300000</v>
      </c>
      <c r="AC59" s="17">
        <f>IFERROR(SUM(_xlfn._xlws.FILTER(Table_Main[VAT],
(Table_Main[Đơn bán]=Table_DonBan[[#This Row],[Mã Đơn bán]]),
)),0)</f>
        <v>0</v>
      </c>
      <c r="AD59" s="17" cm="1">
        <f t="array" ref="AD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59" s="418"/>
      <c r="AF59" s="246"/>
      <c r="AG59"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9" s="48">
        <f>(AB59/ABS(AB59))
*IFERROR(
IF(
ISBLANK(
VLOOKUP(
AF59,
Table_ChuongTrinh[],
COUNTA(Table_ChuongTrinh[[#Headers],[Mã Chương trình]:[Tỷ lệ CK]]),
0)
),
VLOOKUP(
AF59,
Table_ChuongTrinh[],
COUNTA(Table_ChuongTrinh[[#Headers],[Mã Chương trình]:[Giá trị CK]]),
0),
VLOOKUP(
AF59,
Table_ChuongTrinh[],
COUNTA(Table_ChuongTrinh[[#Headers],[Mã Chương trình]:[Tỷ lệ CK]]),
0)*ABS(AB59)
),
0)+AE59</f>
        <v>0</v>
      </c>
      <c r="AI59" s="17">
        <f>IFERROR(Table_DonBan[[#This Row],[VAT hàng]]-Table_DonBan[[#This Row],[VAT hàng]]*Table_DonBan[[#This Row],[Giá trị CK]]/Table_DonBan[[#This Row],[Tiền hàng]],0)</f>
        <v>0</v>
      </c>
      <c r="AJ59" s="17">
        <f>+Table_DonBan[[#This Row],[Tiền hàng]]-Table_DonBan[[#This Row],[Giá trị CK]]</f>
        <v>2300000</v>
      </c>
      <c r="AK59" s="17">
        <f>Table_DonBan[[#This Row],[Doanh thu ròng]]</f>
        <v>2300000</v>
      </c>
      <c r="AL59" s="17">
        <f>Table_DonBan[[#This Row],[Tiền hàng]]+Table_DonBan[[#This Row],[Tổng VAT]]-Table_DonBan[[#This Row],[Giá trị CK]]</f>
        <v>2300000</v>
      </c>
      <c r="AM5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7200000</v>
      </c>
      <c r="AN59" s="536">
        <f>+IFERROR(
MAX(_xlfn._xlws.FILTER(Table_KHThanThiet_ChinhSach[Tỷ lệ điểm thưởng],
(Table_KHThanThiet_ChinhSach[Doanh thu tối thiểu]&lt;=Table_DonBan[[#This Row],[Doanh thu tính điểm]])
)),0)</f>
        <v>0</v>
      </c>
      <c r="AO59" s="17">
        <f xml:space="preserve">
Table_DonBan[[#This Row],[Tỷ lệ tính điểm]]*Table_DonBan[[#This Row],[Doanh thu ròng]]</f>
        <v>0</v>
      </c>
      <c r="AP59" s="246">
        <f>COUNTA(_xlfn._xlws.FILTER(Table_DonBan[Mã Khách],
(Table_DonBan[Mã Khách]=Table_DonBan[[#This Row],[Mã Khách]])*
(Table_DonBan[Ngày lập]&lt;=Table_DonBan[[#This Row],[Ngày lập]])
))</f>
        <v>3</v>
      </c>
      <c r="AQ59" s="244"/>
      <c r="AR59" s="245">
        <f>Table_DonBan[[#This Row],[ĐK - Phân loại]]*Table_DonBan[[#This Row],[ĐK - Thời gian]]*Table_DonBan[[#This Row],[ĐK - Giá trị]]*Table_DonBan[[#This Row],[ĐK - Số lượng]]*Table_DonBan[[#This Row],[ĐK - Sinh nhật]]*Table_DonBan[[#This Row],[ĐK - Ngày mua cuối]]</f>
        <v>1</v>
      </c>
      <c r="AS59" s="245">
        <f xml:space="preserve">
IF(ISBLANK(Table_DonBan[[#This Row],[Chương trình]]),1,
IF(VLOOKUP(Table_DonBan[[#This Row],[Chương trình]],Table_ChuongTrinh[[Mã Chương trình]:[Đối tượng CK]],Sheet_ChuongTrinh!$C$1,0) = "Đơn hàng",1,0))</f>
        <v>1</v>
      </c>
      <c r="AT59"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9" s="245">
        <f>IF(ISBLANK(Table_DonBan[[#This Row],[Chương trình]]),
1,
IF(ISBLANK(VLOOKUP(Table_DonBan[[#This Row],[Chương trình]],Table_ChuongTrinh[],Sheet_ChuongTrinh!$J$1,0)),
1,
IF(Table_DonBan[[#This Row],[Tiền hàng]]&gt;= VLOOKUP(Table_DonBan[[#This Row],[Chương trình]],Table_ChuongTrinh[],Sheet_ChuongTrinh!$J$1,0),
1,
0)))</f>
        <v>1</v>
      </c>
      <c r="AV59"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9"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9"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9"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0" spans="20:51" ht="18" customHeight="1" x14ac:dyDescent="0.3">
      <c r="T60" s="248"/>
      <c r="U60" s="51" t="str">
        <f>CONCATENATE("BAN-",Table_DonBan[[#This Row],[Mã Khách]],"-",MOD(YEAR(Table_DonBan[[#This Row],[Ngày lập]]),100)*10000+MONTH(Table_DonBan[[#This Row],[Ngày lập]])*100+DAY(Table_DonBan[[#This Row],[Ngày lập]]),"-",Table_DonBan[[#This Row],[TT]])</f>
        <v>BAN-KH2-250415-</v>
      </c>
      <c r="V60" s="411">
        <v>45762</v>
      </c>
      <c r="W60" s="411"/>
      <c r="X60" s="411"/>
      <c r="Y60" s="249" t="s">
        <v>1196</v>
      </c>
      <c r="Z60" s="244"/>
      <c r="AA60" s="244"/>
      <c r="AB60" s="17">
        <f>IFERROR(SUM(_xlfn._xlws.FILTER(Table_Main[Giá trị bán trước VAT],
(Table_Main[Đơn bán]=Table_DonBan[[#This Row],[Mã Đơn bán]]),
)),0)</f>
        <v>3300000</v>
      </c>
      <c r="AC60" s="17">
        <f>IFERROR(SUM(_xlfn._xlws.FILTER(Table_Main[VAT],
(Table_Main[Đơn bán]=Table_DonBan[[#This Row],[Mã Đơn bán]]),
)),0)</f>
        <v>0</v>
      </c>
      <c r="AD60" s="17" cm="1">
        <f t="array" ref="AD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755000</v>
      </c>
      <c r="AE60" s="418"/>
      <c r="AF60" s="246"/>
      <c r="AG60"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0" s="48">
        <f>(AB60/ABS(AB60))
*IFERROR(
IF(
ISBLANK(
VLOOKUP(
AF60,
Table_ChuongTrinh[],
COUNTA(Table_ChuongTrinh[[#Headers],[Mã Chương trình]:[Tỷ lệ CK]]),
0)
),
VLOOKUP(
AF60,
Table_ChuongTrinh[],
COUNTA(Table_ChuongTrinh[[#Headers],[Mã Chương trình]:[Giá trị CK]]),
0),
VLOOKUP(
AF60,
Table_ChuongTrinh[],
COUNTA(Table_ChuongTrinh[[#Headers],[Mã Chương trình]:[Tỷ lệ CK]]),
0)*ABS(AB60)
),
0)+AE60</f>
        <v>0</v>
      </c>
      <c r="AI60" s="17">
        <f>IFERROR(Table_DonBan[[#This Row],[VAT hàng]]-Table_DonBan[[#This Row],[VAT hàng]]*Table_DonBan[[#This Row],[Giá trị CK]]/Table_DonBan[[#This Row],[Tiền hàng]],0)</f>
        <v>0</v>
      </c>
      <c r="AJ60" s="17">
        <f>+Table_DonBan[[#This Row],[Tiền hàng]]-Table_DonBan[[#This Row],[Giá trị CK]]</f>
        <v>3300000</v>
      </c>
      <c r="AK60" s="17">
        <f>Table_DonBan[[#This Row],[Doanh thu ròng]]</f>
        <v>3300000</v>
      </c>
      <c r="AL60" s="17">
        <f>Table_DonBan[[#This Row],[Tiền hàng]]+Table_DonBan[[#This Row],[Tổng VAT]]-Table_DonBan[[#This Row],[Giá trị CK]]</f>
        <v>3300000</v>
      </c>
      <c r="AM6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49200000</v>
      </c>
      <c r="AN60" s="536">
        <f>+IFERROR(
MAX(_xlfn._xlws.FILTER(Table_KHThanThiet_ChinhSach[Tỷ lệ điểm thưởng],
(Table_KHThanThiet_ChinhSach[Doanh thu tối thiểu]&lt;=Table_DonBan[[#This Row],[Doanh thu tính điểm]])
)),0)</f>
        <v>0.05</v>
      </c>
      <c r="AO60" s="17">
        <f xml:space="preserve">
Table_DonBan[[#This Row],[Tỷ lệ tính điểm]]*Table_DonBan[[#This Row],[Doanh thu ròng]]</f>
        <v>165000</v>
      </c>
      <c r="AP60" s="246">
        <f>COUNTA(_xlfn._xlws.FILTER(Table_DonBan[Mã Khách],
(Table_DonBan[Mã Khách]=Table_DonBan[[#This Row],[Mã Khách]])*
(Table_DonBan[Ngày lập]&lt;=Table_DonBan[[#This Row],[Ngày lập]])
))</f>
        <v>6</v>
      </c>
      <c r="AQ60" s="244"/>
      <c r="AR60" s="245">
        <f>Table_DonBan[[#This Row],[ĐK - Phân loại]]*Table_DonBan[[#This Row],[ĐK - Thời gian]]*Table_DonBan[[#This Row],[ĐK - Giá trị]]*Table_DonBan[[#This Row],[ĐK - Số lượng]]*Table_DonBan[[#This Row],[ĐK - Sinh nhật]]*Table_DonBan[[#This Row],[ĐK - Ngày mua cuối]]</f>
        <v>1</v>
      </c>
      <c r="AS60" s="245">
        <f xml:space="preserve">
IF(ISBLANK(Table_DonBan[[#This Row],[Chương trình]]),1,
IF(VLOOKUP(Table_DonBan[[#This Row],[Chương trình]],Table_ChuongTrinh[[Mã Chương trình]:[Đối tượng CK]],Sheet_ChuongTrinh!$C$1,0) = "Đơn hàng",1,0))</f>
        <v>1</v>
      </c>
      <c r="AT60"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0" s="245">
        <f>IF(ISBLANK(Table_DonBan[[#This Row],[Chương trình]]),
1,
IF(ISBLANK(VLOOKUP(Table_DonBan[[#This Row],[Chương trình]],Table_ChuongTrinh[],Sheet_ChuongTrinh!$J$1,0)),
1,
IF(Table_DonBan[[#This Row],[Tiền hàng]]&gt;= VLOOKUP(Table_DonBan[[#This Row],[Chương trình]],Table_ChuongTrinh[],Sheet_ChuongTrinh!$J$1,0),
1,
0)))</f>
        <v>1</v>
      </c>
      <c r="AV60"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0"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0"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0"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1" spans="20:51" ht="18" customHeight="1" x14ac:dyDescent="0.3">
      <c r="T61" s="248"/>
      <c r="U61" s="51" t="str">
        <f>CONCATENATE("BAN-",Table_DonBan[[#This Row],[Mã Khách]],"-",MOD(YEAR(Table_DonBan[[#This Row],[Ngày lập]]),100)*10000+MONTH(Table_DonBan[[#This Row],[Ngày lập]])*100+DAY(Table_DonBan[[#This Row],[Ngày lập]]),"-",Table_DonBan[[#This Row],[TT]])</f>
        <v>BAN-KH2-250414-</v>
      </c>
      <c r="V61" s="411">
        <v>45761</v>
      </c>
      <c r="W61" s="411"/>
      <c r="X61" s="411"/>
      <c r="Y61" s="249" t="s">
        <v>1196</v>
      </c>
      <c r="Z61" s="244"/>
      <c r="AA61" s="244"/>
      <c r="AB61" s="17">
        <f>IFERROR(SUM(_xlfn._xlws.FILTER(Table_Main[Giá trị bán trước VAT],
(Table_Main[Đơn bán]=Table_DonBan[[#This Row],[Mã Đơn bán]]),
)),0)</f>
        <v>3900000</v>
      </c>
      <c r="AC61" s="17">
        <f>IFERROR(SUM(_xlfn._xlws.FILTER(Table_Main[VAT],
(Table_Main[Đơn bán]=Table_DonBan[[#This Row],[Mã Đơn bán]]),
)),0)</f>
        <v>0</v>
      </c>
      <c r="AD61" s="17" cm="1">
        <f t="array" ref="AD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560000</v>
      </c>
      <c r="AE61" s="418"/>
      <c r="AF61" s="246"/>
      <c r="AG61"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1" s="48">
        <f>(AB61/ABS(AB61))
*IFERROR(
IF(
ISBLANK(
VLOOKUP(
AF61,
Table_ChuongTrinh[],
COUNTA(Table_ChuongTrinh[[#Headers],[Mã Chương trình]:[Tỷ lệ CK]]),
0)
),
VLOOKUP(
AF61,
Table_ChuongTrinh[],
COUNTA(Table_ChuongTrinh[[#Headers],[Mã Chương trình]:[Giá trị CK]]),
0),
VLOOKUP(
AF61,
Table_ChuongTrinh[],
COUNTA(Table_ChuongTrinh[[#Headers],[Mã Chương trình]:[Tỷ lệ CK]]),
0)*ABS(AB61)
),
0)+AE61</f>
        <v>0</v>
      </c>
      <c r="AI61" s="17">
        <f>IFERROR(Table_DonBan[[#This Row],[VAT hàng]]-Table_DonBan[[#This Row],[VAT hàng]]*Table_DonBan[[#This Row],[Giá trị CK]]/Table_DonBan[[#This Row],[Tiền hàng]],0)</f>
        <v>0</v>
      </c>
      <c r="AJ61" s="17">
        <f>+Table_DonBan[[#This Row],[Tiền hàng]]-Table_DonBan[[#This Row],[Giá trị CK]]</f>
        <v>3900000</v>
      </c>
      <c r="AK61" s="17">
        <f>Table_DonBan[[#This Row],[Doanh thu ròng]]</f>
        <v>3900000</v>
      </c>
      <c r="AL61" s="17">
        <f>Table_DonBan[[#This Row],[Tiền hàng]]+Table_DonBan[[#This Row],[Tổng VAT]]-Table_DonBan[[#This Row],[Giá trị CK]]</f>
        <v>3900000</v>
      </c>
      <c r="AM6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45300000</v>
      </c>
      <c r="AN61" s="536">
        <f>+IFERROR(
MAX(_xlfn._xlws.FILTER(Table_KHThanThiet_ChinhSach[Tỷ lệ điểm thưởng],
(Table_KHThanThiet_ChinhSach[Doanh thu tối thiểu]&lt;=Table_DonBan[[#This Row],[Doanh thu tính điểm]])
)),0)</f>
        <v>0.05</v>
      </c>
      <c r="AO61" s="17">
        <f xml:space="preserve">
Table_DonBan[[#This Row],[Tỷ lệ tính điểm]]*Table_DonBan[[#This Row],[Doanh thu ròng]]</f>
        <v>195000</v>
      </c>
      <c r="AP61" s="246">
        <f>COUNTA(_xlfn._xlws.FILTER(Table_DonBan[Mã Khách],
(Table_DonBan[Mã Khách]=Table_DonBan[[#This Row],[Mã Khách]])*
(Table_DonBan[Ngày lập]&lt;=Table_DonBan[[#This Row],[Ngày lập]])
))</f>
        <v>5</v>
      </c>
      <c r="AQ61" s="244"/>
      <c r="AR61" s="245">
        <f>Table_DonBan[[#This Row],[ĐK - Phân loại]]*Table_DonBan[[#This Row],[ĐK - Thời gian]]*Table_DonBan[[#This Row],[ĐK - Giá trị]]*Table_DonBan[[#This Row],[ĐK - Số lượng]]*Table_DonBan[[#This Row],[ĐK - Sinh nhật]]*Table_DonBan[[#This Row],[ĐK - Ngày mua cuối]]</f>
        <v>1</v>
      </c>
      <c r="AS61" s="245">
        <f xml:space="preserve">
IF(ISBLANK(Table_DonBan[[#This Row],[Chương trình]]),1,
IF(VLOOKUP(Table_DonBan[[#This Row],[Chương trình]],Table_ChuongTrinh[[Mã Chương trình]:[Đối tượng CK]],Sheet_ChuongTrinh!$C$1,0) = "Đơn hàng",1,0))</f>
        <v>1</v>
      </c>
      <c r="AT61"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1" s="245">
        <f>IF(ISBLANK(Table_DonBan[[#This Row],[Chương trình]]),
1,
IF(ISBLANK(VLOOKUP(Table_DonBan[[#This Row],[Chương trình]],Table_ChuongTrinh[],Sheet_ChuongTrinh!$J$1,0)),
1,
IF(Table_DonBan[[#This Row],[Tiền hàng]]&gt;= VLOOKUP(Table_DonBan[[#This Row],[Chương trình]],Table_ChuongTrinh[],Sheet_ChuongTrinh!$J$1,0),
1,
0)))</f>
        <v>1</v>
      </c>
      <c r="AV61"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1"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1"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1"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2" spans="20:51" ht="18" customHeight="1" x14ac:dyDescent="0.3">
      <c r="T62" s="248"/>
      <c r="U62" s="51" t="str">
        <f>CONCATENATE("BAN-",Table_DonBan[[#This Row],[Mã Khách]],"-",MOD(YEAR(Table_DonBan[[#This Row],[Ngày lập]]),100)*10000+MONTH(Table_DonBan[[#This Row],[Ngày lập]])*100+DAY(Table_DonBan[[#This Row],[Ngày lập]]),"-",Table_DonBan[[#This Row],[TT]])</f>
        <v>BAN-KH1-250411-</v>
      </c>
      <c r="V62" s="411">
        <v>45758</v>
      </c>
      <c r="W62" s="411"/>
      <c r="X62" s="411"/>
      <c r="Y62" s="249" t="s">
        <v>1195</v>
      </c>
      <c r="Z62" s="244"/>
      <c r="AA62" s="244"/>
      <c r="AB62" s="17">
        <f>IFERROR(SUM(_xlfn._xlws.FILTER(Table_Main[Giá trị bán trước VAT],
(Table_Main[Đơn bán]=Table_DonBan[[#This Row],[Mã Đơn bán]]),
)),0)</f>
        <v>2700000</v>
      </c>
      <c r="AC62" s="17">
        <f>IFERROR(SUM(_xlfn._xlws.FILTER(Table_Main[VAT],
(Table_Main[Đơn bán]=Table_DonBan[[#This Row],[Mã Đơn bán]]),
)),0)</f>
        <v>0</v>
      </c>
      <c r="AD62" s="17" cm="1">
        <f t="array" ref="AD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2" s="418"/>
      <c r="AF62" s="246"/>
      <c r="AG62"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2" s="48">
        <f>(AB62/ABS(AB62))
*IFERROR(
IF(
ISBLANK(
VLOOKUP(
AF62,
Table_ChuongTrinh[],
COUNTA(Table_ChuongTrinh[[#Headers],[Mã Chương trình]:[Tỷ lệ CK]]),
0)
),
VLOOKUP(
AF62,
Table_ChuongTrinh[],
COUNTA(Table_ChuongTrinh[[#Headers],[Mã Chương trình]:[Giá trị CK]]),
0),
VLOOKUP(
AF62,
Table_ChuongTrinh[],
COUNTA(Table_ChuongTrinh[[#Headers],[Mã Chương trình]:[Tỷ lệ CK]]),
0)*ABS(AB62)
),
0)+AE62</f>
        <v>0</v>
      </c>
      <c r="AI62" s="17">
        <f>IFERROR(Table_DonBan[[#This Row],[VAT hàng]]-Table_DonBan[[#This Row],[VAT hàng]]*Table_DonBan[[#This Row],[Giá trị CK]]/Table_DonBan[[#This Row],[Tiền hàng]],0)</f>
        <v>0</v>
      </c>
      <c r="AJ62" s="17">
        <f>+Table_DonBan[[#This Row],[Tiền hàng]]-Table_DonBan[[#This Row],[Giá trị CK]]</f>
        <v>2700000</v>
      </c>
      <c r="AK62" s="17">
        <f>Table_DonBan[[#This Row],[Doanh thu ròng]]</f>
        <v>2700000</v>
      </c>
      <c r="AL62" s="17">
        <f>Table_DonBan[[#This Row],[Tiền hàng]]+Table_DonBan[[#This Row],[Tổng VAT]]-Table_DonBan[[#This Row],[Giá trị CK]]</f>
        <v>2700000</v>
      </c>
      <c r="AM6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12700000</v>
      </c>
      <c r="AN62" s="536">
        <f>+IFERROR(
MAX(_xlfn._xlws.FILTER(Table_KHThanThiet_ChinhSach[Tỷ lệ điểm thưởng],
(Table_KHThanThiet_ChinhSach[Doanh thu tối thiểu]&lt;=Table_DonBan[[#This Row],[Doanh thu tính điểm]])
)),0)</f>
        <v>0.01</v>
      </c>
      <c r="AO62" s="17">
        <f xml:space="preserve">
Table_DonBan[[#This Row],[Tỷ lệ tính điểm]]*Table_DonBan[[#This Row],[Doanh thu ròng]]</f>
        <v>27000</v>
      </c>
      <c r="AP62" s="246">
        <f>COUNTA(_xlfn._xlws.FILTER(Table_DonBan[Mã Khách],
(Table_DonBan[Mã Khách]=Table_DonBan[[#This Row],[Mã Khách]])*
(Table_DonBan[Ngày lập]&lt;=Table_DonBan[[#This Row],[Ngày lập]])
))</f>
        <v>4</v>
      </c>
      <c r="AQ62" s="244"/>
      <c r="AR62" s="245">
        <f>Table_DonBan[[#This Row],[ĐK - Phân loại]]*Table_DonBan[[#This Row],[ĐK - Thời gian]]*Table_DonBan[[#This Row],[ĐK - Giá trị]]*Table_DonBan[[#This Row],[ĐK - Số lượng]]*Table_DonBan[[#This Row],[ĐK - Sinh nhật]]*Table_DonBan[[#This Row],[ĐK - Ngày mua cuối]]</f>
        <v>1</v>
      </c>
      <c r="AS62" s="245">
        <f xml:space="preserve">
IF(ISBLANK(Table_DonBan[[#This Row],[Chương trình]]),1,
IF(VLOOKUP(Table_DonBan[[#This Row],[Chương trình]],Table_ChuongTrinh[[Mã Chương trình]:[Đối tượng CK]],Sheet_ChuongTrinh!$C$1,0) = "Đơn hàng",1,0))</f>
        <v>1</v>
      </c>
      <c r="AT62"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2" s="245">
        <f>IF(ISBLANK(Table_DonBan[[#This Row],[Chương trình]]),
1,
IF(ISBLANK(VLOOKUP(Table_DonBan[[#This Row],[Chương trình]],Table_ChuongTrinh[],Sheet_ChuongTrinh!$J$1,0)),
1,
IF(Table_DonBan[[#This Row],[Tiền hàng]]&gt;= VLOOKUP(Table_DonBan[[#This Row],[Chương trình]],Table_ChuongTrinh[],Sheet_ChuongTrinh!$J$1,0),
1,
0)))</f>
        <v>1</v>
      </c>
      <c r="AV62"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2"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2"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2"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3" spans="20:51" ht="18" customHeight="1" x14ac:dyDescent="0.3">
      <c r="T63" s="248"/>
      <c r="U63" s="51" t="str">
        <f>CONCATENATE("BAN-",Table_DonBan[[#This Row],[Mã Khách]],"-",MOD(YEAR(Table_DonBan[[#This Row],[Ngày lập]]),100)*10000+MONTH(Table_DonBan[[#This Row],[Ngày lập]])*100+DAY(Table_DonBan[[#This Row],[Ngày lập]]),"-",Table_DonBan[[#This Row],[TT]])</f>
        <v>BAN-KH3-250409-</v>
      </c>
      <c r="V63" s="411">
        <v>45756</v>
      </c>
      <c r="W63" s="411"/>
      <c r="X63" s="411"/>
      <c r="Y63" s="249" t="s">
        <v>1197</v>
      </c>
      <c r="Z63" s="244"/>
      <c r="AA63" s="244"/>
      <c r="AB63" s="17">
        <f>IFERROR(SUM(_xlfn._xlws.FILTER(Table_Main[Giá trị bán trước VAT],
(Table_Main[Đơn bán]=Table_DonBan[[#This Row],[Mã Đơn bán]]),
)),0)</f>
        <v>4200000</v>
      </c>
      <c r="AC63" s="17">
        <f>IFERROR(SUM(_xlfn._xlws.FILTER(Table_Main[VAT],
(Table_Main[Đơn bán]=Table_DonBan[[#This Row],[Mã Đơn bán]]),
)),0)</f>
        <v>0</v>
      </c>
      <c r="AD63" s="17" cm="1">
        <f t="array" ref="AD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3" s="418"/>
      <c r="AF63" s="246"/>
      <c r="AG63"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3" s="48">
        <f>(AB63/ABS(AB63))
*IFERROR(
IF(
ISBLANK(
VLOOKUP(
AF63,
Table_ChuongTrinh[],
COUNTA(Table_ChuongTrinh[[#Headers],[Mã Chương trình]:[Tỷ lệ CK]]),
0)
),
VLOOKUP(
AF63,
Table_ChuongTrinh[],
COUNTA(Table_ChuongTrinh[[#Headers],[Mã Chương trình]:[Giá trị CK]]),
0),
VLOOKUP(
AF63,
Table_ChuongTrinh[],
COUNTA(Table_ChuongTrinh[[#Headers],[Mã Chương trình]:[Tỷ lệ CK]]),
0)*ABS(AB63)
),
0)+AE63</f>
        <v>0</v>
      </c>
      <c r="AI63" s="17">
        <f>IFERROR(Table_DonBan[[#This Row],[VAT hàng]]-Table_DonBan[[#This Row],[VAT hàng]]*Table_DonBan[[#This Row],[Giá trị CK]]/Table_DonBan[[#This Row],[Tiền hàng]],0)</f>
        <v>0</v>
      </c>
      <c r="AJ63" s="17">
        <f>+Table_DonBan[[#This Row],[Tiền hàng]]-Table_DonBan[[#This Row],[Giá trị CK]]</f>
        <v>4200000</v>
      </c>
      <c r="AK63" s="17">
        <f>Table_DonBan[[#This Row],[Doanh thu ròng]]</f>
        <v>4200000</v>
      </c>
      <c r="AL63" s="17">
        <f>Table_DonBan[[#This Row],[Tiền hàng]]+Table_DonBan[[#This Row],[Tổng VAT]]-Table_DonBan[[#This Row],[Giá trị CK]]</f>
        <v>4200000</v>
      </c>
      <c r="AM6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3000000</v>
      </c>
      <c r="AN63" s="536">
        <f>+IFERROR(
MAX(_xlfn._xlws.FILTER(Table_KHThanThiet_ChinhSach[Tỷ lệ điểm thưởng],
(Table_KHThanThiet_ChinhSach[Doanh thu tối thiểu]&lt;=Table_DonBan[[#This Row],[Doanh thu tính điểm]])
)),0)</f>
        <v>0</v>
      </c>
      <c r="AO63" s="17">
        <f xml:space="preserve">
Table_DonBan[[#This Row],[Tỷ lệ tính điểm]]*Table_DonBan[[#This Row],[Doanh thu ròng]]</f>
        <v>0</v>
      </c>
      <c r="AP63" s="246">
        <f>COUNTA(_xlfn._xlws.FILTER(Table_DonBan[Mã Khách],
(Table_DonBan[Mã Khách]=Table_DonBan[[#This Row],[Mã Khách]])*
(Table_DonBan[Ngày lập]&lt;=Table_DonBan[[#This Row],[Ngày lập]])
))</f>
        <v>2</v>
      </c>
      <c r="AQ63" s="244"/>
      <c r="AR63" s="245">
        <f>Table_DonBan[[#This Row],[ĐK - Phân loại]]*Table_DonBan[[#This Row],[ĐK - Thời gian]]*Table_DonBan[[#This Row],[ĐK - Giá trị]]*Table_DonBan[[#This Row],[ĐK - Số lượng]]*Table_DonBan[[#This Row],[ĐK - Sinh nhật]]*Table_DonBan[[#This Row],[ĐK - Ngày mua cuối]]</f>
        <v>1</v>
      </c>
      <c r="AS63" s="245">
        <f xml:space="preserve">
IF(ISBLANK(Table_DonBan[[#This Row],[Chương trình]]),1,
IF(VLOOKUP(Table_DonBan[[#This Row],[Chương trình]],Table_ChuongTrinh[[Mã Chương trình]:[Đối tượng CK]],Sheet_ChuongTrinh!$C$1,0) = "Đơn hàng",1,0))</f>
        <v>1</v>
      </c>
      <c r="AT63"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3" s="245">
        <f>IF(ISBLANK(Table_DonBan[[#This Row],[Chương trình]]),
1,
IF(ISBLANK(VLOOKUP(Table_DonBan[[#This Row],[Chương trình]],Table_ChuongTrinh[],Sheet_ChuongTrinh!$J$1,0)),
1,
IF(Table_DonBan[[#This Row],[Tiền hàng]]&gt;= VLOOKUP(Table_DonBan[[#This Row],[Chương trình]],Table_ChuongTrinh[],Sheet_ChuongTrinh!$J$1,0),
1,
0)))</f>
        <v>1</v>
      </c>
      <c r="AV63"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3"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3"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3"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4" spans="20:51" ht="18" customHeight="1" x14ac:dyDescent="0.3">
      <c r="T64" s="248"/>
      <c r="U64" s="51" t="str">
        <f>CONCATENATE("BAN-",Table_DonBan[[#This Row],[Mã Khách]],"-",MOD(YEAR(Table_DonBan[[#This Row],[Ngày lập]]),100)*10000+MONTH(Table_DonBan[[#This Row],[Ngày lập]])*100+DAY(Table_DonBan[[#This Row],[Ngày lập]]),"-",Table_DonBan[[#This Row],[TT]])</f>
        <v>BAN-KH2-250408-</v>
      </c>
      <c r="V64" s="411">
        <v>45755</v>
      </c>
      <c r="W64" s="411"/>
      <c r="X64" s="411"/>
      <c r="Y64" s="249" t="s">
        <v>1196</v>
      </c>
      <c r="Z64" s="244"/>
      <c r="AA64" s="244"/>
      <c r="AB64" s="17">
        <f>IFERROR(SUM(_xlfn._xlws.FILTER(Table_Main[Giá trị bán trước VAT],
(Table_Main[Đơn bán]=Table_DonBan[[#This Row],[Mã Đơn bán]]),
)),0)</f>
        <v>1900000</v>
      </c>
      <c r="AC64" s="17">
        <f>IFERROR(SUM(_xlfn._xlws.FILTER(Table_Main[VAT],
(Table_Main[Đơn bán]=Table_DonBan[[#This Row],[Mã Đơn bán]]),
)),0)</f>
        <v>0</v>
      </c>
      <c r="AD64" s="17" cm="1">
        <f t="array" ref="AD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465000</v>
      </c>
      <c r="AE64" s="418"/>
      <c r="AF64" s="246"/>
      <c r="AG64"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4" s="48">
        <f>(AB64/ABS(AB64))
*IFERROR(
IF(
ISBLANK(
VLOOKUP(
AF64,
Table_ChuongTrinh[],
COUNTA(Table_ChuongTrinh[[#Headers],[Mã Chương trình]:[Tỷ lệ CK]]),
0)
),
VLOOKUP(
AF64,
Table_ChuongTrinh[],
COUNTA(Table_ChuongTrinh[[#Headers],[Mã Chương trình]:[Giá trị CK]]),
0),
VLOOKUP(
AF64,
Table_ChuongTrinh[],
COUNTA(Table_ChuongTrinh[[#Headers],[Mã Chương trình]:[Tỷ lệ CK]]),
0)*ABS(AB64)
),
0)+AE64</f>
        <v>0</v>
      </c>
      <c r="AI64" s="17">
        <f>IFERROR(Table_DonBan[[#This Row],[VAT hàng]]-Table_DonBan[[#This Row],[VAT hàng]]*Table_DonBan[[#This Row],[Giá trị CK]]/Table_DonBan[[#This Row],[Tiền hàng]],0)</f>
        <v>0</v>
      </c>
      <c r="AJ64" s="17">
        <f>+Table_DonBan[[#This Row],[Tiền hàng]]-Table_DonBan[[#This Row],[Giá trị CK]]</f>
        <v>1900000</v>
      </c>
      <c r="AK64" s="17">
        <f>Table_DonBan[[#This Row],[Doanh thu ròng]]</f>
        <v>1900000</v>
      </c>
      <c r="AL64" s="17">
        <f>Table_DonBan[[#This Row],[Tiền hàng]]+Table_DonBan[[#This Row],[Tổng VAT]]-Table_DonBan[[#This Row],[Giá trị CK]]</f>
        <v>1900000</v>
      </c>
      <c r="AM6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43400000</v>
      </c>
      <c r="AN64" s="536">
        <f>+IFERROR(
MAX(_xlfn._xlws.FILTER(Table_KHThanThiet_ChinhSach[Tỷ lệ điểm thưởng],
(Table_KHThanThiet_ChinhSach[Doanh thu tối thiểu]&lt;=Table_DonBan[[#This Row],[Doanh thu tính điểm]])
)),0)</f>
        <v>0.05</v>
      </c>
      <c r="AO64" s="17">
        <f xml:space="preserve">
Table_DonBan[[#This Row],[Tỷ lệ tính điểm]]*Table_DonBan[[#This Row],[Doanh thu ròng]]</f>
        <v>95000</v>
      </c>
      <c r="AP64" s="246">
        <f>COUNTA(_xlfn._xlws.FILTER(Table_DonBan[Mã Khách],
(Table_DonBan[Mã Khách]=Table_DonBan[[#This Row],[Mã Khách]])*
(Table_DonBan[Ngày lập]&lt;=Table_DonBan[[#This Row],[Ngày lập]])
))</f>
        <v>4</v>
      </c>
      <c r="AQ64" s="244"/>
      <c r="AR64" s="245">
        <f>Table_DonBan[[#This Row],[ĐK - Phân loại]]*Table_DonBan[[#This Row],[ĐK - Thời gian]]*Table_DonBan[[#This Row],[ĐK - Giá trị]]*Table_DonBan[[#This Row],[ĐK - Số lượng]]*Table_DonBan[[#This Row],[ĐK - Sinh nhật]]*Table_DonBan[[#This Row],[ĐK - Ngày mua cuối]]</f>
        <v>1</v>
      </c>
      <c r="AS64" s="245">
        <f xml:space="preserve">
IF(ISBLANK(Table_DonBan[[#This Row],[Chương trình]]),1,
IF(VLOOKUP(Table_DonBan[[#This Row],[Chương trình]],Table_ChuongTrinh[[Mã Chương trình]:[Đối tượng CK]],Sheet_ChuongTrinh!$C$1,0) = "Đơn hàng",1,0))</f>
        <v>1</v>
      </c>
      <c r="AT64"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4" s="245">
        <f>IF(ISBLANK(Table_DonBan[[#This Row],[Chương trình]]),
1,
IF(ISBLANK(VLOOKUP(Table_DonBan[[#This Row],[Chương trình]],Table_ChuongTrinh[],Sheet_ChuongTrinh!$J$1,0)),
1,
IF(Table_DonBan[[#This Row],[Tiền hàng]]&gt;= VLOOKUP(Table_DonBan[[#This Row],[Chương trình]],Table_ChuongTrinh[],Sheet_ChuongTrinh!$J$1,0),
1,
0)))</f>
        <v>1</v>
      </c>
      <c r="AV64"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4"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4"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4"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5" spans="20:51" ht="18" customHeight="1" x14ac:dyDescent="0.3">
      <c r="T65" s="248"/>
      <c r="U65" s="51" t="str">
        <f>CONCATENATE("BAN-",Table_DonBan[[#This Row],[Mã Khách]],"-",MOD(YEAR(Table_DonBan[[#This Row],[Ngày lập]]),100)*10000+MONTH(Table_DonBan[[#This Row],[Ngày lập]])*100+DAY(Table_DonBan[[#This Row],[Ngày lập]]),"-",Table_DonBan[[#This Row],[TT]])</f>
        <v>BAN-KH1-250403-</v>
      </c>
      <c r="V65" s="411">
        <v>45750</v>
      </c>
      <c r="W65" s="411"/>
      <c r="X65" s="411"/>
      <c r="Y65" s="249" t="s">
        <v>1195</v>
      </c>
      <c r="Z65" s="244"/>
      <c r="AA65" s="244"/>
      <c r="AB65" s="17">
        <f>IFERROR(SUM(_xlfn._xlws.FILTER(Table_Main[Giá trị bán trước VAT],
(Table_Main[Đơn bán]=Table_DonBan[[#This Row],[Mã Đơn bán]]),
)),0)</f>
        <v>8400000</v>
      </c>
      <c r="AC65" s="17">
        <f>IFERROR(SUM(_xlfn._xlws.FILTER(Table_Main[VAT],
(Table_Main[Đơn bán]=Table_DonBan[[#This Row],[Mã Đơn bán]]),
)),0)</f>
        <v>0</v>
      </c>
      <c r="AD65" s="17" cm="1">
        <f t="array" ref="AD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5" s="418"/>
      <c r="AF65" s="246"/>
      <c r="AG65"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5" s="48">
        <f>(AB65/ABS(AB65))
*IFERROR(
IF(
ISBLANK(
VLOOKUP(
AF65,
Table_ChuongTrinh[],
COUNTA(Table_ChuongTrinh[[#Headers],[Mã Chương trình]:[Tỷ lệ CK]]),
0)
),
VLOOKUP(
AF65,
Table_ChuongTrinh[],
COUNTA(Table_ChuongTrinh[[#Headers],[Mã Chương trình]:[Giá trị CK]]),
0),
VLOOKUP(
AF65,
Table_ChuongTrinh[],
COUNTA(Table_ChuongTrinh[[#Headers],[Mã Chương trình]:[Tỷ lệ CK]]),
0)*ABS(AB65)
),
0)+AE65</f>
        <v>0</v>
      </c>
      <c r="AI65" s="17">
        <f>IFERROR(Table_DonBan[[#This Row],[VAT hàng]]-Table_DonBan[[#This Row],[VAT hàng]]*Table_DonBan[[#This Row],[Giá trị CK]]/Table_DonBan[[#This Row],[Tiền hàng]],0)</f>
        <v>0</v>
      </c>
      <c r="AJ65" s="17">
        <f>+Table_DonBan[[#This Row],[Tiền hàng]]-Table_DonBan[[#This Row],[Giá trị CK]]</f>
        <v>8400000</v>
      </c>
      <c r="AK65" s="17">
        <f>Table_DonBan[[#This Row],[Doanh thu ròng]]</f>
        <v>8400000</v>
      </c>
      <c r="AL65" s="17">
        <f>Table_DonBan[[#This Row],[Tiền hàng]]+Table_DonBan[[#This Row],[Tổng VAT]]-Table_DonBan[[#This Row],[Giá trị CK]]</f>
        <v>8400000</v>
      </c>
      <c r="AM6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v>
      </c>
      <c r="AN65" s="536">
        <f>+IFERROR(
MAX(_xlfn._xlws.FILTER(Table_KHThanThiet_ChinhSach[Tỷ lệ điểm thưởng],
(Table_KHThanThiet_ChinhSach[Doanh thu tối thiểu]&lt;=Table_DonBan[[#This Row],[Doanh thu tính điểm]])
)),0)</f>
        <v>0</v>
      </c>
      <c r="AO65" s="17">
        <f xml:space="preserve">
Table_DonBan[[#This Row],[Tỷ lệ tính điểm]]*Table_DonBan[[#This Row],[Doanh thu ròng]]</f>
        <v>0</v>
      </c>
      <c r="AP65" s="246">
        <f>COUNTA(_xlfn._xlws.FILTER(Table_DonBan[Mã Khách],
(Table_DonBan[Mã Khách]=Table_DonBan[[#This Row],[Mã Khách]])*
(Table_DonBan[Ngày lập]&lt;=Table_DonBan[[#This Row],[Ngày lập]])
))</f>
        <v>3</v>
      </c>
      <c r="AQ65" s="244"/>
      <c r="AR65" s="245">
        <f>Table_DonBan[[#This Row],[ĐK - Phân loại]]*Table_DonBan[[#This Row],[ĐK - Thời gian]]*Table_DonBan[[#This Row],[ĐK - Giá trị]]*Table_DonBan[[#This Row],[ĐK - Số lượng]]*Table_DonBan[[#This Row],[ĐK - Sinh nhật]]*Table_DonBan[[#This Row],[ĐK - Ngày mua cuối]]</f>
        <v>1</v>
      </c>
      <c r="AS65" s="245">
        <f xml:space="preserve">
IF(ISBLANK(Table_DonBan[[#This Row],[Chương trình]]),1,
IF(VLOOKUP(Table_DonBan[[#This Row],[Chương trình]],Table_ChuongTrinh[[Mã Chương trình]:[Đối tượng CK]],Sheet_ChuongTrinh!$C$1,0) = "Đơn hàng",1,0))</f>
        <v>1</v>
      </c>
      <c r="AT65"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5" s="245">
        <f>IF(ISBLANK(Table_DonBan[[#This Row],[Chương trình]]),
1,
IF(ISBLANK(VLOOKUP(Table_DonBan[[#This Row],[Chương trình]],Table_ChuongTrinh[],Sheet_ChuongTrinh!$J$1,0)),
1,
IF(Table_DonBan[[#This Row],[Tiền hàng]]&gt;= VLOOKUP(Table_DonBan[[#This Row],[Chương trình]],Table_ChuongTrinh[],Sheet_ChuongTrinh!$J$1,0),
1,
0)))</f>
        <v>1</v>
      </c>
      <c r="AV65"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5"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5"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5"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6" spans="20:51" ht="18" customHeight="1" x14ac:dyDescent="0.3">
      <c r="T66" s="248"/>
      <c r="U66" s="51" t="str">
        <f>CONCATENATE("BAN-",Table_DonBan[[#This Row],[Mã Khách]],"-",MOD(YEAR(Table_DonBan[[#This Row],[Ngày lập]]),100)*10000+MONTH(Table_DonBan[[#This Row],[Ngày lập]])*100+DAY(Table_DonBan[[#This Row],[Ngày lập]]),"-",Table_DonBan[[#This Row],[TT]])</f>
        <v>BAN-KH2-250330-</v>
      </c>
      <c r="V66" s="411">
        <v>45746</v>
      </c>
      <c r="W66" s="411"/>
      <c r="X66" s="411"/>
      <c r="Y66" s="249" t="s">
        <v>1196</v>
      </c>
      <c r="Z66" s="244"/>
      <c r="AA66" s="244"/>
      <c r="AB66" s="17">
        <f>IFERROR(SUM(_xlfn._xlws.FILTER(Table_Main[Giá trị bán trước VAT],
(Table_Main[Đơn bán]=Table_DonBan[[#This Row],[Mã Đơn bán]]),
)),0)</f>
        <v>15500000</v>
      </c>
      <c r="AC66" s="17">
        <f>IFERROR(SUM(_xlfn._xlws.FILTER(Table_Main[VAT],
(Table_Main[Đơn bán]=Table_DonBan[[#This Row],[Mã Đơn bán]]),
)),0)</f>
        <v>0</v>
      </c>
      <c r="AD66" s="17" cm="1">
        <f t="array" ref="AD6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6" s="418"/>
      <c r="AF66" s="246"/>
      <c r="AG66"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6" s="48">
        <f>(AB66/ABS(AB66))
*IFERROR(
IF(
ISBLANK(
VLOOKUP(
AF66,
Table_ChuongTrinh[],
COUNTA(Table_ChuongTrinh[[#Headers],[Mã Chương trình]:[Tỷ lệ CK]]),
0)
),
VLOOKUP(
AF66,
Table_ChuongTrinh[],
COUNTA(Table_ChuongTrinh[[#Headers],[Mã Chương trình]:[Giá trị CK]]),
0),
VLOOKUP(
AF66,
Table_ChuongTrinh[],
COUNTA(Table_ChuongTrinh[[#Headers],[Mã Chương trình]:[Tỷ lệ CK]]),
0)*ABS(AB66)
),
0)+AE66</f>
        <v>0</v>
      </c>
      <c r="AI66" s="17">
        <f>IFERROR(Table_DonBan[[#This Row],[VAT hàng]]-Table_DonBan[[#This Row],[VAT hàng]]*Table_DonBan[[#This Row],[Giá trị CK]]/Table_DonBan[[#This Row],[Tiền hàng]],0)</f>
        <v>0</v>
      </c>
      <c r="AJ66" s="17">
        <f>+Table_DonBan[[#This Row],[Tiền hàng]]-Table_DonBan[[#This Row],[Giá trị CK]]</f>
        <v>15500000</v>
      </c>
      <c r="AK66" s="17">
        <f>Table_DonBan[[#This Row],[Doanh thu ròng]]</f>
        <v>15500000</v>
      </c>
      <c r="AL66" s="17">
        <f>Table_DonBan[[#This Row],[Tiền hàng]]+Table_DonBan[[#This Row],[Tổng VAT]]-Table_DonBan[[#This Row],[Giá trị CK]]</f>
        <v>15500000</v>
      </c>
      <c r="AM6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27900000</v>
      </c>
      <c r="AN66" s="536">
        <f>+IFERROR(
MAX(_xlfn._xlws.FILTER(Table_KHThanThiet_ChinhSach[Tỷ lệ điểm thưởng],
(Table_KHThanThiet_ChinhSach[Doanh thu tối thiểu]&lt;=Table_DonBan[[#This Row],[Doanh thu tính điểm]])
)),0)</f>
        <v>0.03</v>
      </c>
      <c r="AO66" s="17">
        <f xml:space="preserve">
Table_DonBan[[#This Row],[Tỷ lệ tính điểm]]*Table_DonBan[[#This Row],[Doanh thu ròng]]</f>
        <v>465000</v>
      </c>
      <c r="AP66" s="246">
        <f>COUNTA(_xlfn._xlws.FILTER(Table_DonBan[Mã Khách],
(Table_DonBan[Mã Khách]=Table_DonBan[[#This Row],[Mã Khách]])*
(Table_DonBan[Ngày lập]&lt;=Table_DonBan[[#This Row],[Ngày lập]])
))</f>
        <v>3</v>
      </c>
      <c r="AQ66" s="244"/>
      <c r="AR66" s="245">
        <f>Table_DonBan[[#This Row],[ĐK - Phân loại]]*Table_DonBan[[#This Row],[ĐK - Thời gian]]*Table_DonBan[[#This Row],[ĐK - Giá trị]]*Table_DonBan[[#This Row],[ĐK - Số lượng]]*Table_DonBan[[#This Row],[ĐK - Sinh nhật]]*Table_DonBan[[#This Row],[ĐK - Ngày mua cuối]]</f>
        <v>1</v>
      </c>
      <c r="AS66" s="245">
        <f xml:space="preserve">
IF(ISBLANK(Table_DonBan[[#This Row],[Chương trình]]),1,
IF(VLOOKUP(Table_DonBan[[#This Row],[Chương trình]],Table_ChuongTrinh[[Mã Chương trình]:[Đối tượng CK]],Sheet_ChuongTrinh!$C$1,0) = "Đơn hàng",1,0))</f>
        <v>1</v>
      </c>
      <c r="AT66"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6" s="245">
        <f>IF(ISBLANK(Table_DonBan[[#This Row],[Chương trình]]),
1,
IF(ISBLANK(VLOOKUP(Table_DonBan[[#This Row],[Chương trình]],Table_ChuongTrinh[],Sheet_ChuongTrinh!$J$1,0)),
1,
IF(Table_DonBan[[#This Row],[Tiền hàng]]&gt;= VLOOKUP(Table_DonBan[[#This Row],[Chương trình]],Table_ChuongTrinh[],Sheet_ChuongTrinh!$J$1,0),
1,
0)))</f>
        <v>1</v>
      </c>
      <c r="AV66"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6"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6"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6"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7" spans="20:51" ht="18" customHeight="1" x14ac:dyDescent="0.3">
      <c r="T67" s="248"/>
      <c r="U67" s="51" t="str">
        <f>CONCATENATE("BAN-",Table_DonBan[[#This Row],[Mã Khách]],"-",MOD(YEAR(Table_DonBan[[#This Row],[Ngày lập]]),100)*10000+MONTH(Table_DonBan[[#This Row],[Ngày lập]])*100+DAY(Table_DonBan[[#This Row],[Ngày lập]]),"-",Table_DonBan[[#This Row],[TT]])</f>
        <v>BAN-KH1-250327-</v>
      </c>
      <c r="V67" s="411">
        <v>45743</v>
      </c>
      <c r="W67" s="411"/>
      <c r="X67" s="411"/>
      <c r="Y67" s="249" t="s">
        <v>1195</v>
      </c>
      <c r="Z67" s="244"/>
      <c r="AA67" s="244"/>
      <c r="AB67" s="17">
        <f>IFERROR(SUM(_xlfn._xlws.FILTER(Table_Main[Giá trị bán trước VAT],
(Table_Main[Đơn bán]=Table_DonBan[[#This Row],[Mã Đơn bán]]),
)),0)</f>
        <v>4200000</v>
      </c>
      <c r="AC67" s="17">
        <f>IFERROR(SUM(_xlfn._xlws.FILTER(Table_Main[VAT],
(Table_Main[Đơn bán]=Table_DonBan[[#This Row],[Mã Đơn bán]]),
)),0)</f>
        <v>0</v>
      </c>
      <c r="AD67" s="17" cm="1">
        <f t="array" ref="AD6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7" s="418"/>
      <c r="AF67" s="246"/>
      <c r="AG67"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7" s="48">
        <f>(AB67/ABS(AB67))
*IFERROR(
IF(
ISBLANK(
VLOOKUP(
AF67,
Table_ChuongTrinh[],
COUNTA(Table_ChuongTrinh[[#Headers],[Mã Chương trình]:[Tỷ lệ CK]]),
0)
),
VLOOKUP(
AF67,
Table_ChuongTrinh[],
COUNTA(Table_ChuongTrinh[[#Headers],[Mã Chương trình]:[Giá trị CK]]),
0),
VLOOKUP(
AF67,
Table_ChuongTrinh[],
COUNTA(Table_ChuongTrinh[[#Headers],[Mã Chương trình]:[Tỷ lệ CK]]),
0)*ABS(AB67)
),
0)+AE67</f>
        <v>0</v>
      </c>
      <c r="AI67" s="17">
        <f>IFERROR(Table_DonBan[[#This Row],[VAT hàng]]-Table_DonBan[[#This Row],[VAT hàng]]*Table_DonBan[[#This Row],[Giá trị CK]]/Table_DonBan[[#This Row],[Tiền hàng]],0)</f>
        <v>0</v>
      </c>
      <c r="AJ67" s="17">
        <f>+Table_DonBan[[#This Row],[Tiền hàng]]-Table_DonBan[[#This Row],[Giá trị CK]]</f>
        <v>4200000</v>
      </c>
      <c r="AK67" s="17">
        <f>Table_DonBan[[#This Row],[Doanh thu ròng]]</f>
        <v>4200000</v>
      </c>
      <c r="AL67" s="17">
        <f>Table_DonBan[[#This Row],[Tiền hàng]]+Table_DonBan[[#This Row],[Tổng VAT]]-Table_DonBan[[#This Row],[Giá trị CK]]</f>
        <v>4200000</v>
      </c>
      <c r="AM6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100000</v>
      </c>
      <c r="AN67" s="536">
        <f>+IFERROR(
MAX(_xlfn._xlws.FILTER(Table_KHThanThiet_ChinhSach[Tỷ lệ điểm thưởng],
(Table_KHThanThiet_ChinhSach[Doanh thu tối thiểu]&lt;=Table_DonBan[[#This Row],[Doanh thu tính điểm]])
)),0)</f>
        <v>0</v>
      </c>
      <c r="AO67" s="17">
        <f xml:space="preserve">
Table_DonBan[[#This Row],[Tỷ lệ tính điểm]]*Table_DonBan[[#This Row],[Doanh thu ròng]]</f>
        <v>0</v>
      </c>
      <c r="AP67" s="246">
        <f>COUNTA(_xlfn._xlws.FILTER(Table_DonBan[Mã Khách],
(Table_DonBan[Mã Khách]=Table_DonBan[[#This Row],[Mã Khách]])*
(Table_DonBan[Ngày lập]&lt;=Table_DonBan[[#This Row],[Ngày lập]])
))</f>
        <v>2</v>
      </c>
      <c r="AQ67" s="244"/>
      <c r="AR67" s="245">
        <f>Table_DonBan[[#This Row],[ĐK - Phân loại]]*Table_DonBan[[#This Row],[ĐK - Thời gian]]*Table_DonBan[[#This Row],[ĐK - Giá trị]]*Table_DonBan[[#This Row],[ĐK - Số lượng]]*Table_DonBan[[#This Row],[ĐK - Sinh nhật]]*Table_DonBan[[#This Row],[ĐK - Ngày mua cuối]]</f>
        <v>1</v>
      </c>
      <c r="AS67" s="245">
        <f xml:space="preserve">
IF(ISBLANK(Table_DonBan[[#This Row],[Chương trình]]),1,
IF(VLOOKUP(Table_DonBan[[#This Row],[Chương trình]],Table_ChuongTrinh[[Mã Chương trình]:[Đối tượng CK]],Sheet_ChuongTrinh!$C$1,0) = "Đơn hàng",1,0))</f>
        <v>1</v>
      </c>
      <c r="AT67"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7" s="245">
        <f>IF(ISBLANK(Table_DonBan[[#This Row],[Chương trình]]),
1,
IF(ISBLANK(VLOOKUP(Table_DonBan[[#This Row],[Chương trình]],Table_ChuongTrinh[],Sheet_ChuongTrinh!$J$1,0)),
1,
IF(Table_DonBan[[#This Row],[Tiền hàng]]&gt;= VLOOKUP(Table_DonBan[[#This Row],[Chương trình]],Table_ChuongTrinh[],Sheet_ChuongTrinh!$J$1,0),
1,
0)))</f>
        <v>1</v>
      </c>
      <c r="AV67"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7"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7"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7"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8" spans="20:51" ht="18" customHeight="1" x14ac:dyDescent="0.3">
      <c r="T68" s="248"/>
      <c r="U68" s="51" t="str">
        <f>CONCATENATE("BAN-",Table_DonBan[[#This Row],[Mã Khách]],"-",MOD(YEAR(Table_DonBan[[#This Row],[Ngày lập]]),100)*10000+MONTH(Table_DonBan[[#This Row],[Ngày lập]])*100+DAY(Table_DonBan[[#This Row],[Ngày lập]]),"-",Table_DonBan[[#This Row],[TT]])</f>
        <v>BAN-KH3-250325-</v>
      </c>
      <c r="V68" s="411">
        <v>45741</v>
      </c>
      <c r="W68" s="411"/>
      <c r="X68" s="411"/>
      <c r="Y68" s="249" t="s">
        <v>1197</v>
      </c>
      <c r="Z68" s="244"/>
      <c r="AA68" s="244"/>
      <c r="AB68" s="17">
        <f>IFERROR(SUM(_xlfn._xlws.FILTER(Table_Main[Giá trị bán trước VAT],
(Table_Main[Đơn bán]=Table_DonBan[[#This Row],[Mã Đơn bán]]),
)),0)</f>
        <v>3000000</v>
      </c>
      <c r="AC68" s="17">
        <f>IFERROR(SUM(_xlfn._xlws.FILTER(Table_Main[VAT],
(Table_Main[Đơn bán]=Table_DonBan[[#This Row],[Mã Đơn bán]]),
)),0)</f>
        <v>0</v>
      </c>
      <c r="AD68" s="17" cm="1">
        <f t="array" ref="AD6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8" s="418"/>
      <c r="AF68" s="246"/>
      <c r="AG68"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8" s="48">
        <f>(AB68/ABS(AB68))
*IFERROR(
IF(
ISBLANK(
VLOOKUP(
AF68,
Table_ChuongTrinh[],
COUNTA(Table_ChuongTrinh[[#Headers],[Mã Chương trình]:[Tỷ lệ CK]]),
0)
),
VLOOKUP(
AF68,
Table_ChuongTrinh[],
COUNTA(Table_ChuongTrinh[[#Headers],[Mã Chương trình]:[Giá trị CK]]),
0),
VLOOKUP(
AF68,
Table_ChuongTrinh[],
COUNTA(Table_ChuongTrinh[[#Headers],[Mã Chương trình]:[Tỷ lệ CK]]),
0)*ABS(AB68)
),
0)+AE68</f>
        <v>0</v>
      </c>
      <c r="AI68" s="17">
        <f>IFERROR(Table_DonBan[[#This Row],[VAT hàng]]-Table_DonBan[[#This Row],[VAT hàng]]*Table_DonBan[[#This Row],[Giá trị CK]]/Table_DonBan[[#This Row],[Tiền hàng]],0)</f>
        <v>0</v>
      </c>
      <c r="AJ68" s="17">
        <f>+Table_DonBan[[#This Row],[Tiền hàng]]-Table_DonBan[[#This Row],[Giá trị CK]]</f>
        <v>3000000</v>
      </c>
      <c r="AK68" s="17">
        <f>Table_DonBan[[#This Row],[Doanh thu ròng]]</f>
        <v>3000000</v>
      </c>
      <c r="AL68" s="17">
        <f>Table_DonBan[[#This Row],[Tiền hàng]]+Table_DonBan[[#This Row],[Tổng VAT]]-Table_DonBan[[#This Row],[Giá trị CK]]</f>
        <v>3000000</v>
      </c>
      <c r="AM6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N68" s="536">
        <f>+IFERROR(
MAX(_xlfn._xlws.FILTER(Table_KHThanThiet_ChinhSach[Tỷ lệ điểm thưởng],
(Table_KHThanThiet_ChinhSach[Doanh thu tối thiểu]&lt;=Table_DonBan[[#This Row],[Doanh thu tính điểm]])
)),0)</f>
        <v>0</v>
      </c>
      <c r="AO68" s="17">
        <f xml:space="preserve">
Table_DonBan[[#This Row],[Tỷ lệ tính điểm]]*Table_DonBan[[#This Row],[Doanh thu ròng]]</f>
        <v>0</v>
      </c>
      <c r="AP68" s="246">
        <f>COUNTA(_xlfn._xlws.FILTER(Table_DonBan[Mã Khách],
(Table_DonBan[Mã Khách]=Table_DonBan[[#This Row],[Mã Khách]])*
(Table_DonBan[Ngày lập]&lt;=Table_DonBan[[#This Row],[Ngày lập]])
))</f>
        <v>1</v>
      </c>
      <c r="AQ68" s="244"/>
      <c r="AR68" s="245">
        <f>Table_DonBan[[#This Row],[ĐK - Phân loại]]*Table_DonBan[[#This Row],[ĐK - Thời gian]]*Table_DonBan[[#This Row],[ĐK - Giá trị]]*Table_DonBan[[#This Row],[ĐK - Số lượng]]*Table_DonBan[[#This Row],[ĐK - Sinh nhật]]*Table_DonBan[[#This Row],[ĐK - Ngày mua cuối]]</f>
        <v>1</v>
      </c>
      <c r="AS68" s="245">
        <f xml:space="preserve">
IF(ISBLANK(Table_DonBan[[#This Row],[Chương trình]]),1,
IF(VLOOKUP(Table_DonBan[[#This Row],[Chương trình]],Table_ChuongTrinh[[Mã Chương trình]:[Đối tượng CK]],Sheet_ChuongTrinh!$C$1,0) = "Đơn hàng",1,0))</f>
        <v>1</v>
      </c>
      <c r="AT68"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8" s="245">
        <f>IF(ISBLANK(Table_DonBan[[#This Row],[Chương trình]]),
1,
IF(ISBLANK(VLOOKUP(Table_DonBan[[#This Row],[Chương trình]],Table_ChuongTrinh[],Sheet_ChuongTrinh!$J$1,0)),
1,
IF(Table_DonBan[[#This Row],[Tiền hàng]]&gt;= VLOOKUP(Table_DonBan[[#This Row],[Chương trình]],Table_ChuongTrinh[],Sheet_ChuongTrinh!$J$1,0),
1,
0)))</f>
        <v>1</v>
      </c>
      <c r="AV68"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8"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8"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8"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9" spans="20:51" ht="18" customHeight="1" x14ac:dyDescent="0.3">
      <c r="T69" s="248"/>
      <c r="U69" s="51" t="str">
        <f>CONCATENATE("BAN-",Table_DonBan[[#This Row],[Mã Khách]],"-",MOD(YEAR(Table_DonBan[[#This Row],[Ngày lập]]),100)*10000+MONTH(Table_DonBan[[#This Row],[Ngày lập]])*100+DAY(Table_DonBan[[#This Row],[Ngày lập]]),"-",Table_DonBan[[#This Row],[TT]])</f>
        <v>BAN-KH1-250320-</v>
      </c>
      <c r="V69" s="411">
        <v>45736</v>
      </c>
      <c r="W69" s="411"/>
      <c r="X69" s="411"/>
      <c r="Y69" s="249" t="s">
        <v>1195</v>
      </c>
      <c r="Z69" s="244"/>
      <c r="AA69" s="244"/>
      <c r="AB69" s="17">
        <f>IFERROR(SUM(_xlfn._xlws.FILTER(Table_Main[Giá trị bán trước VAT],
(Table_Main[Đơn bán]=Table_DonBan[[#This Row],[Mã Đơn bán]]),
)),0)</f>
        <v>100000</v>
      </c>
      <c r="AC69" s="17">
        <f>IFERROR(SUM(_xlfn._xlws.FILTER(Table_Main[VAT],
(Table_Main[Đơn bán]=Table_DonBan[[#This Row],[Mã Đơn bán]]),
)),0)</f>
        <v>0</v>
      </c>
      <c r="AD69" s="17" cm="1">
        <f t="array" ref="AD6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9" s="418"/>
      <c r="AF69" s="246"/>
      <c r="AG69"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9" s="48">
        <f>(AB69/ABS(AB69))
*IFERROR(
IF(
ISBLANK(
VLOOKUP(
AF69,
Table_ChuongTrinh[],
COUNTA(Table_ChuongTrinh[[#Headers],[Mã Chương trình]:[Tỷ lệ CK]]),
0)
),
VLOOKUP(
AF69,
Table_ChuongTrinh[],
COUNTA(Table_ChuongTrinh[[#Headers],[Mã Chương trình]:[Giá trị CK]]),
0),
VLOOKUP(
AF69,
Table_ChuongTrinh[],
COUNTA(Table_ChuongTrinh[[#Headers],[Mã Chương trình]:[Tỷ lệ CK]]),
0)*ABS(AB69)
),
0)+AE69</f>
        <v>0</v>
      </c>
      <c r="AI69" s="17">
        <f>IFERROR(Table_DonBan[[#This Row],[VAT hàng]]-Table_DonBan[[#This Row],[VAT hàng]]*Table_DonBan[[#This Row],[Giá trị CK]]/Table_DonBan[[#This Row],[Tiền hàng]],0)</f>
        <v>0</v>
      </c>
      <c r="AJ69" s="17">
        <f>+Table_DonBan[[#This Row],[Tiền hàng]]-Table_DonBan[[#This Row],[Giá trị CK]]</f>
        <v>100000</v>
      </c>
      <c r="AK69" s="17">
        <f>Table_DonBan[[#This Row],[Doanh thu ròng]]</f>
        <v>100000</v>
      </c>
      <c r="AL69" s="17">
        <f>Table_DonBan[[#This Row],[Tiền hàng]]+Table_DonBan[[#This Row],[Tổng VAT]]-Table_DonBan[[#This Row],[Giá trị CK]]</f>
        <v>100000</v>
      </c>
      <c r="AM6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N69" s="536">
        <f>+IFERROR(
MAX(_xlfn._xlws.FILTER(Table_KHThanThiet_ChinhSach[Tỷ lệ điểm thưởng],
(Table_KHThanThiet_ChinhSach[Doanh thu tối thiểu]&lt;=Table_DonBan[[#This Row],[Doanh thu tính điểm]])
)),0)</f>
        <v>0</v>
      </c>
      <c r="AO69" s="17">
        <f xml:space="preserve">
Table_DonBan[[#This Row],[Tỷ lệ tính điểm]]*Table_DonBan[[#This Row],[Doanh thu ròng]]</f>
        <v>0</v>
      </c>
      <c r="AP69" s="246">
        <f>COUNTA(_xlfn._xlws.FILTER(Table_DonBan[Mã Khách],
(Table_DonBan[Mã Khách]=Table_DonBan[[#This Row],[Mã Khách]])*
(Table_DonBan[Ngày lập]&lt;=Table_DonBan[[#This Row],[Ngày lập]])
))</f>
        <v>1</v>
      </c>
      <c r="AQ69" s="244"/>
      <c r="AR69" s="245">
        <f>Table_DonBan[[#This Row],[ĐK - Phân loại]]*Table_DonBan[[#This Row],[ĐK - Thời gian]]*Table_DonBan[[#This Row],[ĐK - Giá trị]]*Table_DonBan[[#This Row],[ĐK - Số lượng]]*Table_DonBan[[#This Row],[ĐK - Sinh nhật]]*Table_DonBan[[#This Row],[ĐK - Ngày mua cuối]]</f>
        <v>1</v>
      </c>
      <c r="AS69" s="245">
        <f xml:space="preserve">
IF(ISBLANK(Table_DonBan[[#This Row],[Chương trình]]),1,
IF(VLOOKUP(Table_DonBan[[#This Row],[Chương trình]],Table_ChuongTrinh[[Mã Chương trình]:[Đối tượng CK]],Sheet_ChuongTrinh!$C$1,0) = "Đơn hàng",1,0))</f>
        <v>1</v>
      </c>
      <c r="AT69"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9" s="245">
        <f>IF(ISBLANK(Table_DonBan[[#This Row],[Chương trình]]),
1,
IF(ISBLANK(VLOOKUP(Table_DonBan[[#This Row],[Chương trình]],Table_ChuongTrinh[],Sheet_ChuongTrinh!$J$1,0)),
1,
IF(Table_DonBan[[#This Row],[Tiền hàng]]&gt;= VLOOKUP(Table_DonBan[[#This Row],[Chương trình]],Table_ChuongTrinh[],Sheet_ChuongTrinh!$J$1,0),
1,
0)))</f>
        <v>1</v>
      </c>
      <c r="AV69"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9"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9"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9"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0" spans="20:51" ht="18" customHeight="1" x14ac:dyDescent="0.3">
      <c r="T70" s="248"/>
      <c r="U70" s="51" t="str">
        <f>CONCATENATE("BAN-",Table_DonBan[[#This Row],[Mã Khách]],"-",MOD(YEAR(Table_DonBan[[#This Row],[Ngày lập]]),100)*10000+MONTH(Table_DonBan[[#This Row],[Ngày lập]])*100+DAY(Table_DonBan[[#This Row],[Ngày lập]]),"-",Table_DonBan[[#This Row],[TT]])</f>
        <v>BAN-KH2-250319-</v>
      </c>
      <c r="V70" s="411">
        <v>45735</v>
      </c>
      <c r="W70" s="411"/>
      <c r="X70" s="411"/>
      <c r="Y70" s="249" t="s">
        <v>1196</v>
      </c>
      <c r="Z70" s="244"/>
      <c r="AA70" s="244"/>
      <c r="AB70" s="17">
        <f>IFERROR(SUM(_xlfn._xlws.FILTER(Table_Main[Giá trị bán trước VAT],
(Table_Main[Đơn bán]=Table_DonBan[[#This Row],[Mã Đơn bán]]),
)),0)</f>
        <v>24000000</v>
      </c>
      <c r="AC70" s="17">
        <f>IFERROR(SUM(_xlfn._xlws.FILTER(Table_Main[VAT],
(Table_Main[Đơn bán]=Table_DonBan[[#This Row],[Mã Đơn bán]]),
)),0)</f>
        <v>0</v>
      </c>
      <c r="AD70" s="17" cm="1">
        <f t="array" ref="AD7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70" s="418"/>
      <c r="AF70" s="246"/>
      <c r="AG70"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70" s="48">
        <f>(AB70/ABS(AB70))
*IFERROR(
IF(
ISBLANK(
VLOOKUP(
AF70,
Table_ChuongTrinh[],
COUNTA(Table_ChuongTrinh[[#Headers],[Mã Chương trình]:[Tỷ lệ CK]]),
0)
),
VLOOKUP(
AF70,
Table_ChuongTrinh[],
COUNTA(Table_ChuongTrinh[[#Headers],[Mã Chương trình]:[Giá trị CK]]),
0),
VLOOKUP(
AF70,
Table_ChuongTrinh[],
COUNTA(Table_ChuongTrinh[[#Headers],[Mã Chương trình]:[Tỷ lệ CK]]),
0)*ABS(AB70)
),
0)+AE70</f>
        <v>0</v>
      </c>
      <c r="AI70" s="17">
        <f>IFERROR(Table_DonBan[[#This Row],[VAT hàng]]-Table_DonBan[[#This Row],[VAT hàng]]*Table_DonBan[[#This Row],[Giá trị CK]]/Table_DonBan[[#This Row],[Tiền hàng]],0)</f>
        <v>0</v>
      </c>
      <c r="AJ70" s="17">
        <f>+Table_DonBan[[#This Row],[Tiền hàng]]-Table_DonBan[[#This Row],[Giá trị CK]]</f>
        <v>24000000</v>
      </c>
      <c r="AK70" s="17">
        <f>Table_DonBan[[#This Row],[Doanh thu ròng]]</f>
        <v>24000000</v>
      </c>
      <c r="AL70" s="17">
        <f>Table_DonBan[[#This Row],[Tiền hàng]]+Table_DonBan[[#This Row],[Tổng VAT]]-Table_DonBan[[#This Row],[Giá trị CK]]</f>
        <v>24000000</v>
      </c>
      <c r="AM7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3900000</v>
      </c>
      <c r="AN70" s="536">
        <f>+IFERROR(
MAX(_xlfn._xlws.FILTER(Table_KHThanThiet_ChinhSach[Tỷ lệ điểm thưởng],
(Table_KHThanThiet_ChinhSach[Doanh thu tối thiểu]&lt;=Table_DonBan[[#This Row],[Doanh thu tính điểm]])
)),0)</f>
        <v>0</v>
      </c>
      <c r="AO70" s="17">
        <f xml:space="preserve">
Table_DonBan[[#This Row],[Tỷ lệ tính điểm]]*Table_DonBan[[#This Row],[Doanh thu ròng]]</f>
        <v>0</v>
      </c>
      <c r="AP70" s="246">
        <f>COUNTA(_xlfn._xlws.FILTER(Table_DonBan[Mã Khách],
(Table_DonBan[Mã Khách]=Table_DonBan[[#This Row],[Mã Khách]])*
(Table_DonBan[Ngày lập]&lt;=Table_DonBan[[#This Row],[Ngày lập]])
))</f>
        <v>2</v>
      </c>
      <c r="AQ70" s="244"/>
      <c r="AR70" s="245">
        <f>Table_DonBan[[#This Row],[ĐK - Phân loại]]*Table_DonBan[[#This Row],[ĐK - Thời gian]]*Table_DonBan[[#This Row],[ĐK - Giá trị]]*Table_DonBan[[#This Row],[ĐK - Số lượng]]*Table_DonBan[[#This Row],[ĐK - Sinh nhật]]*Table_DonBan[[#This Row],[ĐK - Ngày mua cuối]]</f>
        <v>1</v>
      </c>
      <c r="AS70" s="245">
        <f xml:space="preserve">
IF(ISBLANK(Table_DonBan[[#This Row],[Chương trình]]),1,
IF(VLOOKUP(Table_DonBan[[#This Row],[Chương trình]],Table_ChuongTrinh[[Mã Chương trình]:[Đối tượng CK]],Sheet_ChuongTrinh!$C$1,0) = "Đơn hàng",1,0))</f>
        <v>1</v>
      </c>
      <c r="AT70"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70" s="245">
        <f>IF(ISBLANK(Table_DonBan[[#This Row],[Chương trình]]),
1,
IF(ISBLANK(VLOOKUP(Table_DonBan[[#This Row],[Chương trình]],Table_ChuongTrinh[],Sheet_ChuongTrinh!$J$1,0)),
1,
IF(Table_DonBan[[#This Row],[Tiền hàng]]&gt;= VLOOKUP(Table_DonBan[[#This Row],[Chương trình]],Table_ChuongTrinh[],Sheet_ChuongTrinh!$J$1,0),
1,
0)))</f>
        <v>1</v>
      </c>
      <c r="AV70"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70"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70"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70"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1" spans="20:51" ht="18" customHeight="1" x14ac:dyDescent="0.3">
      <c r="T71" s="248"/>
      <c r="U71" s="51" t="str">
        <f>CONCATENATE("BAN-",Table_DonBan[[#This Row],[Mã Khách]],"-",MOD(YEAR(Table_DonBan[[#This Row],[Ngày lập]]),100)*10000+MONTH(Table_DonBan[[#This Row],[Ngày lập]])*100+DAY(Table_DonBan[[#This Row],[Ngày lập]]),"-",Table_DonBan[[#This Row],[TT]])</f>
        <v>BAN-KH2-250313-</v>
      </c>
      <c r="V71" s="411">
        <v>45729</v>
      </c>
      <c r="W71" s="411"/>
      <c r="X71" s="411"/>
      <c r="Y71" s="249" t="s">
        <v>1196</v>
      </c>
      <c r="Z71" s="244"/>
      <c r="AA71" s="244"/>
      <c r="AB71" s="17">
        <f>IFERROR(SUM(_xlfn._xlws.FILTER(Table_Main[Giá trị bán trước VAT],
(Table_Main[Đơn bán]=Table_DonBan[[#This Row],[Mã Đơn bán]]),
)),0)</f>
        <v>3900000</v>
      </c>
      <c r="AC71" s="17">
        <f>IFERROR(SUM(_xlfn._xlws.FILTER(Table_Main[VAT],
(Table_Main[Đơn bán]=Table_DonBan[[#This Row],[Mã Đơn bán]]),
)),0)</f>
        <v>0</v>
      </c>
      <c r="AD71" s="17" cm="1">
        <f t="array" ref="AD7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71" s="418"/>
      <c r="AF71" s="246"/>
      <c r="AG71"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71" s="48">
        <f>(AB71/ABS(AB71))
*IFERROR(
IF(
ISBLANK(
VLOOKUP(
AF71,
Table_ChuongTrinh[],
COUNTA(Table_ChuongTrinh[[#Headers],[Mã Chương trình]:[Tỷ lệ CK]]),
0)
),
VLOOKUP(
AF71,
Table_ChuongTrinh[],
COUNTA(Table_ChuongTrinh[[#Headers],[Mã Chương trình]:[Giá trị CK]]),
0),
VLOOKUP(
AF71,
Table_ChuongTrinh[],
COUNTA(Table_ChuongTrinh[[#Headers],[Mã Chương trình]:[Tỷ lệ CK]]),
0)*ABS(AB71)
),
0)+AE71</f>
        <v>0</v>
      </c>
      <c r="AI71" s="17">
        <f>IFERROR(Table_DonBan[[#This Row],[VAT hàng]]-Table_DonBan[[#This Row],[VAT hàng]]*Table_DonBan[[#This Row],[Giá trị CK]]/Table_DonBan[[#This Row],[Tiền hàng]],0)</f>
        <v>0</v>
      </c>
      <c r="AJ71" s="17">
        <f>+Table_DonBan[[#This Row],[Tiền hàng]]-Table_DonBan[[#This Row],[Giá trị CK]]</f>
        <v>3900000</v>
      </c>
      <c r="AK71" s="17">
        <f>Table_DonBan[[#This Row],[Doanh thu ròng]]</f>
        <v>3900000</v>
      </c>
      <c r="AL71" s="17">
        <f>Table_DonBan[[#This Row],[Tiền hàng]]+Table_DonBan[[#This Row],[Tổng VAT]]-Table_DonBan[[#This Row],[Giá trị CK]]</f>
        <v>3900000</v>
      </c>
      <c r="AM7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N71" s="536">
        <f>+IFERROR(
MAX(_xlfn._xlws.FILTER(Table_KHThanThiet_ChinhSach[Tỷ lệ điểm thưởng],
(Table_KHThanThiet_ChinhSach[Doanh thu tối thiểu]&lt;=Table_DonBan[[#This Row],[Doanh thu tính điểm]])
)),0)</f>
        <v>0</v>
      </c>
      <c r="AO71" s="17">
        <f xml:space="preserve">
Table_DonBan[[#This Row],[Tỷ lệ tính điểm]]*Table_DonBan[[#This Row],[Doanh thu ròng]]</f>
        <v>0</v>
      </c>
      <c r="AP71" s="246">
        <f>COUNTA(_xlfn._xlws.FILTER(Table_DonBan[Mã Khách],
(Table_DonBan[Mã Khách]=Table_DonBan[[#This Row],[Mã Khách]])*
(Table_DonBan[Ngày lập]&lt;=Table_DonBan[[#This Row],[Ngày lập]])
))</f>
        <v>1</v>
      </c>
      <c r="AQ71" s="244"/>
      <c r="AR71" s="245">
        <f>Table_DonBan[[#This Row],[ĐK - Phân loại]]*Table_DonBan[[#This Row],[ĐK - Thời gian]]*Table_DonBan[[#This Row],[ĐK - Giá trị]]*Table_DonBan[[#This Row],[ĐK - Số lượng]]*Table_DonBan[[#This Row],[ĐK - Sinh nhật]]*Table_DonBan[[#This Row],[ĐK - Ngày mua cuối]]</f>
        <v>1</v>
      </c>
      <c r="AS71" s="245">
        <f xml:space="preserve">
IF(ISBLANK(Table_DonBan[[#This Row],[Chương trình]]),1,
IF(VLOOKUP(Table_DonBan[[#This Row],[Chương trình]],Table_ChuongTrinh[[Mã Chương trình]:[Đối tượng CK]],Sheet_ChuongTrinh!$C$1,0) = "Đơn hàng",1,0))</f>
        <v>1</v>
      </c>
      <c r="AT71"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71" s="245">
        <f>IF(ISBLANK(Table_DonBan[[#This Row],[Chương trình]]),
1,
IF(ISBLANK(VLOOKUP(Table_DonBan[[#This Row],[Chương trình]],Table_ChuongTrinh[],Sheet_ChuongTrinh!$J$1,0)),
1,
IF(Table_DonBan[[#This Row],[Tiền hàng]]&gt;= VLOOKUP(Table_DonBan[[#This Row],[Chương trình]],Table_ChuongTrinh[],Sheet_ChuongTrinh!$J$1,0),
1,
0)))</f>
        <v>1</v>
      </c>
      <c r="AV71"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71"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71"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71"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sheetData>
  <sheetProtection algorithmName="SHA-512" hashValue="1efedDumPj4sF0LORJJM3pW23PZJO/f0IPfzBDRVhE89gH7stvSrUeEZo3cumVeO/vt7fb9ivGSwOzUsqpXOFA==" saltValue="RdxsUTpVU3C7XnRpu5tDfw==" spinCount="100000" sheet="1" scenarios="1" formatCells="0" formatColumns="0" formatRows="0" insertColumns="0" insertRows="0" deleteColumns="0" deleteRows="0" sort="0" autoFilter="0" pivotTables="0"/>
  <protectedRanges>
    <protectedRange sqref="AY1:XFD1 AZ2:XFD3 AQ10:AX28 T10:T14 S10:S28 AZ8:XFD28 AQ29:AY46 BA29:XFD1048576 S8:AX9 S2:AX3 T72:AY1048576 U10:AP46 AP47:AV71 U47:AM71 T16:T71 AY47:AY71 AY4:XFD7" name="Range1"/>
    <protectedRange sqref="P33 E11:E13 D10:F10 F37:O37 G10:H14 F16:H29 F14 P16:R32 F1:Q3 F30:F32 F34:F36 I10:O29 C3 P34:R34 P10:Q15 R36:R43 P36:Q40 G38:N43 O38:O40 O43:Q43 O41:Q41 D1:D3 C1 C9:E9 G9:Q9 S29:S1048576 F44:R1048576 B10:C1048576 D14:E1048576 R1:R14 B5 B1:B4 B6:B9 P5:Q5 P4:Q4 P6:Q8 C5:D5 C4:D4 C6:D8 F4:F7" name="Range1_1"/>
    <protectedRange sqref="F33 Q33:R33" name="Range1_1_1"/>
    <protectedRange sqref="F8" name="Range1_1_3"/>
    <protectedRange sqref="AC47:AE71" name="Range1_2"/>
    <protectedRange sqref="AI47:AK71" name="Range1_3"/>
    <protectedRange sqref="AW47:AX71" name="Range1_6"/>
  </protectedRanges>
  <mergeCells count="22">
    <mergeCell ref="O38:Q38"/>
    <mergeCell ref="O39:Q39"/>
    <mergeCell ref="O40:Q40"/>
    <mergeCell ref="E12:Q12"/>
    <mergeCell ref="E13:Q13"/>
    <mergeCell ref="P36:Q36"/>
    <mergeCell ref="F36:O36"/>
    <mergeCell ref="P30:Q30"/>
    <mergeCell ref="P33:Q33"/>
    <mergeCell ref="P34:Q34"/>
    <mergeCell ref="P35:Q35"/>
    <mergeCell ref="P31:Q31"/>
    <mergeCell ref="P32:Q32"/>
    <mergeCell ref="E11:Q11"/>
    <mergeCell ref="P4:Q4"/>
    <mergeCell ref="P5:Q5"/>
    <mergeCell ref="B4:D4"/>
    <mergeCell ref="B6:D6"/>
    <mergeCell ref="B5:D5"/>
    <mergeCell ref="P6:Q6"/>
    <mergeCell ref="P7:Q7"/>
    <mergeCell ref="P8:Q8"/>
  </mergeCells>
  <phoneticPr fontId="14" type="noConversion"/>
  <conditionalFormatting sqref="G17:G28">
    <cfRule type="expression" dxfId="424" priority="13">
      <formula>$H17=0</formula>
    </cfRule>
  </conditionalFormatting>
  <conditionalFormatting sqref="P33">
    <cfRule type="expression" dxfId="423" priority="12">
      <formula>$H$33=0</formula>
    </cfRule>
  </conditionalFormatting>
  <conditionalFormatting sqref="AF46">
    <cfRule type="expression" dxfId="422" priority="2">
      <formula>$AR$46=0</formula>
    </cfRule>
  </conditionalFormatting>
  <conditionalFormatting sqref="AF48:AF71">
    <cfRule type="expression" dxfId="421" priority="771">
      <formula>#REF!=0</formula>
    </cfRule>
  </conditionalFormatting>
  <conditionalFormatting sqref="P4:Q4">
    <cfRule type="expression" dxfId="420" priority="834">
      <formula>MATCH($P$4,$U$48:$U$71,0)</formula>
    </cfRule>
  </conditionalFormatting>
  <dataValidations count="14">
    <dataValidation type="list" allowBlank="1" showInputMessage="1" showErrorMessage="1" sqref="AF45:AF46 G17:G28 P33" xr:uid="{1A4A1E2F-8BF1-413B-9F19-13DEBA41E839}">
      <formula1>MaChuongTrinh</formula1>
    </dataValidation>
    <dataValidation type="list" allowBlank="1" showInputMessage="1" showErrorMessage="1" sqref="Y45:Y46" xr:uid="{262EFF9A-29A8-4696-A139-EF8DBDD3520B}">
      <formula1>MaKhachHang</formula1>
    </dataValidation>
    <dataValidation type="list" allowBlank="1" showInputMessage="1" showErrorMessage="1" sqref="Z45:Z46" xr:uid="{6692479C-D38F-4902-BCCC-F1ED162D6D92}">
      <formula1>MaNhanVien</formula1>
    </dataValidation>
    <dataValidation type="list" allowBlank="1" showInputMessage="1" showErrorMessage="1" sqref="AA45:AA46" xr:uid="{B57937B9-24AF-44B7-812B-878B5AD5DC78}">
      <formula1>MaKenh</formula1>
    </dataValidation>
    <dataValidation type="list" allowBlank="1" showInputMessage="1" showErrorMessage="1" sqref="C17:C28" xr:uid="{E95B5F1B-FC6A-4363-AB64-7BECEE6F6EBB}">
      <formula1>Ma_SKU</formula1>
    </dataValidation>
    <dataValidation type="list" showInputMessage="1" showErrorMessage="1" sqref="P8:Q8" xr:uid="{5E8FAE6F-B443-465F-8963-434F890C4F60}">
      <formula1>MaNhanVien</formula1>
    </dataValidation>
    <dataValidation type="list" showInputMessage="1" showErrorMessage="1" sqref="C3" xr:uid="{A4DE921D-DF32-4320-81BC-DA2E629CCD6E}">
      <formula1>MaKhachHang</formula1>
    </dataValidation>
    <dataValidation type="list" showInputMessage="1" showErrorMessage="1" sqref="P7:Q7" xr:uid="{D7075D39-D496-4B6B-B981-79F4945E873A}">
      <formula1>MaKenh</formula1>
    </dataValidation>
    <dataValidation type="list" allowBlank="1" showInputMessage="1" sqref="Y48:Y71" xr:uid="{17BB0627-AD52-42A3-9704-B75907087A49}">
      <formula1>MaKhachHang</formula1>
    </dataValidation>
    <dataValidation type="list" allowBlank="1" showInputMessage="1" sqref="Z48:Z71" xr:uid="{6C62CF4A-0114-49D1-9D9F-3C2D8CA9D9CC}">
      <formula1>MaNhanVien</formula1>
    </dataValidation>
    <dataValidation type="list" allowBlank="1" showInputMessage="1" sqref="AA48:AA71" xr:uid="{9B440006-E58C-4244-B011-62DC0F82B99F}">
      <formula1>MaKenh</formula1>
    </dataValidation>
    <dataValidation type="list" allowBlank="1" showInputMessage="1" sqref="AF48:AF71" xr:uid="{3D679D18-75AA-4823-813C-6A4FD660991C}">
      <formula1>MaChuongTrinh</formula1>
    </dataValidation>
    <dataValidation type="custom" allowBlank="1" showInputMessage="1" showErrorMessage="1" sqref="O10:P10" xr:uid="{706A4A22-B8C1-4A6C-A618-01A1DA203B84}">
      <formula1>O10&lt;&gt;BT:BT</formula1>
    </dataValidation>
    <dataValidation type="custom" allowBlank="1" showInputMessage="1" showErrorMessage="1" sqref="Q10:R10" xr:uid="{35423751-BF6B-478A-8977-A1B156D65DC3}">
      <formula1>Q10&lt;&gt;BU:BU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Button 3">
              <controlPr defaultSize="0" print="0" autoFill="0" autoPict="0" macro="[0]!AddColumn">
                <anchor moveWithCells="1">
                  <from>
                    <xdr:col>42</xdr:col>
                    <xdr:colOff>161925</xdr:colOff>
                    <xdr:row>0</xdr:row>
                    <xdr:rowOff>85725</xdr:rowOff>
                  </from>
                  <to>
                    <xdr:col>50</xdr:col>
                    <xdr:colOff>161925</xdr:colOff>
                    <xdr:row>0</xdr:row>
                    <xdr:rowOff>342900</xdr:rowOff>
                  </to>
                </anchor>
              </controlPr>
            </control>
          </mc:Choice>
        </mc:AlternateContent>
        <mc:AlternateContent xmlns:mc="http://schemas.openxmlformats.org/markup-compatibility/2006">
          <mc:Choice Requires="x14">
            <control shapeId="69636" r:id="rId5" name="Button 4">
              <controlPr defaultSize="0" print="0" autoFill="0" autoPict="0" macro="[0]!DeleteColumn">
                <anchor moveWithCells="1">
                  <from>
                    <xdr:col>50</xdr:col>
                    <xdr:colOff>295275</xdr:colOff>
                    <xdr:row>0</xdr:row>
                    <xdr:rowOff>85725</xdr:rowOff>
                  </from>
                  <to>
                    <xdr:col>51</xdr:col>
                    <xdr:colOff>152400</xdr:colOff>
                    <xdr:row>0</xdr:row>
                    <xdr:rowOff>342900</xdr:rowOff>
                  </to>
                </anchor>
              </controlPr>
            </control>
          </mc:Choice>
        </mc:AlternateContent>
        <mc:AlternateContent xmlns:mc="http://schemas.openxmlformats.org/markup-compatibility/2006">
          <mc:Choice Requires="x14">
            <control shapeId="69640" r:id="rId6" name="Option Button 8">
              <controlPr defaultSize="0" autoFill="0" autoLine="0" autoPict="0" macro="[0]!DoiDonViHienThi">
                <anchor moveWithCells="1">
                  <from>
                    <xdr:col>27</xdr:col>
                    <xdr:colOff>9525</xdr:colOff>
                    <xdr:row>0</xdr:row>
                    <xdr:rowOff>152400</xdr:rowOff>
                  </from>
                  <to>
                    <xdr:col>27</xdr:col>
                    <xdr:colOff>600075</xdr:colOff>
                    <xdr:row>0</xdr:row>
                    <xdr:rowOff>428625</xdr:rowOff>
                  </to>
                </anchor>
              </controlPr>
            </control>
          </mc:Choice>
        </mc:AlternateContent>
        <mc:AlternateContent xmlns:mc="http://schemas.openxmlformats.org/markup-compatibility/2006">
          <mc:Choice Requires="x14">
            <control shapeId="69641" r:id="rId7" name="Option Button 9">
              <controlPr defaultSize="0" autoFill="0" autoLine="0" autoPict="0" macro="[0]!DoiDonViHienThi">
                <anchor moveWithCells="1">
                  <from>
                    <xdr:col>27</xdr:col>
                    <xdr:colOff>476250</xdr:colOff>
                    <xdr:row>0</xdr:row>
                    <xdr:rowOff>152400</xdr:rowOff>
                  </from>
                  <to>
                    <xdr:col>28</xdr:col>
                    <xdr:colOff>381000</xdr:colOff>
                    <xdr:row>0</xdr:row>
                    <xdr:rowOff>428625</xdr:rowOff>
                  </to>
                </anchor>
              </controlPr>
            </control>
          </mc:Choice>
        </mc:AlternateContent>
        <mc:AlternateContent xmlns:mc="http://schemas.openxmlformats.org/markup-compatibility/2006">
          <mc:Choice Requires="x14">
            <control shapeId="69642" r:id="rId8" name="Option Button 10">
              <controlPr defaultSize="0" autoFill="0" autoLine="0" autoPict="0" macro="[0]!DoiDonViHienThi">
                <anchor moveWithCells="1">
                  <from>
                    <xdr:col>28</xdr:col>
                    <xdr:colOff>257175</xdr:colOff>
                    <xdr:row>0</xdr:row>
                    <xdr:rowOff>152400</xdr:rowOff>
                  </from>
                  <to>
                    <xdr:col>29</xdr:col>
                    <xdr:colOff>161925</xdr:colOff>
                    <xdr:row>0</xdr:row>
                    <xdr:rowOff>428625</xdr:rowOff>
                  </to>
                </anchor>
              </controlPr>
            </control>
          </mc:Choice>
        </mc:AlternateContent>
        <mc:AlternateContent xmlns:mc="http://schemas.openxmlformats.org/markup-compatibility/2006">
          <mc:Choice Requires="x14">
            <control shapeId="69643" r:id="rId9" name="Option Button 11">
              <controlPr defaultSize="0" autoFill="0" autoLine="0" autoPict="0" macro="[0]!DoiDonViHienThi">
                <anchor moveWithCells="1">
                  <from>
                    <xdr:col>29</xdr:col>
                    <xdr:colOff>47625</xdr:colOff>
                    <xdr:row>0</xdr:row>
                    <xdr:rowOff>152400</xdr:rowOff>
                  </from>
                  <to>
                    <xdr:col>29</xdr:col>
                    <xdr:colOff>400050</xdr:colOff>
                    <xdr:row>0</xdr:row>
                    <xdr:rowOff>428625</xdr:rowOff>
                  </to>
                </anchor>
              </controlPr>
            </control>
          </mc:Choice>
        </mc:AlternateContent>
        <mc:AlternateContent xmlns:mc="http://schemas.openxmlformats.org/markup-compatibility/2006">
          <mc:Choice Requires="x14">
            <control shapeId="69644" r:id="rId10" name="Group Box 12">
              <controlPr defaultSize="0" autoFill="0" autoPict="0">
                <anchor moveWithCells="1">
                  <from>
                    <xdr:col>26</xdr:col>
                    <xdr:colOff>581025</xdr:colOff>
                    <xdr:row>0</xdr:row>
                    <xdr:rowOff>104775</xdr:rowOff>
                  </from>
                  <to>
                    <xdr:col>29</xdr:col>
                    <xdr:colOff>514350</xdr:colOff>
                    <xdr:row>0</xdr:row>
                    <xdr:rowOff>466725</xdr:rowOff>
                  </to>
                </anchor>
              </controlPr>
            </control>
          </mc:Choice>
        </mc:AlternateContent>
        <mc:AlternateContent xmlns:mc="http://schemas.openxmlformats.org/markup-compatibility/2006">
          <mc:Choice Requires="x14">
            <control shapeId="69645" r:id="rId11" name="Group Box 13">
              <controlPr defaultSize="0" autoFill="0" autoPict="0">
                <anchor moveWithCells="1">
                  <from>
                    <xdr:col>24</xdr:col>
                    <xdr:colOff>247650</xdr:colOff>
                    <xdr:row>0</xdr:row>
                    <xdr:rowOff>104775</xdr:rowOff>
                  </from>
                  <to>
                    <xdr:col>26</xdr:col>
                    <xdr:colOff>533400</xdr:colOff>
                    <xdr:row>0</xdr:row>
                    <xdr:rowOff>466725</xdr:rowOff>
                  </to>
                </anchor>
              </controlPr>
            </control>
          </mc:Choice>
        </mc:AlternateContent>
        <mc:AlternateContent xmlns:mc="http://schemas.openxmlformats.org/markup-compatibility/2006">
          <mc:Choice Requires="x14">
            <control shapeId="69646" r:id="rId12" name="Button 14">
              <controlPr defaultSize="0" autoFill="0" autoPict="0" macro="[0]!NhanNghin">
                <anchor moveWithCells="1">
                  <from>
                    <xdr:col>24</xdr:col>
                    <xdr:colOff>333375</xdr:colOff>
                    <xdr:row>0</xdr:row>
                    <xdr:rowOff>200025</xdr:rowOff>
                  </from>
                  <to>
                    <xdr:col>25</xdr:col>
                    <xdr:colOff>114300</xdr:colOff>
                    <xdr:row>0</xdr:row>
                    <xdr:rowOff>371475</xdr:rowOff>
                  </to>
                </anchor>
              </controlPr>
            </control>
          </mc:Choice>
        </mc:AlternateContent>
        <mc:AlternateContent xmlns:mc="http://schemas.openxmlformats.org/markup-compatibility/2006">
          <mc:Choice Requires="x14">
            <control shapeId="69647" r:id="rId13" name="Button 15">
              <controlPr defaultSize="0" autoFill="0" autoPict="0" macro="[0]!NhanTrieu">
                <anchor moveWithCells="1">
                  <from>
                    <xdr:col>25</xdr:col>
                    <xdr:colOff>161925</xdr:colOff>
                    <xdr:row>0</xdr:row>
                    <xdr:rowOff>200025</xdr:rowOff>
                  </from>
                  <to>
                    <xdr:col>25</xdr:col>
                    <xdr:colOff>628650</xdr:colOff>
                    <xdr:row>0</xdr:row>
                    <xdr:rowOff>371475</xdr:rowOff>
                  </to>
                </anchor>
              </controlPr>
            </control>
          </mc:Choice>
        </mc:AlternateContent>
        <mc:AlternateContent xmlns:mc="http://schemas.openxmlformats.org/markup-compatibility/2006">
          <mc:Choice Requires="x14">
            <control shapeId="69648" r:id="rId14" name="Button 16">
              <controlPr defaultSize="0" autoFill="0" autoPict="0" macro="[0]!NhanTy">
                <anchor moveWithCells="1">
                  <from>
                    <xdr:col>25</xdr:col>
                    <xdr:colOff>676275</xdr:colOff>
                    <xdr:row>0</xdr:row>
                    <xdr:rowOff>200025</xdr:rowOff>
                  </from>
                  <to>
                    <xdr:col>26</xdr:col>
                    <xdr:colOff>457200</xdr:colOff>
                    <xdr:row>0</xdr:row>
                    <xdr:rowOff>371475</xdr:rowOff>
                  </to>
                </anchor>
              </controlPr>
            </control>
          </mc:Choice>
        </mc:AlternateContent>
        <mc:AlternateContent xmlns:mc="http://schemas.openxmlformats.org/markup-compatibility/2006">
          <mc:Choice Requires="x14">
            <control shapeId="69637" r:id="rId15" name="Button 5">
              <controlPr defaultSize="0" print="0" autoFill="0" autoPict="0" macro="[0]!CopyToTable">
                <anchor moveWithCells="1">
                  <from>
                    <xdr:col>42</xdr:col>
                    <xdr:colOff>9525</xdr:colOff>
                    <xdr:row>44</xdr:row>
                    <xdr:rowOff>95250</xdr:rowOff>
                  </from>
                  <to>
                    <xdr:col>50</xdr:col>
                    <xdr:colOff>38100</xdr:colOff>
                    <xdr:row>45</xdr:row>
                    <xdr:rowOff>123825</xdr:rowOff>
                  </to>
                </anchor>
              </controlPr>
            </control>
          </mc:Choice>
        </mc:AlternateContent>
        <mc:AlternateContent xmlns:mc="http://schemas.openxmlformats.org/markup-compatibility/2006">
          <mc:Choice Requires="x14">
            <control shapeId="69649" r:id="rId16" name="Button 17">
              <controlPr defaultSize="0" print="0" autoFill="0" autoPict="0" macro="[0]!AddRow">
                <anchor moveWithCells="1">
                  <from>
                    <xdr:col>20</xdr:col>
                    <xdr:colOff>85725</xdr:colOff>
                    <xdr:row>0</xdr:row>
                    <xdr:rowOff>95250</xdr:rowOff>
                  </from>
                  <to>
                    <xdr:col>20</xdr:col>
                    <xdr:colOff>561975</xdr:colOff>
                    <xdr:row>0</xdr:row>
                    <xdr:rowOff>352425</xdr:rowOff>
                  </to>
                </anchor>
              </controlPr>
            </control>
          </mc:Choice>
        </mc:AlternateContent>
        <mc:AlternateContent xmlns:mc="http://schemas.openxmlformats.org/markup-compatibility/2006">
          <mc:Choice Requires="x14">
            <control shapeId="69650" r:id="rId17" name="Button 18">
              <controlPr defaultSize="0" print="0" autoFill="0" autoPict="0" macro="[0]!DeleteRow">
                <anchor moveWithCells="1">
                  <from>
                    <xdr:col>20</xdr:col>
                    <xdr:colOff>714375</xdr:colOff>
                    <xdr:row>0</xdr:row>
                    <xdr:rowOff>95250</xdr:rowOff>
                  </from>
                  <to>
                    <xdr:col>20</xdr:col>
                    <xdr:colOff>1190625</xdr:colOff>
                    <xdr:row>0</xdr:row>
                    <xdr:rowOff>352425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1C28E9F8-9639-4AF1-8DAE-8C7858C0B2F9}">
            <xm:f>Security!$A$1="NO VBA"</xm:f>
            <x14:dxf>
              <font>
                <color theme="0"/>
              </font>
              <border>
                <vertical/>
                <horizontal/>
              </border>
            </x14:dxf>
          </x14:cfRule>
          <xm:sqref>A9:E9 G9:XFD9 AP47 A10:XFD44 A48:S1048576 AZ47:XFD1048576 T72:AY1048576 AP48:AY71 T48:U71 A45:V47 Y45:XFD46 Y47:AL71 A1:XFD8</xm:sqref>
        </x14:conditionalFormatting>
        <x14:conditionalFormatting xmlns:xm="http://schemas.microsoft.com/office/excel/2006/main">
          <x14:cfRule type="expression" priority="5" id="{BA35EF14-362F-445D-A117-9F372E1F5D87}">
            <xm:f>Security!$A$1="NO VBA"</xm:f>
            <x14:dxf>
              <font>
                <color theme="0"/>
              </font>
              <border>
                <vertical/>
                <horizontal/>
              </border>
            </x14:dxf>
          </x14:cfRule>
          <xm:sqref>AQ47:AV47 AY47</xm:sqref>
        </x14:conditionalFormatting>
        <x14:conditionalFormatting xmlns:xm="http://schemas.microsoft.com/office/excel/2006/main">
          <x14:cfRule type="expression" priority="3" id="{CB3E9970-6E5B-442F-AFF0-F720F4EE4E78}">
            <xm:f>Security!$A$1="NO VBA"</xm:f>
            <x14:dxf>
              <font>
                <color theme="0"/>
              </font>
              <border>
                <vertical/>
                <horizontal/>
              </border>
            </x14:dxf>
          </x14:cfRule>
          <xm:sqref>AW47:AX47</xm:sqref>
        </x14:conditionalFormatting>
        <x14:conditionalFormatting xmlns:xm="http://schemas.microsoft.com/office/excel/2006/main">
          <x14:cfRule type="expression" priority="1" id="{603BE37D-FEA9-4A0C-8367-897851E07A73}">
            <xm:f>Security!$A$1="NO VBA"</xm:f>
            <x14:dxf>
              <font>
                <color theme="0"/>
              </font>
              <border>
                <vertical/>
                <horizontal/>
              </border>
            </x14:dxf>
          </x14:cfRule>
          <xm:sqref>W45:X47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AFBF-9B7D-4EBD-ACCA-532EDD3234AA}">
  <sheetPr codeName="Sheet26">
    <tabColor theme="7"/>
    <outlinePr summaryRight="0"/>
  </sheetPr>
  <dimension ref="A1:AJ46"/>
  <sheetViews>
    <sheetView showGridLines="0" workbookViewId="0">
      <selection activeCell="Y59" sqref="T59:Y59"/>
    </sheetView>
  </sheetViews>
  <sheetFormatPr defaultRowHeight="17.25" outlineLevelRow="2" outlineLevelCol="2" x14ac:dyDescent="0.3"/>
  <cols>
    <col min="1" max="1" width="1.25" style="40" customWidth="1" collapsed="1"/>
    <col min="2" max="2" width="3.875" style="1" hidden="1" customWidth="1" outlineLevel="1"/>
    <col min="3" max="3" width="21.625" style="1" hidden="1" customWidth="1" outlineLevel="2"/>
    <col min="4" max="4" width="12.625" style="1" hidden="1" customWidth="1" outlineLevel="2"/>
    <col min="5" max="5" width="25" style="1" hidden="1" customWidth="1" outlineLevel="1"/>
    <col min="6" max="7" width="11.375" style="1" hidden="1" customWidth="1" outlineLevel="1"/>
    <col min="8" max="8" width="15.125" style="1" hidden="1" customWidth="1" outlineLevel="1"/>
    <col min="9" max="9" width="15.125" style="1" hidden="1" customWidth="1" outlineLevel="1" collapsed="1"/>
    <col min="10" max="10" width="12.75" style="1" hidden="1" customWidth="1" outlineLevel="2"/>
    <col min="11" max="11" width="12.75" style="1" hidden="1" customWidth="1" outlineLevel="1"/>
    <col min="12" max="12" width="9.625" style="40" customWidth="1"/>
    <col min="13" max="13" width="5.375" style="40" bestFit="1" customWidth="1"/>
    <col min="14" max="14" width="18" style="40" customWidth="1"/>
    <col min="15" max="15" width="12.5" style="40" customWidth="1" outlineLevel="1"/>
    <col min="16" max="16" width="12.25" style="40" bestFit="1" customWidth="1"/>
    <col min="17" max="17" width="10.375" style="40" customWidth="1" outlineLevel="1"/>
    <col min="18" max="18" width="10.625" style="40" customWidth="1" outlineLevel="1"/>
    <col min="19" max="19" width="11.125" style="40" customWidth="1" outlineLevel="1"/>
    <col min="20" max="20" width="9.75" style="40" customWidth="1" outlineLevel="1" collapsed="1"/>
    <col min="21" max="21" width="11.375" style="40" customWidth="1" outlineLevel="1"/>
    <col min="22" max="22" width="5.625" style="40" customWidth="1"/>
    <col min="23" max="23" width="11.375" style="40" customWidth="1"/>
    <col min="24" max="24" width="14.5" style="40" bestFit="1" customWidth="1"/>
    <col min="25" max="25" width="7.625" style="40" customWidth="1" outlineLevel="1"/>
    <col min="26" max="26" width="6.75" style="40" bestFit="1" customWidth="1" collapsed="1"/>
    <col min="27" max="27" width="9.375" style="40" customWidth="1"/>
    <col min="28" max="28" width="9" style="38"/>
    <col min="29" max="16384" width="9" style="40"/>
  </cols>
  <sheetData>
    <row r="1" spans="1:36" s="21" customFormat="1" ht="37.5" x14ac:dyDescent="0.3">
      <c r="A1" s="247"/>
      <c r="B1" s="56" t="str">
        <f>EULA!$B11</f>
        <v>Công ty ABC XYZ</v>
      </c>
      <c r="C1" s="311"/>
      <c r="D1" s="280"/>
      <c r="E1" s="280"/>
      <c r="F1" s="280"/>
      <c r="G1" s="280"/>
      <c r="H1" s="280"/>
      <c r="I1" s="57" t="s">
        <v>736</v>
      </c>
      <c r="J1" s="247"/>
      <c r="K1" s="247"/>
      <c r="L1" s="247"/>
      <c r="M1" s="247"/>
      <c r="N1" s="247"/>
      <c r="O1" s="247"/>
      <c r="P1" s="247"/>
      <c r="Q1" s="247"/>
      <c r="R1" s="247"/>
      <c r="S1" s="247"/>
      <c r="T1" s="247"/>
      <c r="U1" s="247"/>
      <c r="V1" s="247"/>
      <c r="W1" s="247"/>
      <c r="X1" s="247"/>
      <c r="Y1" s="247"/>
      <c r="Z1" s="247"/>
      <c r="AA1" s="247"/>
      <c r="AB1" s="247"/>
    </row>
    <row r="2" spans="1:36" hidden="1" outlineLevel="2" x14ac:dyDescent="0.3">
      <c r="A2" s="271"/>
      <c r="B2" s="274"/>
      <c r="C2" s="1" t="s">
        <v>719</v>
      </c>
      <c r="D2" s="281"/>
      <c r="E2" s="274"/>
      <c r="F2" s="274"/>
      <c r="G2" s="274"/>
      <c r="H2" s="295"/>
      <c r="I2" s="295"/>
      <c r="J2" s="295"/>
      <c r="K2" s="295"/>
      <c r="L2" s="271"/>
      <c r="M2" s="271"/>
      <c r="N2" s="271"/>
      <c r="O2" s="271"/>
      <c r="P2" s="271"/>
      <c r="Q2" s="271"/>
      <c r="R2" s="271"/>
      <c r="S2" s="271"/>
      <c r="T2" s="271"/>
      <c r="U2" s="271"/>
      <c r="V2" s="271"/>
      <c r="W2" s="271"/>
      <c r="X2" s="271"/>
      <c r="Y2" s="271"/>
      <c r="Z2" s="271"/>
      <c r="AA2" s="271"/>
      <c r="AB2" s="241"/>
    </row>
    <row r="3" spans="1:36" hidden="1" outlineLevel="2" x14ac:dyDescent="0.3">
      <c r="A3" s="271"/>
      <c r="B3" s="274"/>
      <c r="C3" s="1" t="s">
        <v>737</v>
      </c>
      <c r="D3" s="281"/>
      <c r="E3" s="274"/>
      <c r="F3" s="274"/>
      <c r="G3" s="274"/>
      <c r="H3" s="274"/>
      <c r="I3" s="274"/>
      <c r="J3" s="274"/>
      <c r="K3" s="274"/>
      <c r="L3" s="271"/>
      <c r="M3" s="271"/>
      <c r="N3" s="271"/>
      <c r="O3" s="271"/>
      <c r="P3" s="271"/>
      <c r="Q3" s="271"/>
      <c r="R3" s="271"/>
      <c r="S3" s="271"/>
      <c r="T3" s="271"/>
      <c r="U3" s="271"/>
      <c r="V3" s="271"/>
      <c r="W3" s="271"/>
      <c r="X3" s="271"/>
      <c r="Y3" s="271"/>
      <c r="Z3" s="271"/>
      <c r="AA3" s="271"/>
      <c r="AB3" s="241"/>
    </row>
    <row r="4" spans="1:36" hidden="1" outlineLevel="1" x14ac:dyDescent="0.3">
      <c r="A4" s="271"/>
      <c r="B4" s="564" t="str">
        <f>EULA!$B14</f>
        <v>[Địa chỉ]</v>
      </c>
      <c r="C4" s="565"/>
      <c r="D4" s="564" t="str">
        <f>EULA!$B14</f>
        <v>[Địa chỉ]</v>
      </c>
      <c r="E4" s="564" t="str">
        <f>EULA!$B14</f>
        <v>[Địa chỉ]</v>
      </c>
      <c r="F4" s="1" t="s">
        <v>738</v>
      </c>
      <c r="G4" s="274"/>
      <c r="H4" s="566" t="str">
        <f>CONCATENATE("GIAO-",D2,"-",MOD(YEAR(H5),100)*10000+MONTH(H5)*100+DAY(H5),"-",J4)</f>
        <v>GIAO--100-1</v>
      </c>
      <c r="I4" s="567"/>
      <c r="J4" s="282">
        <v>1</v>
      </c>
      <c r="K4" s="271"/>
      <c r="L4" s="271"/>
      <c r="M4" s="271"/>
      <c r="N4" s="271"/>
      <c r="O4" s="271"/>
      <c r="P4" s="271"/>
      <c r="Q4" s="271"/>
      <c r="R4" s="271"/>
      <c r="S4" s="271"/>
      <c r="T4" s="271"/>
      <c r="U4" s="271"/>
      <c r="V4" s="271"/>
      <c r="W4" s="271"/>
      <c r="X4" s="271"/>
      <c r="Y4" s="271"/>
      <c r="Z4" s="271"/>
      <c r="AA4" s="271"/>
      <c r="AB4" s="271"/>
    </row>
    <row r="5" spans="1:36" hidden="1" outlineLevel="1" x14ac:dyDescent="0.3">
      <c r="A5" s="271"/>
      <c r="B5" s="564" t="str">
        <f>EULA!$B15</f>
        <v>[Mã số thuế]</v>
      </c>
      <c r="C5" s="565"/>
      <c r="D5" s="564" t="str">
        <f>EULA!$B15</f>
        <v>[Mã số thuế]</v>
      </c>
      <c r="E5" s="564" t="str">
        <f>EULA!$B15</f>
        <v>[Mã số thuế]</v>
      </c>
      <c r="F5" s="1" t="s">
        <v>534</v>
      </c>
      <c r="G5" s="274"/>
      <c r="H5" s="568"/>
      <c r="I5" s="569"/>
      <c r="J5" s="271"/>
      <c r="K5" s="271"/>
      <c r="L5" s="271"/>
      <c r="M5" s="271"/>
      <c r="N5" s="271"/>
      <c r="O5" s="271"/>
      <c r="P5" s="271"/>
      <c r="Q5" s="271"/>
      <c r="R5" s="271"/>
      <c r="S5" s="271"/>
      <c r="T5" s="271"/>
      <c r="U5" s="271"/>
      <c r="V5" s="271"/>
      <c r="W5" s="271"/>
      <c r="X5" s="271"/>
      <c r="Y5" s="271"/>
      <c r="Z5" s="271"/>
      <c r="AA5" s="271"/>
      <c r="AB5" s="271"/>
    </row>
    <row r="6" spans="1:36" hidden="1" outlineLevel="1" x14ac:dyDescent="0.3">
      <c r="A6" s="271"/>
      <c r="B6" s="564" t="str">
        <f>EULA!$B16</f>
        <v>[SĐT - Fax]</v>
      </c>
      <c r="C6" s="565"/>
      <c r="D6" s="564" t="str">
        <f>EULA!$B16</f>
        <v>[SĐT - Fax]</v>
      </c>
      <c r="E6" s="564" t="str">
        <f>EULA!$B16</f>
        <v>[SĐT - Fax]</v>
      </c>
      <c r="F6" s="1" t="s">
        <v>172</v>
      </c>
      <c r="G6" s="274"/>
      <c r="H6" s="581" t="str">
        <f>IFERROR(VLOOKUP(D2,Sheet_KhachHang!B6:C8,Sheet_KhachHang!$C$1,0),"")</f>
        <v/>
      </c>
      <c r="I6" s="571"/>
      <c r="J6" s="271"/>
      <c r="K6" s="271"/>
      <c r="L6" s="271"/>
      <c r="M6" s="271"/>
      <c r="N6" s="271"/>
      <c r="O6" s="271"/>
      <c r="P6" s="271"/>
      <c r="Q6" s="271"/>
      <c r="R6" s="271"/>
      <c r="S6" s="271"/>
      <c r="T6" s="271"/>
      <c r="U6" s="271"/>
      <c r="V6" s="271"/>
      <c r="W6" s="271"/>
      <c r="X6" s="271"/>
      <c r="Y6" s="271"/>
      <c r="Z6" s="271"/>
      <c r="AA6" s="271"/>
      <c r="AB6" s="271"/>
    </row>
    <row r="7" spans="1:36" hidden="1" outlineLevel="1" x14ac:dyDescent="0.3">
      <c r="A7" s="271"/>
      <c r="B7" s="564" t="str">
        <f>EULA!$B17</f>
        <v>[Website - Page]</v>
      </c>
      <c r="C7" s="565"/>
      <c r="D7" s="564" t="str">
        <f>EULA!$B17</f>
        <v>[Website - Page]</v>
      </c>
      <c r="E7" s="564" t="str">
        <f>EULA!$B17</f>
        <v>[Website - Page]</v>
      </c>
      <c r="F7" s="1" t="s">
        <v>739</v>
      </c>
      <c r="G7" s="274"/>
      <c r="H7" s="573" t="str">
        <f>IFERROR(
VLOOKUP(D3,Table_NhaCungCap[[Mã Đối tác]:[Tên Đối tác]],2,0),
"")</f>
        <v/>
      </c>
      <c r="I7" s="571"/>
      <c r="J7" s="271"/>
      <c r="K7" s="271"/>
      <c r="L7" s="271"/>
      <c r="M7" s="271"/>
      <c r="N7" s="271"/>
      <c r="O7" s="271"/>
      <c r="P7" s="271"/>
      <c r="Q7" s="271"/>
      <c r="R7" s="271"/>
      <c r="S7" s="271"/>
      <c r="T7" s="271"/>
      <c r="U7" s="271"/>
      <c r="V7" s="271"/>
      <c r="W7" s="271"/>
      <c r="X7" s="271"/>
      <c r="Y7" s="271"/>
      <c r="Z7" s="271"/>
      <c r="AA7" s="271"/>
      <c r="AB7" s="241"/>
    </row>
    <row r="8" spans="1:36" hidden="1" outlineLevel="1" x14ac:dyDescent="0.3">
      <c r="A8" s="271"/>
      <c r="B8" s="185" t="str">
        <f>EULA!$B18</f>
        <v>[STK - Ngân hàng]</v>
      </c>
      <c r="C8" s="287"/>
      <c r="D8" s="274"/>
      <c r="E8" s="274"/>
      <c r="F8" s="1" t="s">
        <v>740</v>
      </c>
      <c r="G8" s="274"/>
      <c r="H8" s="572"/>
      <c r="I8" s="571"/>
      <c r="J8" s="271"/>
      <c r="K8" s="271"/>
      <c r="L8" s="271"/>
      <c r="M8" s="271"/>
      <c r="N8" s="271"/>
      <c r="O8" s="271"/>
      <c r="P8" s="271"/>
      <c r="Q8" s="271"/>
      <c r="R8" s="271"/>
      <c r="S8" s="271"/>
      <c r="T8" s="271"/>
      <c r="U8" s="271"/>
      <c r="V8" s="271"/>
      <c r="W8" s="271"/>
      <c r="X8" s="271"/>
      <c r="Y8" s="271"/>
      <c r="Z8" s="271"/>
      <c r="AA8" s="271"/>
      <c r="AB8" s="241"/>
    </row>
    <row r="9" spans="1:36" ht="42" hidden="1" customHeight="1" outlineLevel="1" x14ac:dyDescent="0.3">
      <c r="A9" s="271"/>
      <c r="B9" s="274"/>
      <c r="C9" s="1" t="s">
        <v>741</v>
      </c>
      <c r="D9" s="281"/>
      <c r="E9" s="274"/>
      <c r="F9" s="274"/>
      <c r="G9" s="274"/>
      <c r="H9" s="295"/>
      <c r="I9" s="429" t="str" cm="1">
        <f t="array" ref="I9">Code128(H4)</f>
        <v>ÌGIAO--1ÇÂÈ-1=Î</v>
      </c>
      <c r="J9" s="295"/>
      <c r="K9" s="295"/>
      <c r="L9" s="271"/>
      <c r="M9" s="271"/>
      <c r="N9" s="271"/>
      <c r="O9" s="271"/>
      <c r="P9" s="271"/>
      <c r="Q9" s="271"/>
      <c r="R9" s="271"/>
      <c r="S9" s="271"/>
      <c r="T9" s="271"/>
      <c r="U9" s="271"/>
      <c r="V9" s="271"/>
      <c r="W9" s="271"/>
      <c r="X9" s="271"/>
      <c r="Y9" s="271"/>
      <c r="Z9" s="271"/>
      <c r="AA9" s="271"/>
      <c r="AB9" s="241"/>
    </row>
    <row r="10" spans="1:36" ht="17.25" hidden="1" customHeight="1" outlineLevel="2" x14ac:dyDescent="0.3">
      <c r="A10" s="271"/>
      <c r="B10" s="274"/>
      <c r="C10" s="1" t="s">
        <v>927</v>
      </c>
      <c r="D10" s="281"/>
      <c r="E10" s="274"/>
      <c r="F10" s="274"/>
      <c r="G10" s="274"/>
      <c r="H10" s="295"/>
      <c r="I10" s="429"/>
      <c r="J10" s="295"/>
      <c r="K10" s="295"/>
      <c r="L10" s="271"/>
      <c r="M10" s="271"/>
      <c r="N10" s="271"/>
      <c r="O10" s="271"/>
      <c r="P10" s="271"/>
      <c r="Q10" s="271"/>
      <c r="R10" s="271"/>
      <c r="S10" s="271"/>
      <c r="T10" s="271"/>
      <c r="U10" s="271"/>
      <c r="V10" s="271"/>
      <c r="W10" s="271"/>
      <c r="X10" s="271"/>
      <c r="Y10" s="271"/>
      <c r="Z10" s="271"/>
      <c r="AA10" s="271"/>
      <c r="AB10" s="241"/>
    </row>
    <row r="11" spans="1:36" hidden="1" outlineLevel="1" x14ac:dyDescent="0.3">
      <c r="A11" s="271"/>
      <c r="B11" s="58" t="s">
        <v>722</v>
      </c>
      <c r="C11" s="312"/>
      <c r="D11" s="283"/>
      <c r="E11" s="283"/>
      <c r="F11" s="274"/>
      <c r="G11" s="274"/>
      <c r="H11" s="274"/>
      <c r="I11" s="274"/>
      <c r="J11" s="274"/>
      <c r="K11" s="274"/>
      <c r="L11" s="271"/>
      <c r="M11" s="271"/>
      <c r="N11" s="271"/>
      <c r="O11" s="271"/>
      <c r="P11" s="271"/>
      <c r="Q11" s="271"/>
      <c r="R11" s="271"/>
      <c r="S11" s="271"/>
      <c r="T11" s="271"/>
      <c r="U11" s="271"/>
      <c r="V11" s="271"/>
      <c r="W11" s="271"/>
      <c r="X11" s="271"/>
      <c r="Y11" s="271"/>
      <c r="Z11" s="271"/>
      <c r="AA11" s="271"/>
      <c r="AB11" s="241"/>
    </row>
    <row r="12" spans="1:36" hidden="1" outlineLevel="2" x14ac:dyDescent="0.3">
      <c r="A12" s="271"/>
      <c r="B12" s="1" t="s">
        <v>535</v>
      </c>
      <c r="C12" s="274"/>
      <c r="D12" s="274"/>
      <c r="E12" s="271"/>
      <c r="F12" s="564" t="str">
        <f>IFERROR(VLOOKUP($D$2,Table_KhachHang[#All],Sheet_KhachHang!$C$1,0),"")</f>
        <v/>
      </c>
      <c r="G12" s="565"/>
      <c r="H12" s="565"/>
      <c r="I12" s="565"/>
      <c r="J12" s="287"/>
      <c r="K12" s="287"/>
      <c r="L12" s="271"/>
      <c r="M12" s="271"/>
      <c r="N12" s="271"/>
      <c r="O12" s="271"/>
      <c r="P12" s="271"/>
      <c r="Q12" s="271"/>
      <c r="R12" s="271"/>
      <c r="S12" s="271"/>
      <c r="T12" s="271"/>
      <c r="U12" s="271"/>
      <c r="V12" s="271"/>
      <c r="W12" s="271"/>
      <c r="X12" s="271"/>
      <c r="Y12" s="271"/>
      <c r="Z12" s="271"/>
      <c r="AA12" s="271"/>
      <c r="AB12" s="241"/>
    </row>
    <row r="13" spans="1:36" hidden="1" outlineLevel="2" x14ac:dyDescent="0.3">
      <c r="A13" s="271"/>
      <c r="B13" s="1" t="s">
        <v>700</v>
      </c>
      <c r="C13" s="274"/>
      <c r="D13" s="274"/>
      <c r="E13" s="271"/>
      <c r="F13" s="564" t="str">
        <f>CONCATENATE(IFERROR(VLOOKUP($D$2,Table_KhachHang[#All],Sheet_KhachHang!$G$1,0),"")," - ",IFERROR(VLOOKUP($D$2,Table_KhachHang[#All],Sheet_KhachHang!#REF!,0),"")," - ",IFERROR(VLOOKUP($D$2,Table_KhachHang[#All],Sheet_KhachHang!$H$1,0),""))</f>
        <v xml:space="preserve"> -  - </v>
      </c>
      <c r="G13" s="565"/>
      <c r="H13" s="565"/>
      <c r="I13" s="565"/>
      <c r="J13" s="287"/>
      <c r="K13" s="287"/>
      <c r="L13" s="271"/>
      <c r="M13" s="271"/>
      <c r="N13" s="271"/>
      <c r="O13" s="271"/>
      <c r="P13" s="271"/>
      <c r="Q13" s="271"/>
      <c r="R13" s="271"/>
      <c r="S13" s="271"/>
      <c r="T13" s="271"/>
      <c r="U13" s="271"/>
      <c r="V13" s="271"/>
      <c r="W13" s="271"/>
      <c r="X13" s="271"/>
      <c r="Y13" s="271"/>
      <c r="Z13" s="271"/>
      <c r="AA13" s="271"/>
      <c r="AB13" s="241"/>
    </row>
    <row r="14" spans="1:36" hidden="1" outlineLevel="2" x14ac:dyDescent="0.3">
      <c r="A14" s="271"/>
      <c r="B14" s="1" t="s">
        <v>537</v>
      </c>
      <c r="C14" s="274"/>
      <c r="D14" s="274"/>
      <c r="E14" s="271"/>
      <c r="F14" s="564" t="str">
        <f>IFERROR(VLOOKUP($D$2,Table_KhachHang[#All],Sheet_KhachHang!$F$1,0),"")</f>
        <v/>
      </c>
      <c r="G14" s="565"/>
      <c r="H14" s="565"/>
      <c r="I14" s="565"/>
      <c r="J14" s="287"/>
      <c r="K14" s="287"/>
      <c r="L14" s="271"/>
      <c r="M14" s="271"/>
      <c r="N14" s="271"/>
      <c r="O14" s="271"/>
      <c r="P14" s="271"/>
      <c r="Q14" s="271"/>
      <c r="R14" s="271"/>
      <c r="S14" s="271"/>
      <c r="T14" s="271"/>
      <c r="U14" s="271"/>
      <c r="V14" s="271"/>
      <c r="W14" s="271"/>
      <c r="X14" s="271"/>
      <c r="Y14" s="271"/>
      <c r="Z14" s="271"/>
      <c r="AA14" s="271"/>
      <c r="AB14" s="241"/>
    </row>
    <row r="15" spans="1:36" hidden="1" outlineLevel="2" x14ac:dyDescent="0.3">
      <c r="A15" s="271"/>
      <c r="B15" s="274"/>
      <c r="C15" s="274"/>
      <c r="D15" s="274"/>
      <c r="E15" s="274"/>
      <c r="F15" s="274"/>
      <c r="G15" s="274"/>
      <c r="H15" s="274"/>
      <c r="I15" s="274"/>
      <c r="J15" s="274"/>
      <c r="K15" s="274"/>
      <c r="L15" s="271"/>
      <c r="M15" s="271"/>
      <c r="N15" s="271"/>
      <c r="O15" s="271"/>
      <c r="P15" s="271"/>
      <c r="Q15" s="271"/>
      <c r="R15" s="271"/>
      <c r="S15" s="271"/>
      <c r="T15" s="271"/>
      <c r="U15" s="271"/>
      <c r="V15" s="271"/>
      <c r="W15" s="271"/>
      <c r="X15" s="271"/>
      <c r="Y15" s="271"/>
      <c r="Z15" s="271"/>
      <c r="AA15" s="271"/>
      <c r="AB15" s="241"/>
    </row>
    <row r="16" spans="1:36" hidden="1" outlineLevel="2" x14ac:dyDescent="0.3">
      <c r="A16" s="271"/>
      <c r="B16" s="274"/>
      <c r="C16" s="274"/>
      <c r="D16" s="274"/>
      <c r="E16" s="274"/>
      <c r="F16" s="274"/>
      <c r="G16" s="274"/>
      <c r="H16" s="92" t="s">
        <v>321</v>
      </c>
      <c r="I16" s="93" t="s">
        <v>327</v>
      </c>
      <c r="J16" s="271"/>
      <c r="K16" s="40" t="s">
        <v>742</v>
      </c>
      <c r="L16" s="40" t="str" cm="1">
        <f t="array" ref="L16:AJ16">TRANSPOSE(_xlfn._xlws.SORT(_xlfn._xlws.FILTER(Table_Main[Đơn bán],(Table_Main[Vận đơn bán] ="")*(NOT(ISBLANK(Table_Main[Đơn bán]))),"")))</f>
        <v>BAN-KH1-250320-</v>
      </c>
      <c r="M16" s="271" t="str">
        <v>BAN-KH1-250327-</v>
      </c>
      <c r="N16" s="271" t="str">
        <v>BAN-KH1-250403-</v>
      </c>
      <c r="O16" s="271" t="str">
        <v>BAN-KH1-250411-</v>
      </c>
      <c r="P16" s="271" t="str">
        <v>BAN-KH1-250507-</v>
      </c>
      <c r="Q16" s="271" t="str">
        <v>BAN-KH1-250509-</v>
      </c>
      <c r="R16" s="271" t="str">
        <v>BAN-KH1-250509-</v>
      </c>
      <c r="S16" s="271" t="str">
        <v>BAN-KH1-250516-</v>
      </c>
      <c r="T16" s="271" t="str">
        <v>BAN-KH1-250519-</v>
      </c>
      <c r="U16" s="271" t="str">
        <v>BAN-KH2-250313-</v>
      </c>
      <c r="V16" s="271" t="str">
        <v>BAN-KH2-250319-</v>
      </c>
      <c r="W16" s="271" t="str">
        <v>BAN-KH2-250330-</v>
      </c>
      <c r="X16" s="271" t="str">
        <v>BAN-KH2-250408-</v>
      </c>
      <c r="Y16" s="271" t="str">
        <v>BAN-KH2-250414-</v>
      </c>
      <c r="Z16" s="271" t="str">
        <v>BAN-KH2-250415-</v>
      </c>
      <c r="AA16" s="271" t="str">
        <v>BAN-KH2-250424-</v>
      </c>
      <c r="AB16" s="241" t="str">
        <v>BAN-KH2-250427-</v>
      </c>
      <c r="AC16" s="40" t="str">
        <v>BAN-KH2-250502-</v>
      </c>
      <c r="AD16" s="40" t="str">
        <v>BAN-KH2-250515-</v>
      </c>
      <c r="AE16" s="40" t="str">
        <v>BAN-KH3-250325-</v>
      </c>
      <c r="AF16" s="40" t="str">
        <v>BAN-KH3-250409-</v>
      </c>
      <c r="AG16" s="40" t="str">
        <v>BAN-KH3-250417-</v>
      </c>
      <c r="AH16" s="40" t="str">
        <v>BAN-KH3-250429-</v>
      </c>
      <c r="AI16" s="40" t="str">
        <v>BAN-KH3-250430-</v>
      </c>
      <c r="AJ16" s="40" t="str">
        <v>BAN-KH3-250531-</v>
      </c>
    </row>
    <row r="17" spans="1:36" ht="16.5" hidden="1" outlineLevel="1" x14ac:dyDescent="0.3">
      <c r="A17" s="271"/>
      <c r="B17" s="59" t="s">
        <v>638</v>
      </c>
      <c r="C17" s="59" t="s">
        <v>682</v>
      </c>
      <c r="D17" s="59" t="s">
        <v>47</v>
      </c>
      <c r="E17" s="59" t="s">
        <v>702</v>
      </c>
      <c r="F17" s="60" t="s">
        <v>743</v>
      </c>
      <c r="G17" s="59" t="s">
        <v>744</v>
      </c>
      <c r="H17" s="60" t="s">
        <v>745</v>
      </c>
      <c r="I17" s="60" t="s">
        <v>746</v>
      </c>
      <c r="J17" s="59" t="s">
        <v>747</v>
      </c>
      <c r="K17" s="40" t="s">
        <v>748</v>
      </c>
      <c r="L17" s="40" t="str" cm="1">
        <f t="array" ref="L17:AJ17">TRANSPOSE(_xlfn._xlws.SORT(_xlfn._xlws.FILTER(Table_Main[Mã SKU],(Table_Main[Vận đơn bán] ="")*(NOT(ISBLANK(Table_Main[Đơn bán]))),"")))</f>
        <v>HH1</v>
      </c>
      <c r="M17" s="271" t="str">
        <v>HH1</v>
      </c>
      <c r="N17" s="271" t="str">
        <v>HH1</v>
      </c>
      <c r="O17" s="271" t="str">
        <v>HH1</v>
      </c>
      <c r="P17" s="271" t="str">
        <v>HH1</v>
      </c>
      <c r="Q17" s="271" t="str">
        <v>HH1</v>
      </c>
      <c r="R17" s="271" t="str">
        <v>HH1</v>
      </c>
      <c r="S17" s="271" t="str">
        <v>HH1</v>
      </c>
      <c r="T17" s="271" t="str">
        <v>HH1</v>
      </c>
      <c r="U17" s="271" t="str">
        <v>TP1</v>
      </c>
      <c r="V17" s="271" t="str">
        <v>TP1</v>
      </c>
      <c r="W17" s="271" t="str">
        <v>TP1</v>
      </c>
      <c r="X17" s="271" t="str">
        <v>TP1</v>
      </c>
      <c r="Y17" s="271" t="str">
        <v>TP1</v>
      </c>
      <c r="Z17" s="271" t="str">
        <v>TP1</v>
      </c>
      <c r="AA17" s="241" t="str">
        <v>TP1</v>
      </c>
      <c r="AB17" s="271" t="str">
        <v>TP1</v>
      </c>
      <c r="AC17" s="40" t="str">
        <v>TP1</v>
      </c>
      <c r="AD17" s="40" t="str">
        <v>TP1</v>
      </c>
      <c r="AE17" s="40" t="str">
        <v>TP2</v>
      </c>
      <c r="AF17" s="40" t="str">
        <v>TP2</v>
      </c>
      <c r="AG17" s="40" t="str">
        <v>TP2</v>
      </c>
      <c r="AH17" s="40" t="str">
        <v>TP2</v>
      </c>
      <c r="AI17" s="40" t="str">
        <v>TP2</v>
      </c>
      <c r="AJ17" s="40" t="str">
        <v>TP2</v>
      </c>
    </row>
    <row r="18" spans="1:36" ht="16.5" hidden="1" outlineLevel="2" x14ac:dyDescent="0.3">
      <c r="A18" s="271"/>
      <c r="B18" s="7" t="str">
        <f>IF(Table_PhieuGiao[[#This Row],[SKU]]&lt;&gt;"",COUNTIF(D$18:D18,"&lt;&gt;"""),"")</f>
        <v/>
      </c>
      <c r="C18" s="240"/>
      <c r="D18" s="240"/>
      <c r="E18" s="7" t="str">
        <f xml:space="preserve">
IFERROR(VLOOKUP(Table_PhieuGiao[[#This Row],[SKU]],Table_SKU[[Mã SKU]:[Mô tả]],Sheet_SKU!$H$1,0),"")</f>
        <v/>
      </c>
      <c r="F18" s="15" t="str" cm="1">
        <f t="array" ref="F18">IF(ISBLANK(Table_PhieuGiao[[#This Row],[SKU]]),"",
SUM(_xlfn._xlws.FILTER(Table_Main[Số lượng],
(Table_Main[Mã SKU] = Table_PhieuGiao[[#This Row],[SKU]])*
(Table_Main[Đơn bán] = Table_PhieuGiao[[#This Row],[Đơn bán]]))
))</f>
        <v/>
      </c>
      <c r="G18" s="15"/>
      <c r="H18" s="15" t="str" cm="1">
        <f t="array" ref="H18">IF(ISBLANK(Table_PhieuGiao[[#This Row],[SKU]]),"",
SUM(_xlfn._xlws.FILTER(Table_Main[Giá trị bán trước VAT],
(Table_Main[Mã SKU] = Table_PhieuGiao[[#This Row],[SKU]])*
(Table_Main[Đơn bán] = Table_PhieuGiao[[#This Row],[Đơn bán]]))
))</f>
        <v/>
      </c>
      <c r="I18" s="15" t="str">
        <f xml:space="preserve">
IF(ISBLANK(Table_PhieuGiao[[#This Row],[SKU]]),"",
Table_PhieuGiao[[#This Row],[Thành tiền đặt]]*Table_PhieuGiao[[#This Row],[Số lượng giao]]/Table_PhieuGiao[[#This Row],[Số lượng đặt]])</f>
        <v/>
      </c>
      <c r="J18" s="119" t="str" cm="1">
        <f t="array" ref="J18" xml:space="preserve">
IF(ISBLANK(Table_PhieuGiao[[#This Row],[SKU]]),"",
IFERROR(
Table_PhieuGiao[[#This Row],[Thành tiền giao]]/
IFERROR(
SUM(_xlfn._xlws.FILTER(Table_Main[Giá trị bán trước VAT],
(Table_Main[Đơn bán] = Table_PhieuGiao[[#This Row],[Đơn bán]])
)),0),
0))</f>
        <v/>
      </c>
      <c r="K18" s="313"/>
      <c r="L18" s="271"/>
      <c r="M18" s="271"/>
      <c r="N18" s="271"/>
      <c r="O18" s="271"/>
      <c r="P18" s="271"/>
      <c r="Q18" s="271"/>
      <c r="R18" s="271"/>
      <c r="S18" s="271"/>
      <c r="T18" s="271"/>
      <c r="U18" s="271"/>
      <c r="V18" s="271"/>
      <c r="W18" s="271"/>
      <c r="X18" s="271"/>
      <c r="Y18" s="271"/>
      <c r="Z18" s="271"/>
      <c r="AA18" s="241"/>
      <c r="AB18" s="271"/>
    </row>
    <row r="19" spans="1:36" ht="16.5" hidden="1" outlineLevel="2" x14ac:dyDescent="0.3">
      <c r="A19" s="271"/>
      <c r="B19" s="7" t="str">
        <f>IF(Table_PhieuGiao[[#This Row],[SKU]]&lt;&gt;"",COUNTIF(D$18:D19,"&lt;&gt;"""),"")</f>
        <v/>
      </c>
      <c r="C19" s="240"/>
      <c r="D19" s="240"/>
      <c r="E19" s="7" t="str">
        <f xml:space="preserve">
IFERROR(VLOOKUP(Table_PhieuGiao[[#This Row],[SKU]],Table_SKU[[Mã SKU]:[Mô tả]],Sheet_SKU!$H$1,0),"")</f>
        <v/>
      </c>
      <c r="F19" s="15" t="str" cm="1">
        <f t="array" ref="F19">IF(ISBLANK(Table_PhieuGiao[[#This Row],[SKU]]),"",
SUM(_xlfn._xlws.FILTER(Table_Main[Số lượng],
(Table_Main[Mã SKU] = Table_PhieuGiao[[#This Row],[SKU]])*
(Table_Main[Đơn bán] = Table_PhieuGiao[[#This Row],[Đơn bán]]))
))</f>
        <v/>
      </c>
      <c r="G19" s="15"/>
      <c r="H19" s="15" t="str" cm="1">
        <f t="array" ref="H19">IF(ISBLANK(Table_PhieuGiao[[#This Row],[SKU]]),"",
SUM(_xlfn._xlws.FILTER(Table_Main[Giá trị bán trước VAT],
(Table_Main[Mã SKU] = Table_PhieuGiao[[#This Row],[SKU]])*
(Table_Main[Đơn bán] = Table_PhieuGiao[[#This Row],[Đơn bán]]))
))</f>
        <v/>
      </c>
      <c r="I19" s="15" t="str">
        <f xml:space="preserve">
IF(ISBLANK(Table_PhieuGiao[[#This Row],[SKU]]),"",
Table_PhieuGiao[[#This Row],[Thành tiền đặt]]*Table_PhieuGiao[[#This Row],[Số lượng giao]]/Table_PhieuGiao[[#This Row],[Số lượng đặt]])</f>
        <v/>
      </c>
      <c r="J19" s="119" t="str" cm="1">
        <f t="array" ref="J19" xml:space="preserve">
IF(ISBLANK(Table_PhieuGiao[[#This Row],[SKU]]),"",
IFERROR(
Table_PhieuGiao[[#This Row],[Thành tiền giao]]/
IFERROR(
SUM(_xlfn._xlws.FILTER(Table_Main[Giá trị bán trước VAT],
(Table_Main[Đơn bán] = Table_PhieuGiao[[#This Row],[Đơn bán]])
)),0),
0))</f>
        <v/>
      </c>
      <c r="K19" s="313"/>
      <c r="L19" s="271"/>
      <c r="M19" s="271"/>
      <c r="N19" s="271"/>
      <c r="O19" s="271"/>
      <c r="P19" s="271"/>
      <c r="Q19" s="271"/>
      <c r="R19" s="271"/>
      <c r="S19" s="271"/>
      <c r="T19" s="271"/>
      <c r="U19" s="271"/>
      <c r="V19" s="271"/>
      <c r="W19" s="271"/>
      <c r="X19" s="271"/>
      <c r="Y19" s="271"/>
      <c r="Z19" s="271"/>
      <c r="AA19" s="241"/>
      <c r="AB19" s="271"/>
    </row>
    <row r="20" spans="1:36" ht="16.5" hidden="1" outlineLevel="2" x14ac:dyDescent="0.3">
      <c r="A20" s="271"/>
      <c r="B20" s="7" t="str">
        <f>IF(Table_PhieuGiao[[#This Row],[SKU]]&lt;&gt;"",COUNTIF(D$18:D20,"&lt;&gt;"""),"")</f>
        <v/>
      </c>
      <c r="C20" s="240"/>
      <c r="D20" s="240"/>
      <c r="E20" s="7" t="str">
        <f xml:space="preserve">
IFERROR(VLOOKUP(Table_PhieuGiao[[#This Row],[SKU]],Table_SKU[[Mã SKU]:[Mô tả]],Sheet_SKU!$H$1,0),"")</f>
        <v/>
      </c>
      <c r="F20" s="15" t="str" cm="1">
        <f t="array" ref="F20">IF(ISBLANK(Table_PhieuGiao[[#This Row],[SKU]]),"",
SUM(_xlfn._xlws.FILTER(Table_Main[Số lượng],
(Table_Main[Mã SKU] = Table_PhieuGiao[[#This Row],[SKU]])*
(Table_Main[Đơn bán] = Table_PhieuGiao[[#This Row],[Đơn bán]]))
))</f>
        <v/>
      </c>
      <c r="G20" s="15"/>
      <c r="H20" s="15" t="str" cm="1">
        <f t="array" ref="H20">IF(ISBLANK(Table_PhieuGiao[[#This Row],[SKU]]),"",
SUM(_xlfn._xlws.FILTER(Table_Main[Giá trị bán trước VAT],
(Table_Main[Mã SKU] = Table_PhieuGiao[[#This Row],[SKU]])*
(Table_Main[Đơn bán] = Table_PhieuGiao[[#This Row],[Đơn bán]]))
))</f>
        <v/>
      </c>
      <c r="I20" s="15" t="str">
        <f xml:space="preserve">
IF(ISBLANK(Table_PhieuGiao[[#This Row],[SKU]]),"",
Table_PhieuGiao[[#This Row],[Thành tiền đặt]]*Table_PhieuGiao[[#This Row],[Số lượng giao]]/Table_PhieuGiao[[#This Row],[Số lượng đặt]])</f>
        <v/>
      </c>
      <c r="J20" s="119" t="str" cm="1">
        <f t="array" ref="J20" xml:space="preserve">
IF(ISBLANK(Table_PhieuGiao[[#This Row],[SKU]]),"",
IFERROR(
Table_PhieuGiao[[#This Row],[Thành tiền giao]]/
IFERROR(
SUM(_xlfn._xlws.FILTER(Table_Main[Giá trị bán trước VAT],
(Table_Main[Đơn bán] = Table_PhieuGiao[[#This Row],[Đơn bán]])
)),0),
0))</f>
        <v/>
      </c>
      <c r="K20" s="313"/>
      <c r="L20" s="271"/>
      <c r="M20" s="271"/>
      <c r="N20" s="271"/>
      <c r="O20" s="271"/>
      <c r="P20" s="271"/>
      <c r="Q20" s="271"/>
      <c r="R20" s="271"/>
      <c r="S20" s="271"/>
      <c r="T20" s="271"/>
      <c r="U20" s="271"/>
      <c r="V20" s="271"/>
      <c r="W20" s="271"/>
      <c r="X20" s="271"/>
      <c r="Y20" s="271"/>
      <c r="Z20" s="271"/>
      <c r="AA20" s="241"/>
      <c r="AB20" s="271"/>
    </row>
    <row r="21" spans="1:36" ht="16.5" hidden="1" outlineLevel="2" x14ac:dyDescent="0.3">
      <c r="A21" s="271"/>
      <c r="B21" s="7" t="str">
        <f>IF(Table_PhieuGiao[[#This Row],[SKU]]&lt;&gt;"",COUNTIF(D$18:D21,"&lt;&gt;"""),"")</f>
        <v/>
      </c>
      <c r="C21" s="240"/>
      <c r="D21" s="240"/>
      <c r="E21" s="7" t="str">
        <f xml:space="preserve">
IFERROR(VLOOKUP(Table_PhieuGiao[[#This Row],[SKU]],Table_SKU[[Mã SKU]:[Mô tả]],Sheet_SKU!$H$1,0),"")</f>
        <v/>
      </c>
      <c r="F21" s="15" t="str" cm="1">
        <f t="array" ref="F21">IF(ISBLANK(Table_PhieuGiao[[#This Row],[SKU]]),"",
SUM(_xlfn._xlws.FILTER(Table_Main[Số lượng],
(Table_Main[Mã SKU] = Table_PhieuGiao[[#This Row],[SKU]])*
(Table_Main[Đơn bán] = Table_PhieuGiao[[#This Row],[Đơn bán]]))
))</f>
        <v/>
      </c>
      <c r="G21" s="15"/>
      <c r="H21" s="15" t="str" cm="1">
        <f t="array" ref="H21">IF(ISBLANK(Table_PhieuGiao[[#This Row],[SKU]]),"",
SUM(_xlfn._xlws.FILTER(Table_Main[Giá trị bán trước VAT],
(Table_Main[Mã SKU] = Table_PhieuGiao[[#This Row],[SKU]])*
(Table_Main[Đơn bán] = Table_PhieuGiao[[#This Row],[Đơn bán]]))
))</f>
        <v/>
      </c>
      <c r="I21" s="15" t="str">
        <f xml:space="preserve">
IF(ISBLANK(Table_PhieuGiao[[#This Row],[SKU]]),"",
Table_PhieuGiao[[#This Row],[Thành tiền đặt]]*Table_PhieuGiao[[#This Row],[Số lượng giao]]/Table_PhieuGiao[[#This Row],[Số lượng đặt]])</f>
        <v/>
      </c>
      <c r="J21" s="119" t="str" cm="1">
        <f t="array" ref="J21" xml:space="preserve">
IF(ISBLANK(Table_PhieuGiao[[#This Row],[SKU]]),"",
IFERROR(
Table_PhieuGiao[[#This Row],[Thành tiền giao]]/
IFERROR(
SUM(_xlfn._xlws.FILTER(Table_Main[Giá trị bán trước VAT],
(Table_Main[Đơn bán] = Table_PhieuGiao[[#This Row],[Đơn bán]])
)),0),
0))</f>
        <v/>
      </c>
      <c r="K21" s="313"/>
      <c r="L21" s="271"/>
      <c r="M21" s="271"/>
      <c r="N21" s="271"/>
      <c r="O21" s="271"/>
      <c r="P21" s="271"/>
      <c r="Q21" s="271"/>
      <c r="R21" s="271"/>
      <c r="S21" s="271"/>
      <c r="T21" s="271"/>
      <c r="U21" s="271"/>
      <c r="V21" s="271"/>
      <c r="W21" s="271"/>
      <c r="X21" s="271"/>
      <c r="Y21" s="271"/>
      <c r="Z21" s="271"/>
      <c r="AA21" s="241"/>
      <c r="AB21" s="271"/>
    </row>
    <row r="22" spans="1:36" ht="16.5" hidden="1" outlineLevel="2" x14ac:dyDescent="0.3">
      <c r="A22" s="271"/>
      <c r="B22" s="7" t="str">
        <f>IF(Table_PhieuGiao[[#This Row],[SKU]]&lt;&gt;"",COUNTIF(D$18:D22,"&lt;&gt;"""),"")</f>
        <v/>
      </c>
      <c r="C22" s="240"/>
      <c r="D22" s="240"/>
      <c r="E22" s="7" t="str">
        <f xml:space="preserve">
IFERROR(VLOOKUP(Table_PhieuGiao[[#This Row],[SKU]],Table_SKU[[Mã SKU]:[Mô tả]],Sheet_SKU!$H$1,0),"")</f>
        <v/>
      </c>
      <c r="F22" s="15" t="str" cm="1">
        <f t="array" ref="F22">IF(ISBLANK(Table_PhieuGiao[[#This Row],[SKU]]),"",
SUM(_xlfn._xlws.FILTER(Table_Main[Số lượng],
(Table_Main[Mã SKU] = Table_PhieuGiao[[#This Row],[SKU]])*
(Table_Main[Đơn bán] = Table_PhieuGiao[[#This Row],[Đơn bán]]))
))</f>
        <v/>
      </c>
      <c r="G22" s="15"/>
      <c r="H22" s="15" t="str" cm="1">
        <f t="array" ref="H22">IF(ISBLANK(Table_PhieuGiao[[#This Row],[SKU]]),"",
SUM(_xlfn._xlws.FILTER(Table_Main[Giá trị bán trước VAT],
(Table_Main[Mã SKU] = Table_PhieuGiao[[#This Row],[SKU]])*
(Table_Main[Đơn bán] = Table_PhieuGiao[[#This Row],[Đơn bán]]))
))</f>
        <v/>
      </c>
      <c r="I22" s="15" t="str">
        <f xml:space="preserve">
IF(ISBLANK(Table_PhieuGiao[[#This Row],[SKU]]),"",
Table_PhieuGiao[[#This Row],[Thành tiền đặt]]*Table_PhieuGiao[[#This Row],[Số lượng giao]]/Table_PhieuGiao[[#This Row],[Số lượng đặt]])</f>
        <v/>
      </c>
      <c r="J22" s="119" t="str" cm="1">
        <f t="array" ref="J22" xml:space="preserve">
IF(ISBLANK(Table_PhieuGiao[[#This Row],[SKU]]),"",
IFERROR(
Table_PhieuGiao[[#This Row],[Thành tiền giao]]/
IFERROR(
SUM(_xlfn._xlws.FILTER(Table_Main[Giá trị bán trước VAT],
(Table_Main[Đơn bán] = Table_PhieuGiao[[#This Row],[Đơn bán]])
)),0),
0))</f>
        <v/>
      </c>
      <c r="K22" s="313"/>
      <c r="L22" s="271"/>
      <c r="M22" s="271"/>
      <c r="N22" s="271"/>
      <c r="O22" s="271"/>
      <c r="P22" s="271"/>
      <c r="Q22" s="271"/>
      <c r="R22" s="271"/>
      <c r="S22" s="271"/>
      <c r="T22" s="271"/>
      <c r="U22" s="271"/>
      <c r="V22" s="271"/>
      <c r="W22" s="271"/>
      <c r="X22" s="271"/>
      <c r="Y22" s="271"/>
      <c r="Z22" s="271"/>
      <c r="AA22" s="241"/>
      <c r="AB22" s="271"/>
    </row>
    <row r="23" spans="1:36" ht="16.5" hidden="1" outlineLevel="2" x14ac:dyDescent="0.3">
      <c r="A23" s="271"/>
      <c r="B23" s="7" t="str">
        <f>IF(Table_PhieuGiao[[#This Row],[SKU]]&lt;&gt;"",COUNTIF(D$18:D23,"&lt;&gt;"""),"")</f>
        <v/>
      </c>
      <c r="C23" s="240"/>
      <c r="D23" s="240"/>
      <c r="E23" s="7" t="str">
        <f xml:space="preserve">
IFERROR(VLOOKUP(Table_PhieuGiao[[#This Row],[SKU]],Table_SKU[[Mã SKU]:[Mô tả]],Sheet_SKU!$H$1,0),"")</f>
        <v/>
      </c>
      <c r="F23" s="15" t="str" cm="1">
        <f t="array" ref="F23">IF(ISBLANK(Table_PhieuGiao[[#This Row],[SKU]]),"",
SUM(_xlfn._xlws.FILTER(Table_Main[Số lượng],
(Table_Main[Mã SKU] = Table_PhieuGiao[[#This Row],[SKU]])*
(Table_Main[Đơn bán] = Table_PhieuGiao[[#This Row],[Đơn bán]]))
))</f>
        <v/>
      </c>
      <c r="G23" s="15"/>
      <c r="H23" s="15" t="str" cm="1">
        <f t="array" ref="H23">IF(ISBLANK(Table_PhieuGiao[[#This Row],[SKU]]),"",
SUM(_xlfn._xlws.FILTER(Table_Main[Giá trị bán trước VAT],
(Table_Main[Mã SKU] = Table_PhieuGiao[[#This Row],[SKU]])*
(Table_Main[Đơn bán] = Table_PhieuGiao[[#This Row],[Đơn bán]]))
))</f>
        <v/>
      </c>
      <c r="I23" s="15" t="str">
        <f xml:space="preserve">
IF(ISBLANK(Table_PhieuGiao[[#This Row],[SKU]]),"",
Table_PhieuGiao[[#This Row],[Thành tiền đặt]]*Table_PhieuGiao[[#This Row],[Số lượng giao]]/Table_PhieuGiao[[#This Row],[Số lượng đặt]])</f>
        <v/>
      </c>
      <c r="J23" s="119" t="str" cm="1">
        <f t="array" ref="J23" xml:space="preserve">
IF(ISBLANK(Table_PhieuGiao[[#This Row],[SKU]]),"",
IFERROR(
Table_PhieuGiao[[#This Row],[Thành tiền giao]]/
IFERROR(
SUM(_xlfn._xlws.FILTER(Table_Main[Giá trị bán trước VAT],
(Table_Main[Đơn bán] = Table_PhieuGiao[[#This Row],[Đơn bán]])
)),0),
0))</f>
        <v/>
      </c>
      <c r="K23" s="313"/>
      <c r="L23" s="271"/>
      <c r="M23" s="271"/>
      <c r="N23" s="271"/>
      <c r="O23" s="271"/>
      <c r="P23" s="271"/>
      <c r="Q23" s="271"/>
      <c r="R23" s="271"/>
      <c r="S23" s="271"/>
      <c r="T23" s="271"/>
      <c r="U23" s="271"/>
      <c r="V23" s="271"/>
      <c r="W23" s="271"/>
      <c r="X23" s="271"/>
      <c r="Y23" s="271"/>
      <c r="Z23" s="271"/>
      <c r="AA23" s="241"/>
      <c r="AB23" s="271"/>
    </row>
    <row r="24" spans="1:36" ht="16.5" hidden="1" outlineLevel="2" x14ac:dyDescent="0.3">
      <c r="A24" s="271"/>
      <c r="B24" s="7" t="str">
        <f>IF(Table_PhieuGiao[[#This Row],[SKU]]&lt;&gt;"",COUNTIF(D$18:D24,"&lt;&gt;"""),"")</f>
        <v/>
      </c>
      <c r="C24" s="240"/>
      <c r="D24" s="240"/>
      <c r="E24" s="7" t="str">
        <f xml:space="preserve">
IFERROR(VLOOKUP(Table_PhieuGiao[[#This Row],[SKU]],Table_SKU[[Mã SKU]:[Mô tả]],Sheet_SKU!$H$1,0),"")</f>
        <v/>
      </c>
      <c r="F24" s="15" t="str" cm="1">
        <f t="array" ref="F24">IF(ISBLANK(Table_PhieuGiao[[#This Row],[SKU]]),"",
SUM(_xlfn._xlws.FILTER(Table_Main[Số lượng],
(Table_Main[Mã SKU] = Table_PhieuGiao[[#This Row],[SKU]])*
(Table_Main[Đơn bán] = Table_PhieuGiao[[#This Row],[Đơn bán]]))
))</f>
        <v/>
      </c>
      <c r="G24" s="15"/>
      <c r="H24" s="15" t="str" cm="1">
        <f t="array" ref="H24">IF(ISBLANK(Table_PhieuGiao[[#This Row],[SKU]]),"",
SUM(_xlfn._xlws.FILTER(Table_Main[Giá trị bán trước VAT],
(Table_Main[Mã SKU] = Table_PhieuGiao[[#This Row],[SKU]])*
(Table_Main[Đơn bán] = Table_PhieuGiao[[#This Row],[Đơn bán]]))
))</f>
        <v/>
      </c>
      <c r="I24" s="15" t="str">
        <f xml:space="preserve">
IF(ISBLANK(Table_PhieuGiao[[#This Row],[SKU]]),"",
Table_PhieuGiao[[#This Row],[Thành tiền đặt]]*Table_PhieuGiao[[#This Row],[Số lượng giao]]/Table_PhieuGiao[[#This Row],[Số lượng đặt]])</f>
        <v/>
      </c>
      <c r="J24" s="119" t="str" cm="1">
        <f t="array" ref="J24" xml:space="preserve">
IF(ISBLANK(Table_PhieuGiao[[#This Row],[SKU]]),"",
IFERROR(
Table_PhieuGiao[[#This Row],[Thành tiền giao]]/
IFERROR(
SUM(_xlfn._xlws.FILTER(Table_Main[Giá trị bán trước VAT],
(Table_Main[Đơn bán] = Table_PhieuGiao[[#This Row],[Đơn bán]])
)),0),
0))</f>
        <v/>
      </c>
      <c r="K24" s="313"/>
      <c r="L24" s="271"/>
      <c r="M24" s="271"/>
      <c r="N24" s="271"/>
      <c r="O24" s="271"/>
      <c r="P24" s="271"/>
      <c r="Q24" s="271"/>
      <c r="R24" s="271"/>
      <c r="S24" s="271"/>
      <c r="T24" s="271"/>
      <c r="U24" s="271"/>
      <c r="V24" s="271"/>
      <c r="W24" s="271"/>
      <c r="X24" s="271"/>
      <c r="Y24" s="271"/>
      <c r="Z24" s="271"/>
      <c r="AA24" s="241"/>
      <c r="AB24" s="271"/>
    </row>
    <row r="25" spans="1:36" ht="16.5" hidden="1" outlineLevel="2" x14ac:dyDescent="0.3">
      <c r="A25" s="271"/>
      <c r="B25" s="7" t="str">
        <f>IF(Table_PhieuGiao[[#This Row],[SKU]]&lt;&gt;"",COUNTIF(D$18:D25,"&lt;&gt;"""),"")</f>
        <v/>
      </c>
      <c r="C25" s="240"/>
      <c r="D25" s="240"/>
      <c r="E25" s="7" t="str">
        <f xml:space="preserve">
IFERROR(VLOOKUP(Table_PhieuGiao[[#This Row],[SKU]],Table_SKU[[Mã SKU]:[Mô tả]],Sheet_SKU!$H$1,0),"")</f>
        <v/>
      </c>
      <c r="F25" s="15" t="str" cm="1">
        <f t="array" ref="F25">IF(ISBLANK(Table_PhieuGiao[[#This Row],[SKU]]),"",
SUM(_xlfn._xlws.FILTER(Table_Main[Số lượng],
(Table_Main[Mã SKU] = Table_PhieuGiao[[#This Row],[SKU]])*
(Table_Main[Đơn bán] = Table_PhieuGiao[[#This Row],[Đơn bán]]))
))</f>
        <v/>
      </c>
      <c r="G25" s="15"/>
      <c r="H25" s="15" t="str" cm="1">
        <f t="array" ref="H25">IF(ISBLANK(Table_PhieuGiao[[#This Row],[SKU]]),"",
SUM(_xlfn._xlws.FILTER(Table_Main[Giá trị bán trước VAT],
(Table_Main[Mã SKU] = Table_PhieuGiao[[#This Row],[SKU]])*
(Table_Main[Đơn bán] = Table_PhieuGiao[[#This Row],[Đơn bán]]))
))</f>
        <v/>
      </c>
      <c r="I25" s="15" t="str">
        <f xml:space="preserve">
IF(ISBLANK(Table_PhieuGiao[[#This Row],[SKU]]),"",
Table_PhieuGiao[[#This Row],[Thành tiền đặt]]*Table_PhieuGiao[[#This Row],[Số lượng giao]]/Table_PhieuGiao[[#This Row],[Số lượng đặt]])</f>
        <v/>
      </c>
      <c r="J25" s="119" t="str" cm="1">
        <f t="array" ref="J25" xml:space="preserve">
IF(ISBLANK(Table_PhieuGiao[[#This Row],[SKU]]),"",
IFERROR(
Table_PhieuGiao[[#This Row],[Thành tiền giao]]/
IFERROR(
SUM(_xlfn._xlws.FILTER(Table_Main[Giá trị bán trước VAT],
(Table_Main[Đơn bán] = Table_PhieuGiao[[#This Row],[Đơn bán]])
)),0),
0))</f>
        <v/>
      </c>
      <c r="K25" s="313"/>
      <c r="L25" s="271"/>
      <c r="M25" s="271"/>
      <c r="N25" s="271"/>
      <c r="O25" s="271"/>
      <c r="P25" s="271"/>
      <c r="Q25" s="271"/>
      <c r="R25" s="271"/>
      <c r="S25" s="271"/>
      <c r="T25" s="271"/>
      <c r="U25" s="271"/>
      <c r="V25" s="271"/>
      <c r="W25" s="271"/>
      <c r="X25" s="271"/>
      <c r="Y25" s="271"/>
      <c r="Z25" s="271"/>
      <c r="AA25" s="241"/>
      <c r="AB25" s="271"/>
    </row>
    <row r="26" spans="1:36" ht="16.5" hidden="1" outlineLevel="2" x14ac:dyDescent="0.3">
      <c r="A26" s="271"/>
      <c r="B26" s="7" t="str">
        <f>IF(Table_PhieuGiao[[#This Row],[SKU]]&lt;&gt;"",COUNTIF(D$18:D26,"&lt;&gt;"""),"")</f>
        <v/>
      </c>
      <c r="C26" s="240"/>
      <c r="D26" s="240"/>
      <c r="E26" s="7" t="str">
        <f xml:space="preserve">
IFERROR(VLOOKUP(Table_PhieuGiao[[#This Row],[SKU]],Table_SKU[[Mã SKU]:[Mô tả]],Sheet_SKU!$H$1,0),"")</f>
        <v/>
      </c>
      <c r="F26" s="15" t="str" cm="1">
        <f t="array" ref="F26">IF(ISBLANK(Table_PhieuGiao[[#This Row],[SKU]]),"",
SUM(_xlfn._xlws.FILTER(Table_Main[Số lượng],
(Table_Main[Mã SKU] = Table_PhieuGiao[[#This Row],[SKU]])*
(Table_Main[Đơn bán] = Table_PhieuGiao[[#This Row],[Đơn bán]]))
))</f>
        <v/>
      </c>
      <c r="G26" s="15"/>
      <c r="H26" s="15" t="str" cm="1">
        <f t="array" ref="H26">IF(ISBLANK(Table_PhieuGiao[[#This Row],[SKU]]),"",
SUM(_xlfn._xlws.FILTER(Table_Main[Giá trị bán trước VAT],
(Table_Main[Mã SKU] = Table_PhieuGiao[[#This Row],[SKU]])*
(Table_Main[Đơn bán] = Table_PhieuGiao[[#This Row],[Đơn bán]]))
))</f>
        <v/>
      </c>
      <c r="I26" s="15" t="str">
        <f xml:space="preserve">
IF(ISBLANK(Table_PhieuGiao[[#This Row],[SKU]]),"",
Table_PhieuGiao[[#This Row],[Thành tiền đặt]]*Table_PhieuGiao[[#This Row],[Số lượng giao]]/Table_PhieuGiao[[#This Row],[Số lượng đặt]])</f>
        <v/>
      </c>
      <c r="J26" s="119" t="str" cm="1">
        <f t="array" ref="J26" xml:space="preserve">
IF(ISBLANK(Table_PhieuGiao[[#This Row],[SKU]]),"",
IFERROR(
Table_PhieuGiao[[#This Row],[Thành tiền giao]]/
IFERROR(
SUM(_xlfn._xlws.FILTER(Table_Main[Giá trị bán trước VAT],
(Table_Main[Đơn bán] = Table_PhieuGiao[[#This Row],[Đơn bán]])
)),0),
0))</f>
        <v/>
      </c>
      <c r="K26" s="313"/>
      <c r="L26" s="271"/>
      <c r="M26" s="271"/>
      <c r="N26" s="271"/>
      <c r="O26" s="271"/>
      <c r="P26" s="271"/>
      <c r="Q26" s="271"/>
      <c r="R26" s="271"/>
      <c r="S26" s="271"/>
      <c r="T26" s="271"/>
      <c r="U26" s="271"/>
      <c r="V26" s="271"/>
      <c r="W26" s="271"/>
      <c r="X26" s="271"/>
      <c r="Y26" s="271"/>
      <c r="Z26" s="271"/>
      <c r="AA26" s="241"/>
      <c r="AB26" s="271"/>
    </row>
    <row r="27" spans="1:36" ht="16.5" hidden="1" outlineLevel="2" x14ac:dyDescent="0.3">
      <c r="A27" s="271"/>
      <c r="B27" s="7" t="str">
        <f>IF(Table_PhieuGiao[[#This Row],[SKU]]&lt;&gt;"",COUNTIF(D$18:D27,"&lt;&gt;"""),"")</f>
        <v/>
      </c>
      <c r="C27" s="240"/>
      <c r="D27" s="240"/>
      <c r="E27" s="7" t="str">
        <f xml:space="preserve">
IFERROR(VLOOKUP(Table_PhieuGiao[[#This Row],[SKU]],Table_SKU[[Mã SKU]:[Mô tả]],Sheet_SKU!$H$1,0),"")</f>
        <v/>
      </c>
      <c r="F27" s="15" t="str" cm="1">
        <f t="array" ref="F27">IF(ISBLANK(Table_PhieuGiao[[#This Row],[SKU]]),"",
SUM(_xlfn._xlws.FILTER(Table_Main[Số lượng],
(Table_Main[Mã SKU] = Table_PhieuGiao[[#This Row],[SKU]])*
(Table_Main[Đơn bán] = Table_PhieuGiao[[#This Row],[Đơn bán]]))
))</f>
        <v/>
      </c>
      <c r="G27" s="15"/>
      <c r="H27" s="15" t="str" cm="1">
        <f t="array" ref="H27">IF(ISBLANK(Table_PhieuGiao[[#This Row],[SKU]]),"",
SUM(_xlfn._xlws.FILTER(Table_Main[Giá trị bán trước VAT],
(Table_Main[Mã SKU] = Table_PhieuGiao[[#This Row],[SKU]])*
(Table_Main[Đơn bán] = Table_PhieuGiao[[#This Row],[Đơn bán]]))
))</f>
        <v/>
      </c>
      <c r="I27" s="15" t="str">
        <f xml:space="preserve">
IF(ISBLANK(Table_PhieuGiao[[#This Row],[SKU]]),"",
Table_PhieuGiao[[#This Row],[Thành tiền đặt]]*Table_PhieuGiao[[#This Row],[Số lượng giao]]/Table_PhieuGiao[[#This Row],[Số lượng đặt]])</f>
        <v/>
      </c>
      <c r="J27" s="119" t="str" cm="1">
        <f t="array" ref="J27" xml:space="preserve">
IF(ISBLANK(Table_PhieuGiao[[#This Row],[SKU]]),"",
IFERROR(
Table_PhieuGiao[[#This Row],[Thành tiền giao]]/
IFERROR(
SUM(_xlfn._xlws.FILTER(Table_Main[Giá trị bán trước VAT],
(Table_Main[Đơn bán] = Table_PhieuGiao[[#This Row],[Đơn bán]])
)),0),
0))</f>
        <v/>
      </c>
      <c r="K27" s="313"/>
      <c r="L27" s="271"/>
      <c r="M27" s="271"/>
      <c r="N27" s="271"/>
      <c r="O27" s="271"/>
      <c r="P27" s="271"/>
      <c r="Q27" s="271"/>
      <c r="R27" s="271"/>
      <c r="S27" s="271"/>
      <c r="T27" s="271"/>
      <c r="U27" s="271"/>
      <c r="V27" s="271"/>
      <c r="W27" s="271"/>
      <c r="X27" s="271"/>
      <c r="Y27" s="271"/>
      <c r="Z27" s="271"/>
      <c r="AA27" s="241"/>
      <c r="AB27" s="271"/>
    </row>
    <row r="28" spans="1:36" ht="16.5" hidden="1" outlineLevel="2" x14ac:dyDescent="0.3">
      <c r="A28" s="271"/>
      <c r="B28" s="7" t="str">
        <f>IF(Table_PhieuGiao[[#This Row],[SKU]]&lt;&gt;"",COUNTIF(D$18:D28,"&lt;&gt;"""),"")</f>
        <v/>
      </c>
      <c r="C28" s="240"/>
      <c r="D28" s="240"/>
      <c r="E28" s="7" t="str">
        <f xml:space="preserve">
IFERROR(VLOOKUP(Table_PhieuGiao[[#This Row],[SKU]],Table_SKU[[Mã SKU]:[Mô tả]],Sheet_SKU!$H$1,0),"")</f>
        <v/>
      </c>
      <c r="F28" s="15" t="str" cm="1">
        <f t="array" ref="F28">IF(ISBLANK(Table_PhieuGiao[[#This Row],[SKU]]),"",
SUM(_xlfn._xlws.FILTER(Table_Main[Số lượng],
(Table_Main[Mã SKU] = Table_PhieuGiao[[#This Row],[SKU]])*
(Table_Main[Đơn bán] = Table_PhieuGiao[[#This Row],[Đơn bán]]))
))</f>
        <v/>
      </c>
      <c r="G28" s="15"/>
      <c r="H28" s="15" t="str" cm="1">
        <f t="array" ref="H28">IF(ISBLANK(Table_PhieuGiao[[#This Row],[SKU]]),"",
SUM(_xlfn._xlws.FILTER(Table_Main[Giá trị bán trước VAT],
(Table_Main[Mã SKU] = Table_PhieuGiao[[#This Row],[SKU]])*
(Table_Main[Đơn bán] = Table_PhieuGiao[[#This Row],[Đơn bán]]))
))</f>
        <v/>
      </c>
      <c r="I28" s="15" t="str">
        <f xml:space="preserve">
IF(ISBLANK(Table_PhieuGiao[[#This Row],[SKU]]),"",
Table_PhieuGiao[[#This Row],[Thành tiền đặt]]*Table_PhieuGiao[[#This Row],[Số lượng giao]]/Table_PhieuGiao[[#This Row],[Số lượng đặt]])</f>
        <v/>
      </c>
      <c r="J28" s="119" t="str" cm="1">
        <f t="array" ref="J28" xml:space="preserve">
IF(ISBLANK(Table_PhieuGiao[[#This Row],[SKU]]),"",
IFERROR(
Table_PhieuGiao[[#This Row],[Thành tiền giao]]/
IFERROR(
SUM(_xlfn._xlws.FILTER(Table_Main[Giá trị bán trước VAT],
(Table_Main[Đơn bán] = Table_PhieuGiao[[#This Row],[Đơn bán]])
)),0),
0))</f>
        <v/>
      </c>
      <c r="K28" s="313"/>
      <c r="L28" s="271"/>
      <c r="M28" s="271"/>
      <c r="N28" s="271"/>
      <c r="O28" s="271"/>
      <c r="P28" s="271"/>
      <c r="Q28" s="271"/>
      <c r="R28" s="271"/>
      <c r="S28" s="271"/>
      <c r="T28" s="271"/>
      <c r="U28" s="271"/>
      <c r="V28" s="271"/>
      <c r="W28" s="271"/>
      <c r="X28" s="271"/>
      <c r="Y28" s="271"/>
      <c r="Z28" s="271"/>
      <c r="AA28" s="241"/>
      <c r="AB28" s="271"/>
    </row>
    <row r="29" spans="1:36" ht="16.5" hidden="1" outlineLevel="2" x14ac:dyDescent="0.3">
      <c r="A29" s="271"/>
      <c r="B29" s="7" t="str">
        <f>IF(Table_PhieuGiao[[#This Row],[SKU]]&lt;&gt;"",COUNTIF(D$18:D29,"&lt;&gt;"""),"")</f>
        <v/>
      </c>
      <c r="C29" s="240"/>
      <c r="D29" s="240"/>
      <c r="E29" s="7" t="str">
        <f xml:space="preserve">
IFERROR(VLOOKUP(Table_PhieuGiao[[#This Row],[SKU]],Table_SKU[[Mã SKU]:[Mô tả]],Sheet_SKU!$H$1,0),"")</f>
        <v/>
      </c>
      <c r="F29" s="15" t="str" cm="1">
        <f t="array" ref="F29">IF(ISBLANK(Table_PhieuGiao[[#This Row],[SKU]]),"",
SUM(_xlfn._xlws.FILTER(Table_Main[Số lượng],
(Table_Main[Mã SKU] = Table_PhieuGiao[[#This Row],[SKU]])*
(Table_Main[Đơn bán] = Table_PhieuGiao[[#This Row],[Đơn bán]]))
))</f>
        <v/>
      </c>
      <c r="G29" s="15"/>
      <c r="H29" s="15" t="str" cm="1">
        <f t="array" ref="H29">IF(ISBLANK(Table_PhieuGiao[[#This Row],[SKU]]),"",
SUM(_xlfn._xlws.FILTER(Table_Main[Giá trị bán trước VAT],
(Table_Main[Mã SKU] = Table_PhieuGiao[[#This Row],[SKU]])*
(Table_Main[Đơn bán] = Table_PhieuGiao[[#This Row],[Đơn bán]]))
))</f>
        <v/>
      </c>
      <c r="I29" s="15" t="str">
        <f xml:space="preserve">
IF(ISBLANK(Table_PhieuGiao[[#This Row],[SKU]]),"",
Table_PhieuGiao[[#This Row],[Thành tiền đặt]]*Table_PhieuGiao[[#This Row],[Số lượng giao]]/Table_PhieuGiao[[#This Row],[Số lượng đặt]])</f>
        <v/>
      </c>
      <c r="J29" s="119" t="str" cm="1">
        <f t="array" ref="J29" xml:space="preserve">
IF(ISBLANK(Table_PhieuGiao[[#This Row],[SKU]]),"",
IFERROR(
Table_PhieuGiao[[#This Row],[Thành tiền giao]]/
IFERROR(
SUM(_xlfn._xlws.FILTER(Table_Main[Giá trị bán trước VAT],
(Table_Main[Đơn bán] = Table_PhieuGiao[[#This Row],[Đơn bán]])
)),0),
0))</f>
        <v/>
      </c>
      <c r="K29" s="313"/>
      <c r="L29" s="271"/>
      <c r="M29" s="271"/>
      <c r="N29" s="271"/>
      <c r="O29" s="271"/>
      <c r="P29" s="271"/>
      <c r="Q29" s="271"/>
      <c r="R29" s="271"/>
      <c r="S29" s="271"/>
      <c r="T29" s="271"/>
      <c r="U29" s="271"/>
      <c r="V29" s="271"/>
      <c r="W29" s="271"/>
      <c r="X29" s="271"/>
      <c r="Y29" s="271"/>
      <c r="Z29" s="271"/>
      <c r="AA29" s="241"/>
      <c r="AB29" s="271"/>
    </row>
    <row r="30" spans="1:36" hidden="1" outlineLevel="2" x14ac:dyDescent="0.3">
      <c r="A30" s="271"/>
      <c r="B30" s="274"/>
      <c r="C30" s="274"/>
      <c r="D30" s="274"/>
      <c r="E30" s="274"/>
      <c r="F30" s="274"/>
      <c r="G30" s="274"/>
      <c r="H30" s="274"/>
      <c r="I30" s="274"/>
      <c r="J30" s="274"/>
      <c r="K30" s="274"/>
      <c r="L30" s="271"/>
      <c r="M30" s="271"/>
      <c r="N30" s="271"/>
      <c r="O30" s="271"/>
      <c r="P30" s="271"/>
      <c r="Q30" s="271"/>
      <c r="R30" s="271"/>
      <c r="S30" s="271"/>
      <c r="T30" s="271"/>
      <c r="U30" s="271"/>
      <c r="V30" s="271"/>
      <c r="W30" s="271"/>
      <c r="X30" s="271"/>
      <c r="Y30" s="271"/>
      <c r="Z30" s="271"/>
      <c r="AA30" s="271"/>
      <c r="AB30" s="241"/>
    </row>
    <row r="31" spans="1:36" hidden="1" outlineLevel="1" x14ac:dyDescent="0.3">
      <c r="A31" s="271"/>
      <c r="B31" s="61" t="s">
        <v>539</v>
      </c>
      <c r="C31" s="314"/>
      <c r="D31" s="285"/>
      <c r="E31" s="285"/>
      <c r="F31" s="285"/>
      <c r="G31" s="286"/>
      <c r="H31" s="1" t="s">
        <v>729</v>
      </c>
      <c r="I31" s="409">
        <f>SUM(Table_PhieuGiao[Thành tiền giao])</f>
        <v>0</v>
      </c>
      <c r="J31" s="271"/>
      <c r="K31" s="271"/>
      <c r="L31" s="271"/>
      <c r="M31" s="271"/>
      <c r="N31" s="271"/>
      <c r="O31" s="271"/>
      <c r="P31" s="271"/>
      <c r="Q31" s="271"/>
      <c r="R31" s="271"/>
      <c r="S31" s="271"/>
      <c r="T31" s="271"/>
      <c r="U31" s="271"/>
      <c r="V31" s="271"/>
      <c r="W31" s="271"/>
      <c r="X31" s="271"/>
      <c r="Y31" s="271"/>
      <c r="Z31" s="271"/>
      <c r="AA31" s="271"/>
      <c r="AB31" s="241"/>
    </row>
    <row r="32" spans="1:36" hidden="1" outlineLevel="1" x14ac:dyDescent="0.3">
      <c r="A32" s="271"/>
      <c r="B32" s="288"/>
      <c r="C32" s="274"/>
      <c r="D32" s="274"/>
      <c r="E32" s="274"/>
      <c r="F32" s="274"/>
      <c r="G32" s="289"/>
      <c r="H32" s="1" t="s">
        <v>749</v>
      </c>
      <c r="I32" s="410">
        <f xml:space="preserve">
IF(ISBLANK(D9),0,
IF(D9 = "Bên bán", 0,
IF(ISBLANK(D10),
"Chưa bao gồm",D10)))</f>
        <v>0</v>
      </c>
      <c r="J32" s="271"/>
      <c r="K32" s="271"/>
      <c r="L32" s="271"/>
      <c r="M32" s="271"/>
      <c r="N32" s="271"/>
      <c r="O32" s="271"/>
      <c r="P32" s="271"/>
      <c r="Q32" s="271"/>
      <c r="R32" s="271"/>
      <c r="S32" s="271"/>
      <c r="T32" s="271"/>
      <c r="U32" s="271"/>
      <c r="V32" s="271"/>
      <c r="W32" s="271"/>
      <c r="X32" s="271"/>
      <c r="Y32" s="271"/>
      <c r="Z32" s="271"/>
      <c r="AA32" s="271"/>
      <c r="AB32" s="241"/>
    </row>
    <row r="33" spans="1:28" hidden="1" outlineLevel="1" x14ac:dyDescent="0.3">
      <c r="A33" s="271"/>
      <c r="B33" s="288"/>
      <c r="C33" s="274"/>
      <c r="D33" s="274"/>
      <c r="E33" s="274"/>
      <c r="F33" s="274"/>
      <c r="G33" s="289"/>
      <c r="H33" s="1" t="s">
        <v>716</v>
      </c>
      <c r="I33" s="410" cm="1">
        <f t="array" ref="I33">IFERROR(
SUMPRODUCT(
_xlfn._xlws.FILTER(Table_PhieuGiao[Tỷ trọng thành tiền],
(NOT(ISBLANK(Table_PhieuGiao[SKU])))
),
_xlfn._xlws.FILTER(VLOOKUP(Table_PhieuGiao[Đơn bán],Table_DonBan[[Mã Đơn bán]:[Giá trị CK]],Sheet_DonBan!$AH$44,0),
(NOT(ISBLANK(Table_PhieuGiao[SKU])))
)),0)</f>
        <v>0</v>
      </c>
      <c r="J33" s="271"/>
      <c r="K33" s="271"/>
      <c r="L33" s="271"/>
      <c r="M33" s="271"/>
      <c r="N33" s="271"/>
      <c r="O33" s="271"/>
      <c r="P33" s="271"/>
      <c r="Q33" s="271"/>
      <c r="R33" s="271"/>
      <c r="S33" s="271"/>
      <c r="T33" s="271"/>
      <c r="U33" s="271"/>
      <c r="V33" s="271"/>
      <c r="W33" s="271"/>
      <c r="X33" s="271"/>
      <c r="Y33" s="271"/>
      <c r="Z33" s="271"/>
      <c r="AA33" s="271"/>
      <c r="AB33" s="241"/>
    </row>
    <row r="34" spans="1:28" hidden="1" outlineLevel="1" x14ac:dyDescent="0.3">
      <c r="A34" s="271"/>
      <c r="B34" s="288"/>
      <c r="C34" s="274"/>
      <c r="D34" s="274"/>
      <c r="E34" s="274"/>
      <c r="F34" s="274"/>
      <c r="G34" s="289"/>
      <c r="H34" s="1" t="s">
        <v>731</v>
      </c>
      <c r="I34" s="410" cm="1">
        <f t="array" ref="I34">IFERROR(
SUMPRODUCT(
_xlfn._xlws.FILTER(Table_PhieuGiao[Tỷ trọng thành tiền],
(NOT(ISBLANK(Table_PhieuGiao[SKU])))
),
_xlfn._xlws.FILTER(VLOOKUP(Table_PhieuGiao[Đơn bán],Table_DonBan[[Mã Đơn bán]:[Tổng VAT]],Sheet_DonBan!$AI$44,0),
(NOT(ISBLANK(Table_PhieuGiao[SKU])))
)),0)</f>
        <v>0</v>
      </c>
      <c r="J34" s="271"/>
      <c r="K34" s="271"/>
      <c r="L34" s="271"/>
      <c r="M34" s="271"/>
      <c r="N34" s="271"/>
      <c r="O34" s="271"/>
      <c r="P34" s="271"/>
      <c r="Q34" s="271"/>
      <c r="R34" s="271"/>
      <c r="S34" s="271"/>
      <c r="T34" s="271"/>
      <c r="U34" s="271"/>
      <c r="V34" s="271"/>
      <c r="W34" s="271"/>
      <c r="X34" s="271"/>
      <c r="Y34" s="271"/>
      <c r="Z34" s="271"/>
      <c r="AA34" s="271"/>
      <c r="AB34" s="241"/>
    </row>
    <row r="35" spans="1:28" hidden="1" outlineLevel="1" x14ac:dyDescent="0.3">
      <c r="A35" s="271"/>
      <c r="B35" s="290"/>
      <c r="C35" s="291"/>
      <c r="D35" s="291"/>
      <c r="E35" s="291"/>
      <c r="F35" s="291"/>
      <c r="G35" s="292"/>
      <c r="H35" s="62" t="s">
        <v>732</v>
      </c>
      <c r="I35" s="406">
        <f>+I31+IF(ISNUMBER(I32),I32,0)-I33+I34</f>
        <v>0</v>
      </c>
      <c r="J35" s="271"/>
      <c r="K35" s="271"/>
      <c r="L35" s="271"/>
      <c r="M35" s="271"/>
      <c r="N35" s="271"/>
      <c r="O35" s="271"/>
      <c r="P35" s="271"/>
      <c r="Q35" s="271"/>
      <c r="R35" s="271"/>
      <c r="S35" s="271"/>
      <c r="T35" s="271"/>
      <c r="U35" s="271"/>
      <c r="V35" s="271"/>
      <c r="W35" s="271"/>
      <c r="X35" s="271"/>
      <c r="Y35" s="271"/>
      <c r="Z35" s="271"/>
      <c r="AA35" s="271"/>
      <c r="AB35" s="241"/>
    </row>
    <row r="36" spans="1:28" hidden="1" outlineLevel="1" x14ac:dyDescent="0.3">
      <c r="A36" s="271"/>
      <c r="B36" s="274"/>
      <c r="C36" s="274"/>
      <c r="D36" s="274"/>
      <c r="E36" s="274"/>
      <c r="F36" s="274"/>
      <c r="G36" s="274"/>
      <c r="H36" s="274"/>
      <c r="I36" s="274"/>
      <c r="J36" s="274"/>
      <c r="K36" s="274"/>
      <c r="L36" s="271"/>
      <c r="M36" s="271"/>
      <c r="N36" s="271"/>
      <c r="O36" s="271"/>
      <c r="P36" s="271"/>
      <c r="Q36" s="271"/>
      <c r="R36" s="271"/>
      <c r="S36" s="271"/>
      <c r="T36" s="271"/>
      <c r="U36" s="271"/>
      <c r="V36" s="271"/>
      <c r="W36" s="271"/>
      <c r="X36" s="271"/>
      <c r="Y36" s="271"/>
      <c r="Z36" s="271"/>
      <c r="AA36" s="271"/>
      <c r="AB36" s="241"/>
    </row>
    <row r="37" spans="1:28" hidden="1" outlineLevel="1" x14ac:dyDescent="0.3">
      <c r="A37" s="271"/>
      <c r="B37" s="274"/>
      <c r="C37" s="274"/>
      <c r="D37" s="274"/>
      <c r="E37" s="274"/>
      <c r="F37" s="274"/>
      <c r="G37" s="271"/>
      <c r="H37" s="562" t="str">
        <f>B1</f>
        <v>Công ty ABC XYZ</v>
      </c>
      <c r="I37" s="563"/>
      <c r="J37" s="315"/>
      <c r="K37" s="315"/>
      <c r="L37" s="271"/>
      <c r="M37" s="271"/>
      <c r="N37" s="271"/>
      <c r="O37" s="271"/>
      <c r="P37" s="271"/>
      <c r="Q37" s="271"/>
      <c r="R37" s="271"/>
      <c r="S37" s="271"/>
      <c r="T37" s="271"/>
      <c r="U37" s="271"/>
      <c r="V37" s="271"/>
      <c r="W37" s="271"/>
      <c r="X37" s="271"/>
      <c r="Y37" s="271"/>
      <c r="Z37" s="271"/>
      <c r="AA37" s="271"/>
      <c r="AB37" s="241"/>
    </row>
    <row r="38" spans="1:28" hidden="1" outlineLevel="1" x14ac:dyDescent="0.3">
      <c r="A38" s="271"/>
      <c r="B38" s="274"/>
      <c r="C38" s="274"/>
      <c r="D38" s="274"/>
      <c r="E38" s="274"/>
      <c r="F38" s="274"/>
      <c r="G38" s="271"/>
      <c r="H38" s="562" t="s">
        <v>750</v>
      </c>
      <c r="I38" s="563"/>
      <c r="J38" s="294"/>
      <c r="K38" s="294"/>
      <c r="L38" s="271"/>
      <c r="M38" s="271"/>
      <c r="N38" s="271"/>
      <c r="O38" s="271"/>
      <c r="P38" s="271"/>
      <c r="Q38" s="271"/>
      <c r="R38" s="271"/>
      <c r="S38" s="271"/>
      <c r="T38" s="271"/>
      <c r="U38" s="271"/>
      <c r="V38" s="271"/>
      <c r="W38" s="271"/>
      <c r="X38" s="271"/>
      <c r="Y38" s="271"/>
      <c r="Z38" s="271"/>
      <c r="AA38" s="271"/>
      <c r="AB38" s="241"/>
    </row>
    <row r="39" spans="1:28" hidden="1" outlineLevel="1" x14ac:dyDescent="0.3">
      <c r="A39" s="271"/>
      <c r="B39" s="274"/>
      <c r="C39" s="274"/>
      <c r="D39" s="274"/>
      <c r="E39" s="274"/>
      <c r="F39" s="274"/>
      <c r="G39" s="271"/>
      <c r="H39" s="560" t="str">
        <f>IFERROR(VLOOKUP(H8,Table_NhanVien[#All],Sheet_CauTruc!$T$1,0),"")</f>
        <v/>
      </c>
      <c r="I39" s="561"/>
      <c r="J39" s="295"/>
      <c r="K39" s="295"/>
      <c r="L39" s="271"/>
      <c r="M39" s="271"/>
      <c r="N39" s="271"/>
      <c r="O39" s="271"/>
      <c r="P39" s="271"/>
      <c r="Q39" s="271"/>
      <c r="R39" s="271"/>
      <c r="S39" s="271"/>
      <c r="T39" s="271"/>
      <c r="U39" s="271"/>
      <c r="V39" s="271"/>
      <c r="W39" s="271"/>
      <c r="X39" s="271"/>
      <c r="Y39" s="271"/>
      <c r="Z39" s="271"/>
      <c r="AA39" s="271"/>
      <c r="AB39" s="241"/>
    </row>
    <row r="40" spans="1:28" hidden="1" outlineLevel="1" x14ac:dyDescent="0.3">
      <c r="A40" s="271"/>
      <c r="B40" s="274"/>
      <c r="C40" s="274"/>
      <c r="D40" s="274"/>
      <c r="E40" s="274"/>
      <c r="F40" s="274"/>
      <c r="G40" s="295"/>
      <c r="H40" s="295"/>
      <c r="I40" s="295"/>
      <c r="J40" s="295"/>
      <c r="K40" s="295"/>
      <c r="L40" s="271"/>
      <c r="M40" s="271"/>
      <c r="N40" s="271"/>
      <c r="O40" s="271"/>
      <c r="P40" s="271"/>
      <c r="Q40" s="271"/>
      <c r="R40" s="271"/>
      <c r="S40" s="271"/>
      <c r="T40" s="271"/>
      <c r="U40" s="271"/>
      <c r="V40" s="271"/>
      <c r="W40" s="271"/>
      <c r="X40" s="271"/>
      <c r="Y40" s="271"/>
      <c r="Z40" s="271"/>
      <c r="AA40" s="271"/>
      <c r="AB40" s="241"/>
    </row>
    <row r="41" spans="1:28" hidden="1" outlineLevel="1" x14ac:dyDescent="0.3">
      <c r="A41" s="271"/>
      <c r="B41" s="274"/>
      <c r="C41" s="274"/>
      <c r="D41" s="274"/>
      <c r="E41" s="274"/>
      <c r="F41" s="274"/>
      <c r="G41" s="274"/>
      <c r="H41" s="274"/>
      <c r="I41" s="274"/>
      <c r="J41" s="274"/>
      <c r="K41" s="274"/>
      <c r="L41" s="271"/>
      <c r="M41" s="271"/>
      <c r="N41" s="271"/>
      <c r="O41" s="271"/>
      <c r="P41" s="271"/>
      <c r="Q41" s="271"/>
      <c r="R41" s="271"/>
      <c r="S41" s="271"/>
      <c r="T41" s="271"/>
      <c r="U41" s="271"/>
      <c r="V41" s="271"/>
      <c r="W41" s="271"/>
      <c r="X41" s="271"/>
      <c r="Y41" s="271"/>
      <c r="Z41" s="271"/>
      <c r="AA41" s="271"/>
      <c r="AB41" s="241"/>
    </row>
    <row r="42" spans="1:28" collapsed="1" x14ac:dyDescent="0.3">
      <c r="A42" s="271"/>
      <c r="B42" s="274"/>
      <c r="C42" s="274"/>
      <c r="D42" s="274"/>
      <c r="E42" s="274"/>
      <c r="F42" s="274"/>
      <c r="G42" s="274"/>
      <c r="H42" s="274"/>
      <c r="I42" s="274"/>
      <c r="J42" s="274"/>
      <c r="K42" s="274"/>
      <c r="L42" s="271"/>
      <c r="M42" s="299">
        <v>0</v>
      </c>
      <c r="N42" s="299">
        <f t="shared" ref="N42:Y42" si="0">+M42+1</f>
        <v>1</v>
      </c>
      <c r="O42" s="299">
        <f t="shared" si="0"/>
        <v>2</v>
      </c>
      <c r="P42" s="299">
        <f t="shared" si="0"/>
        <v>3</v>
      </c>
      <c r="Q42" s="299">
        <f t="shared" si="0"/>
        <v>4</v>
      </c>
      <c r="R42" s="299">
        <f t="shared" si="0"/>
        <v>5</v>
      </c>
      <c r="S42" s="299">
        <f t="shared" si="0"/>
        <v>6</v>
      </c>
      <c r="T42" s="299">
        <f t="shared" si="0"/>
        <v>7</v>
      </c>
      <c r="U42" s="299">
        <f t="shared" si="0"/>
        <v>8</v>
      </c>
      <c r="V42" s="299">
        <f t="shared" si="0"/>
        <v>9</v>
      </c>
      <c r="W42" s="299">
        <f t="shared" si="0"/>
        <v>10</v>
      </c>
      <c r="X42" s="299">
        <f t="shared" si="0"/>
        <v>11</v>
      </c>
      <c r="Y42" s="299">
        <f t="shared" si="0"/>
        <v>12</v>
      </c>
      <c r="Z42" s="247"/>
      <c r="AA42" s="247"/>
      <c r="AB42" s="241"/>
    </row>
    <row r="43" spans="1:28" x14ac:dyDescent="0.3">
      <c r="A43" s="271"/>
      <c r="B43" s="274"/>
      <c r="C43" s="274"/>
      <c r="D43" s="274"/>
      <c r="E43" s="274"/>
      <c r="F43" s="274"/>
      <c r="G43" s="274"/>
      <c r="H43" s="274"/>
      <c r="I43" s="274"/>
      <c r="J43" s="274"/>
      <c r="K43" s="274"/>
      <c r="L43" s="271"/>
      <c r="M43" s="248">
        <f>J4</f>
        <v>1</v>
      </c>
      <c r="N43" s="51" t="str">
        <f>H4</f>
        <v>GIAO--100-1</v>
      </c>
      <c r="O43" s="408">
        <f>H5</f>
        <v>0</v>
      </c>
      <c r="P43" s="408"/>
      <c r="Q43" s="244">
        <f>D3</f>
        <v>0</v>
      </c>
      <c r="R43" s="47" t="str">
        <f>H6</f>
        <v/>
      </c>
      <c r="S43" s="51" t="str">
        <f xml:space="preserve">
IFERROR(
VLOOKUP(R43,Table_KhachHang[],COUNTA(Table_KhachHang[[#Headers],[Mã KH]:[Địa chỉ]]),0),"")</f>
        <v/>
      </c>
      <c r="T43" s="48">
        <f>IF(D9 = "Bên bán",D10,0)</f>
        <v>0</v>
      </c>
      <c r="U43" s="244">
        <f>D9</f>
        <v>0</v>
      </c>
      <c r="V43" s="118"/>
      <c r="W43" s="390">
        <f>IF(U43 = "Bên bán",V43*(T43/(1+V43)),0)</f>
        <v>0</v>
      </c>
      <c r="X43" s="390">
        <f>Y43-W43</f>
        <v>0</v>
      </c>
      <c r="Y43" s="48">
        <f>IF(U43 = "Bên bán",T43,0)</f>
        <v>0</v>
      </c>
      <c r="Z43" s="245"/>
      <c r="AA43" s="245"/>
      <c r="AB43" s="241"/>
    </row>
    <row r="44" spans="1:28" x14ac:dyDescent="0.3">
      <c r="A44" s="271"/>
      <c r="B44" s="274"/>
      <c r="C44" s="274"/>
      <c r="D44" s="274"/>
      <c r="E44" s="274"/>
      <c r="F44" s="274"/>
      <c r="G44" s="274"/>
      <c r="H44" s="274"/>
      <c r="I44" s="274"/>
      <c r="J44" s="274"/>
      <c r="K44" s="274"/>
      <c r="L44" s="271"/>
      <c r="M44" s="248">
        <v>1</v>
      </c>
      <c r="N44" s="51" t="str">
        <f>CONCATENATE("GIAO-",R44,"-",MOD(YEAR(O44),100)*10000+MONTH(O44)*100+DAY(O44),"-",M44)</f>
        <v>GIAO--100-1</v>
      </c>
      <c r="O44" s="408"/>
      <c r="P44" s="408"/>
      <c r="Q44" s="244"/>
      <c r="R44" s="244"/>
      <c r="S44" s="51" t="str">
        <f xml:space="preserve">
IFERROR(
VLOOKUP(R44,Table_KhachHang[],COUNTA(Table_KhachHang[[#Headers],[Mã KH]:[Địa chỉ]]),0),"")</f>
        <v/>
      </c>
      <c r="T44" s="48"/>
      <c r="U44" s="244"/>
      <c r="V44" s="118"/>
      <c r="W44" s="390">
        <f>IF(U44 = "Bên bán",V44*(T44/(1+V44)),0)</f>
        <v>0</v>
      </c>
      <c r="X44" s="390">
        <f>Y44-W44</f>
        <v>0</v>
      </c>
      <c r="Y44" s="48">
        <f>IF(U44 = "Bên bán",T44,0)</f>
        <v>0</v>
      </c>
      <c r="Z44" s="245"/>
      <c r="AA44" s="245"/>
      <c r="AB44" s="241"/>
    </row>
    <row r="45" spans="1:28" x14ac:dyDescent="0.3">
      <c r="A45" s="271"/>
      <c r="B45" s="274"/>
      <c r="C45" s="274"/>
      <c r="D45" s="274"/>
      <c r="E45" s="274"/>
      <c r="F45" s="274"/>
      <c r="G45" s="274"/>
      <c r="H45" s="274"/>
      <c r="I45" s="274"/>
      <c r="J45" s="274"/>
      <c r="K45" s="274"/>
      <c r="L45" s="271"/>
      <c r="M45" s="46" t="s">
        <v>638</v>
      </c>
      <c r="N45" s="46" t="s">
        <v>738</v>
      </c>
      <c r="O45" s="46" t="s">
        <v>695</v>
      </c>
      <c r="P45" s="46" t="s">
        <v>751</v>
      </c>
      <c r="Q45" s="46" t="s">
        <v>752</v>
      </c>
      <c r="R45" s="46" t="s">
        <v>172</v>
      </c>
      <c r="S45" s="46" t="s">
        <v>753</v>
      </c>
      <c r="T45" s="46" t="s">
        <v>749</v>
      </c>
      <c r="U45" s="46" t="s">
        <v>741</v>
      </c>
      <c r="V45" s="46" t="s">
        <v>705</v>
      </c>
      <c r="W45" s="46" t="s">
        <v>681</v>
      </c>
      <c r="X45" s="46" t="s">
        <v>652</v>
      </c>
      <c r="Y45" s="46" t="s">
        <v>754</v>
      </c>
      <c r="Z45" s="7" t="s">
        <v>873</v>
      </c>
      <c r="AA45" s="7" t="s">
        <v>1243</v>
      </c>
      <c r="AB45" s="241"/>
    </row>
    <row r="46" spans="1:28" x14ac:dyDescent="0.3">
      <c r="A46" s="271"/>
      <c r="B46" s="274"/>
      <c r="C46" s="274"/>
      <c r="D46" s="274"/>
      <c r="E46" s="274"/>
      <c r="F46" s="274"/>
      <c r="G46" s="274"/>
      <c r="H46" s="274"/>
      <c r="I46" s="274"/>
      <c r="J46" s="274"/>
      <c r="K46" s="274"/>
      <c r="L46" s="271"/>
      <c r="M46" s="248">
        <v>1</v>
      </c>
      <c r="N46" s="51" t="str">
        <f>CONCATENATE("GIAO-",Table_VanDon[[#This Row],[Khách hàng]],"-",MOD(YEAR(Table_VanDon[[#This Row],[Ngày lập]]),100)*10000+MONTH(Table_VanDon[[#This Row],[Ngày lập]])*100+DAY(Table_VanDon[[#This Row],[Ngày lập]]),"-",Table_VanDon[[#This Row],[STT]])</f>
        <v>GIAO--100-1</v>
      </c>
      <c r="O46" s="408"/>
      <c r="P46" s="408"/>
      <c r="Q46" s="263"/>
      <c r="R46" s="240"/>
      <c r="S46" s="51" t="str">
        <f xml:space="preserve">
IFERROR(
VLOOKUP(Table_VanDon[[#This Row],[Khách hàng]],Table_KhachHang[],COUNTA(Table_KhachHang[[#Headers],[Mã KH]:[Địa chỉ]]),0),"")</f>
        <v/>
      </c>
      <c r="T46" s="15"/>
      <c r="U46" s="240"/>
      <c r="V46" s="45"/>
      <c r="W46" s="120">
        <f>IF(Table_VanDon[[#This Row],[Bên chịu phí]] = "Bên bán",Table_VanDon[[#This Row],[Tỷ suất VAT]]*(Table_VanDon[[#This Row],[Phí ship]]/(1+Table_VanDon[[#This Row],[Tỷ suất VAT]])),0)</f>
        <v>0</v>
      </c>
      <c r="X46" s="120">
        <f>Table_VanDon[[#This Row],[Phải trả ship]]-Table_VanDon[[#This Row],[VAT khấu trừ]]</f>
        <v>0</v>
      </c>
      <c r="Y46" s="18">
        <f>IF(Table_VanDon[[#This Row],[Bên chịu phí]] = "Bên bán",Table_VanDon[[#This Row],[Phí ship]],0)</f>
        <v>0</v>
      </c>
      <c r="Z46" s="245"/>
      <c r="AA46" s="316" cm="1">
        <f t="array" ref="AA46"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f>
        <v>0</v>
      </c>
      <c r="AB46" s="241"/>
    </row>
  </sheetData>
  <sheetProtection algorithmName="SHA-512" hashValue="Ym+a85KvGMSrDiT8oWSTguGSe40ZDOy+I+eBuBoNTZ0XA/jdr//V6sc7JlfahdYxWCqYDYgYGcglPhdPXx4QPQ==" saltValue="duQvwyCPP+YqqABBhBZb4Q==" spinCount="100000" sheet="1" scenarios="1" formatCells="0" formatColumns="0" formatRows="0" insertColumns="0" insertRows="0" deleteColumns="0" deleteRows="0" sort="0" autoFilter="0" pivotTables="0"/>
  <protectedRanges>
    <protectedRange sqref="M45:U45 AB1:XFD1 L1 Y45:Z45 W46 AB17:XFD29 AB4:XFD6 AC2:XFD3 AA42:AA46 J4:L4 M30:AA42 M2:AA3 M17:Z29 Z46 M47:AA1048576 M46 M7:AA16 AC7:XFD16 AC30:XFD1048576" name="Range1"/>
    <protectedRange sqref="I1 B1:H3 J30:K30 F11:F14 E11 J17 G40:G41 G11:G36 I2:K3 H11:I41 B4:D9 H4:I10 G9:G10 E4:E10 F4:F10 J9:K15 B10 D10 G42:I1048576 E15:F1048576 B11:D1048576 J36:K1048576" name="Range1_2"/>
    <protectedRange sqref="V45:X45" name="Range1_3"/>
    <protectedRange sqref="O46:Q46" name="Range1_5"/>
    <protectedRange sqref="R46" name="Range1_1_2"/>
    <protectedRange sqref="T46:V46" name="Range1_7"/>
    <protectedRange sqref="C10" name="Range1_2_1"/>
  </protectedRanges>
  <mergeCells count="15">
    <mergeCell ref="H38:I38"/>
    <mergeCell ref="H39:I39"/>
    <mergeCell ref="H4:I4"/>
    <mergeCell ref="H5:I5"/>
    <mergeCell ref="H6:I6"/>
    <mergeCell ref="H7:I7"/>
    <mergeCell ref="H8:I8"/>
    <mergeCell ref="F12:I12"/>
    <mergeCell ref="F13:I13"/>
    <mergeCell ref="F14:I14"/>
    <mergeCell ref="B4:E4"/>
    <mergeCell ref="B7:E7"/>
    <mergeCell ref="B6:E6"/>
    <mergeCell ref="B5:E5"/>
    <mergeCell ref="H37:I37"/>
  </mergeCells>
  <phoneticPr fontId="14" type="noConversion"/>
  <conditionalFormatting sqref="N46">
    <cfRule type="duplicateValues" dxfId="363" priority="267"/>
  </conditionalFormatting>
  <conditionalFormatting sqref="H4:I4">
    <cfRule type="expression" dxfId="362" priority="268">
      <formula>MATCH($H$4,$N$46:$N$46,0)</formula>
    </cfRule>
  </conditionalFormatting>
  <dataValidations count="6">
    <dataValidation type="list" allowBlank="1" showInputMessage="1" showErrorMessage="1" sqref="D9:D10 U44 U46" xr:uid="{35C44B6D-55D7-41ED-91D6-3B106D45FADF}">
      <formula1>"Bên mua, Bên bán"</formula1>
    </dataValidation>
    <dataValidation type="list" allowBlank="1" showInputMessage="1" showErrorMessage="1" sqref="D2 R44" xr:uid="{47F34433-6EC4-43B4-A61D-2BB835E7EA3A}">
      <formula1>MaKhachHang</formula1>
    </dataValidation>
    <dataValidation type="list" allowBlank="1" showInputMessage="1" showErrorMessage="1" sqref="D18:D29" xr:uid="{7B5A560F-D9C8-4322-B5C6-609D588B87FF}">
      <formula1>_xlfn.ANCHORARRAY($L$17)</formula1>
    </dataValidation>
    <dataValidation type="list" showInputMessage="1" showErrorMessage="1" sqref="H8:I8" xr:uid="{265AFE4D-A557-4EC1-B72C-0D3E660BEF7C}">
      <formula1>MaNhanVien</formula1>
    </dataValidation>
    <dataValidation type="list" allowBlank="1" showInputMessage="1" showErrorMessage="1" sqref="C18:C29" xr:uid="{846CAF14-970E-4CA1-AF3E-5224CD463160}">
      <formula1>_xlfn.ANCHORARRAY($L$16)</formula1>
    </dataValidation>
    <dataValidation type="list" allowBlank="1" showInputMessage="1" sqref="R46" xr:uid="{E6ECCE04-9A90-4877-A889-5912B451E327}">
      <formula1>MaKhachHang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0]!AddColumn">
                <anchor moveWithCells="1">
                  <from>
                    <xdr:col>22</xdr:col>
                    <xdr:colOff>609600</xdr:colOff>
                    <xdr:row>0</xdr:row>
                    <xdr:rowOff>38100</xdr:rowOff>
                  </from>
                  <to>
                    <xdr:col>23</xdr:col>
                    <xdr:colOff>257175</xdr:colOff>
                    <xdr:row>0</xdr:row>
                    <xdr:rowOff>295275</xdr:rowOff>
                  </to>
                </anchor>
              </controlPr>
            </control>
          </mc:Choice>
        </mc:AlternateContent>
        <mc:AlternateContent xmlns:mc="http://schemas.openxmlformats.org/markup-compatibility/2006">
          <mc:Choice Requires="x14">
            <control shapeId="70660" r:id="rId5" name="Button 4">
              <controlPr defaultSize="0" print="0" autoFill="0" autoPict="0" macro="[0]!DeleteColumn">
                <anchor moveWithCells="1">
                  <from>
                    <xdr:col>23</xdr:col>
                    <xdr:colOff>390525</xdr:colOff>
                    <xdr:row>0</xdr:row>
                    <xdr:rowOff>38100</xdr:rowOff>
                  </from>
                  <to>
                    <xdr:col>23</xdr:col>
                    <xdr:colOff>933450</xdr:colOff>
                    <xdr:row>0</xdr:row>
                    <xdr:rowOff>295275</xdr:rowOff>
                  </to>
                </anchor>
              </controlPr>
            </control>
          </mc:Choice>
        </mc:AlternateContent>
        <mc:AlternateContent xmlns:mc="http://schemas.openxmlformats.org/markup-compatibility/2006">
          <mc:Choice Requires="x14">
            <control shapeId="70661" r:id="rId6" name="Button 5">
              <controlPr defaultSize="0" print="0" autoFill="0" autoPict="0" macro="[0]!CopyToTable">
                <anchor moveWithCells="1">
                  <from>
                    <xdr:col>25</xdr:col>
                    <xdr:colOff>19050</xdr:colOff>
                    <xdr:row>42</xdr:row>
                    <xdr:rowOff>85725</xdr:rowOff>
                  </from>
                  <to>
                    <xdr:col>26</xdr:col>
                    <xdr:colOff>47625</xdr:colOff>
                    <xdr:row>43</xdr:row>
                    <xdr:rowOff>123825</xdr:rowOff>
                  </to>
                </anchor>
              </controlPr>
            </control>
          </mc:Choice>
        </mc:AlternateContent>
        <mc:AlternateContent xmlns:mc="http://schemas.openxmlformats.org/markup-compatibility/2006">
          <mc:Choice Requires="x14">
            <control shapeId="70664" r:id="rId7" name="Option Button 8">
              <controlPr defaultSize="0" autoFill="0" autoLine="0" autoPict="0" macro="[0]!DoiDonViHienThi">
                <anchor moveWithCells="1">
                  <from>
                    <xdr:col>16</xdr:col>
                    <xdr:colOff>47625</xdr:colOff>
                    <xdr:row>0</xdr:row>
                    <xdr:rowOff>152400</xdr:rowOff>
                  </from>
                  <to>
                    <xdr:col>16</xdr:col>
                    <xdr:colOff>638175</xdr:colOff>
                    <xdr:row>0</xdr:row>
                    <xdr:rowOff>428625</xdr:rowOff>
                  </to>
                </anchor>
              </controlPr>
            </control>
          </mc:Choice>
        </mc:AlternateContent>
        <mc:AlternateContent xmlns:mc="http://schemas.openxmlformats.org/markup-compatibility/2006">
          <mc:Choice Requires="x14">
            <control shapeId="70665" r:id="rId8" name="Option Button 9">
              <controlPr defaultSize="0" autoFill="0" autoLine="0" autoPict="0" macro="[0]!DoiDonViHienThi">
                <anchor moveWithCells="1">
                  <from>
                    <xdr:col>16</xdr:col>
                    <xdr:colOff>514350</xdr:colOff>
                    <xdr:row>0</xdr:row>
                    <xdr:rowOff>152400</xdr:rowOff>
                  </from>
                  <to>
                    <xdr:col>17</xdr:col>
                    <xdr:colOff>314325</xdr:colOff>
                    <xdr:row>0</xdr:row>
                    <xdr:rowOff>428625</xdr:rowOff>
                  </to>
                </anchor>
              </controlPr>
            </control>
          </mc:Choice>
        </mc:AlternateContent>
        <mc:AlternateContent xmlns:mc="http://schemas.openxmlformats.org/markup-compatibility/2006">
          <mc:Choice Requires="x14">
            <control shapeId="70666" r:id="rId9" name="Option Button 10">
              <controlPr defaultSize="0" autoFill="0" autoLine="0" autoPict="0" macro="[0]!DoiDonViHienThi">
                <anchor moveWithCells="1">
                  <from>
                    <xdr:col>17</xdr:col>
                    <xdr:colOff>190500</xdr:colOff>
                    <xdr:row>0</xdr:row>
                    <xdr:rowOff>152400</xdr:rowOff>
                  </from>
                  <to>
                    <xdr:col>17</xdr:col>
                    <xdr:colOff>781050</xdr:colOff>
                    <xdr:row>0</xdr:row>
                    <xdr:rowOff>428625</xdr:rowOff>
                  </to>
                </anchor>
              </controlPr>
            </control>
          </mc:Choice>
        </mc:AlternateContent>
        <mc:AlternateContent xmlns:mc="http://schemas.openxmlformats.org/markup-compatibility/2006">
          <mc:Choice Requires="x14">
            <control shapeId="70667" r:id="rId10" name="Option Button 11">
              <controlPr defaultSize="0" autoFill="0" autoLine="0" autoPict="0" macro="[0]!DoiDonViHienThi">
                <anchor moveWithCells="1">
                  <from>
                    <xdr:col>17</xdr:col>
                    <xdr:colOff>666750</xdr:colOff>
                    <xdr:row>0</xdr:row>
                    <xdr:rowOff>152400</xdr:rowOff>
                  </from>
                  <to>
                    <xdr:col>18</xdr:col>
                    <xdr:colOff>209550</xdr:colOff>
                    <xdr:row>0</xdr:row>
                    <xdr:rowOff>428625</xdr:rowOff>
                  </to>
                </anchor>
              </controlPr>
            </control>
          </mc:Choice>
        </mc:AlternateContent>
        <mc:AlternateContent xmlns:mc="http://schemas.openxmlformats.org/markup-compatibility/2006">
          <mc:Choice Requires="x14">
            <control shapeId="70668" r:id="rId11" name="Group Box 12">
              <controlPr defaultSize="0" autoFill="0" autoPict="0">
                <anchor moveWithCells="1">
                  <from>
                    <xdr:col>15</xdr:col>
                    <xdr:colOff>866775</xdr:colOff>
                    <xdr:row>0</xdr:row>
                    <xdr:rowOff>104775</xdr:rowOff>
                  </from>
                  <to>
                    <xdr:col>18</xdr:col>
                    <xdr:colOff>323850</xdr:colOff>
                    <xdr:row>0</xdr:row>
                    <xdr:rowOff>466725</xdr:rowOff>
                  </to>
                </anchor>
              </controlPr>
            </control>
          </mc:Choice>
        </mc:AlternateContent>
        <mc:AlternateContent xmlns:mc="http://schemas.openxmlformats.org/markup-compatibility/2006">
          <mc:Choice Requires="x14">
            <control shapeId="70669" r:id="rId12" name="Group Box 13">
              <controlPr defaultSize="0" autoFill="0" autoPict="0">
                <anchor moveWithCells="1">
                  <from>
                    <xdr:col>14</xdr:col>
                    <xdr:colOff>114300</xdr:colOff>
                    <xdr:row>0</xdr:row>
                    <xdr:rowOff>104775</xdr:rowOff>
                  </from>
                  <to>
                    <xdr:col>15</xdr:col>
                    <xdr:colOff>819150</xdr:colOff>
                    <xdr:row>0</xdr:row>
                    <xdr:rowOff>466725</xdr:rowOff>
                  </to>
                </anchor>
              </controlPr>
            </control>
          </mc:Choice>
        </mc:AlternateContent>
        <mc:AlternateContent xmlns:mc="http://schemas.openxmlformats.org/markup-compatibility/2006">
          <mc:Choice Requires="x14">
            <control shapeId="70670" r:id="rId13" name="Button 14">
              <controlPr defaultSize="0" autoFill="0" autoPict="0" macro="[0]!NhanNghin">
                <anchor moveWithCells="1">
                  <from>
                    <xdr:col>14</xdr:col>
                    <xdr:colOff>200025</xdr:colOff>
                    <xdr:row>0</xdr:row>
                    <xdr:rowOff>200025</xdr:rowOff>
                  </from>
                  <to>
                    <xdr:col>14</xdr:col>
                    <xdr:colOff>666750</xdr:colOff>
                    <xdr:row>0</xdr:row>
                    <xdr:rowOff>371475</xdr:rowOff>
                  </to>
                </anchor>
              </controlPr>
            </control>
          </mc:Choice>
        </mc:AlternateContent>
        <mc:AlternateContent xmlns:mc="http://schemas.openxmlformats.org/markup-compatibility/2006">
          <mc:Choice Requires="x14">
            <control shapeId="70671" r:id="rId14" name="Button 15">
              <controlPr defaultSize="0" autoFill="0" autoPict="0" macro="[0]!NhanTrieu">
                <anchor moveWithCells="1">
                  <from>
                    <xdr:col>14</xdr:col>
                    <xdr:colOff>714375</xdr:colOff>
                    <xdr:row>0</xdr:row>
                    <xdr:rowOff>200025</xdr:rowOff>
                  </from>
                  <to>
                    <xdr:col>15</xdr:col>
                    <xdr:colOff>228600</xdr:colOff>
                    <xdr:row>0</xdr:row>
                    <xdr:rowOff>371475</xdr:rowOff>
                  </to>
                </anchor>
              </controlPr>
            </control>
          </mc:Choice>
        </mc:AlternateContent>
        <mc:AlternateContent xmlns:mc="http://schemas.openxmlformats.org/markup-compatibility/2006">
          <mc:Choice Requires="x14">
            <control shapeId="70672" r:id="rId15" name="Button 16">
              <controlPr defaultSize="0" autoFill="0" autoPict="0" macro="[0]!NhanTy">
                <anchor moveWithCells="1">
                  <from>
                    <xdr:col>15</xdr:col>
                    <xdr:colOff>276225</xdr:colOff>
                    <xdr:row>0</xdr:row>
                    <xdr:rowOff>200025</xdr:rowOff>
                  </from>
                  <to>
                    <xdr:col>15</xdr:col>
                    <xdr:colOff>742950</xdr:colOff>
                    <xdr:row>0</xdr:row>
                    <xdr:rowOff>371475</xdr:rowOff>
                  </to>
                </anchor>
              </controlPr>
            </control>
          </mc:Choice>
        </mc:AlternateContent>
        <mc:AlternateContent xmlns:mc="http://schemas.openxmlformats.org/markup-compatibility/2006">
          <mc:Choice Requires="x14">
            <control shapeId="70673" r:id="rId16" name="Button 17">
              <controlPr defaultSize="0" print="0" autoFill="0" autoPict="0" macro="[0]!AddRow">
                <anchor moveWithCells="1">
                  <from>
                    <xdr:col>13</xdr:col>
                    <xdr:colOff>95250</xdr:colOff>
                    <xdr:row>0</xdr:row>
                    <xdr:rowOff>66675</xdr:rowOff>
                  </from>
                  <to>
                    <xdr:col>13</xdr:col>
                    <xdr:colOff>571500</xdr:colOff>
                    <xdr:row>0</xdr:row>
                    <xdr:rowOff>323850</xdr:rowOff>
                  </to>
                </anchor>
              </controlPr>
            </control>
          </mc:Choice>
        </mc:AlternateContent>
        <mc:AlternateContent xmlns:mc="http://schemas.openxmlformats.org/markup-compatibility/2006">
          <mc:Choice Requires="x14">
            <control shapeId="70674" r:id="rId17" name="Button 18">
              <controlPr defaultSize="0" print="0" autoFill="0" autoPict="0" macro="[0]!DeleteRow">
                <anchor moveWithCells="1">
                  <from>
                    <xdr:col>13</xdr:col>
                    <xdr:colOff>723900</xdr:colOff>
                    <xdr:row>0</xdr:row>
                    <xdr:rowOff>66675</xdr:rowOff>
                  </from>
                  <to>
                    <xdr:col>13</xdr:col>
                    <xdr:colOff>1200150</xdr:colOff>
                    <xdr:row>0</xdr:row>
                    <xdr:rowOff>323850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A1F20A59-B287-4D0C-9297-3FB515201C1B}">
            <xm:f>Security!$A$1="NO VBA"</xm:f>
            <x14:dxf>
              <font>
                <color theme="0"/>
              </font>
              <border>
                <vertical/>
                <horizontal/>
              </border>
            </x14:dxf>
          </x14:cfRule>
          <xm:sqref>A45:Y45 AB45:XFD45 A1:XFD9 A11:XFD44 A10:B10 D10:XFD10 A46:XFD1048576</xm:sqref>
        </x14:conditionalFormatting>
        <x14:conditionalFormatting xmlns:xm="http://schemas.microsoft.com/office/excel/2006/main">
          <x14:cfRule type="expression" priority="1" id="{785F00F2-1639-4F22-9893-F50A9DEFB90E}">
            <xm:f>Security!$A$1="NO VBA"</xm:f>
            <x14:dxf>
              <font>
                <color theme="0"/>
              </font>
              <border>
                <vertical/>
                <horizontal/>
              </border>
            </x14:dxf>
          </x14:cfRule>
          <xm:sqref>Z45:AA45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xr:uid="{43F81AAB-C477-4AC0-9043-4EBE84C31532}">
          <x14:formula1>
            <xm:f>_xlfn.ANCHORARRAY(Sheet_DoiTac!$E7)</xm:f>
          </x14:formula1>
          <xm:sqref>Q46</xm:sqref>
        </x14:dataValidation>
        <x14:dataValidation type="list" allowBlank="1" showInputMessage="1" showErrorMessage="1" xr:uid="{B862190F-7074-4431-B7CD-96C3A214C247}">
          <x14:formula1>
            <xm:f>_xlfn.ANCHORARRAY(Sheet_DoiTac!$E6)</xm:f>
          </x14:formula1>
          <xm:sqref>Q44</xm:sqref>
        </x14:dataValidation>
        <x14:dataValidation type="list" allowBlank="1" showInputMessage="1" showErrorMessage="1" xr:uid="{027C9157-CE31-47BF-B323-2C7168A989ED}">
          <x14:formula1>
            <xm:f>_xlfn.ANCHORARRAY(Sheet_DoiTac!$E6)</xm:f>
          </x14:formula1>
          <xm:sqref>D3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E99E5-1A89-479D-99BC-BF0D7F7F9EEB}">
  <sheetPr codeName="Sheet28">
    <tabColor theme="7"/>
  </sheetPr>
  <dimension ref="B1:AC5"/>
  <sheetViews>
    <sheetView showGridLines="0" workbookViewId="0">
      <selection activeCell="J13" sqref="J13"/>
    </sheetView>
  </sheetViews>
  <sheetFormatPr defaultRowHeight="18" customHeight="1" x14ac:dyDescent="0.3"/>
  <cols>
    <col min="1" max="1" width="9.625" style="7" customWidth="1"/>
    <col min="2" max="2" width="5.625" style="7" bestFit="1" customWidth="1"/>
    <col min="3" max="3" width="6" style="7" bestFit="1" customWidth="1"/>
    <col min="4" max="4" width="7.125" style="7" bestFit="1" customWidth="1"/>
    <col min="5" max="5" width="10.25" style="7" bestFit="1" customWidth="1"/>
    <col min="6" max="6" width="11.5" style="7" bestFit="1" customWidth="1"/>
    <col min="7" max="7" width="29" style="7" bestFit="1" customWidth="1"/>
    <col min="8" max="8" width="25.375" style="7" bestFit="1" customWidth="1"/>
    <col min="9" max="9" width="12.125" style="7" bestFit="1" customWidth="1"/>
    <col min="10" max="10" width="7.625" style="7" bestFit="1" customWidth="1"/>
    <col min="11" max="11" width="9.875" style="7" bestFit="1" customWidth="1"/>
    <col min="12" max="12" width="8.5" style="7" customWidth="1"/>
    <col min="13" max="13" width="17.75" style="7" customWidth="1"/>
    <col min="14" max="14" width="13.75" style="7" bestFit="1" customWidth="1"/>
    <col min="15" max="15" width="6.75" style="7" bestFit="1" customWidth="1"/>
    <col min="16" max="16" width="9.625" style="7" bestFit="1" customWidth="1"/>
    <col min="17" max="17" width="9" style="38"/>
    <col min="18" max="16384" width="9" style="7"/>
  </cols>
  <sheetData>
    <row r="1" spans="2:29" ht="24.75" customHeight="1" x14ac:dyDescent="0.3">
      <c r="B1" s="240"/>
      <c r="C1" s="240"/>
      <c r="D1" s="240"/>
      <c r="E1" s="240"/>
      <c r="F1" s="240"/>
      <c r="G1" s="240"/>
      <c r="H1" s="240"/>
      <c r="I1" s="240"/>
      <c r="J1" s="240"/>
      <c r="K1" s="240"/>
      <c r="L1" s="240"/>
      <c r="M1" s="240"/>
      <c r="N1" s="240"/>
      <c r="O1" s="240"/>
      <c r="P1" s="240"/>
      <c r="Q1" s="240"/>
      <c r="R1" s="240"/>
      <c r="S1" s="240"/>
      <c r="T1" s="240"/>
      <c r="U1" s="240"/>
      <c r="V1" s="240"/>
    </row>
    <row r="2" spans="2:29" ht="18" customHeight="1" x14ac:dyDescent="0.3">
      <c r="B2" s="240"/>
      <c r="C2" s="240"/>
      <c r="D2" s="240"/>
      <c r="E2" s="240"/>
      <c r="F2" s="240"/>
      <c r="G2" s="240"/>
      <c r="H2" s="240"/>
      <c r="I2" s="240"/>
      <c r="J2" s="240"/>
      <c r="K2" s="240"/>
      <c r="L2" s="240"/>
      <c r="M2" s="240"/>
      <c r="N2" s="240"/>
      <c r="O2" s="240"/>
      <c r="P2" s="240"/>
      <c r="Q2" s="240"/>
      <c r="R2" s="240"/>
      <c r="S2" s="240"/>
      <c r="T2" s="240"/>
      <c r="U2" s="240"/>
      <c r="V2" s="240"/>
    </row>
    <row r="3" spans="2:29" ht="18" customHeight="1" x14ac:dyDescent="0.3">
      <c r="B3" s="49">
        <f>IFERROR(
IF(ISBLANK(D3),
DATE(C3,12,1),
DATE(C3,D3,1)),0)</f>
        <v>336</v>
      </c>
      <c r="C3" s="243"/>
      <c r="D3" s="243"/>
      <c r="E3" s="395"/>
      <c r="F3" s="395"/>
      <c r="G3" s="243"/>
      <c r="H3" s="243"/>
      <c r="I3" s="243"/>
      <c r="J3" s="243"/>
      <c r="K3" s="278"/>
      <c r="L3" s="394">
        <v>0</v>
      </c>
      <c r="M3" s="48">
        <f>IFERROR(L3*(K3/(1+L3)),0)</f>
        <v>0</v>
      </c>
      <c r="N3" s="48">
        <f>IF(M3&lt;0, K3,K3-M3)</f>
        <v>0</v>
      </c>
      <c r="O3" s="279"/>
      <c r="P3" s="279"/>
      <c r="Q3" s="241"/>
      <c r="R3" s="240" cm="1">
        <f t="array" aca="1" ref="R3:AC3" ca="1" xml:space="preserve">
IF(ISBLANK(I3),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IF(I3="Khách hàng",TRANSPOSE(_xlfn._xlws.SORT(Table_KhachHang[Mã KH])),
IF(I3="NSNN", TRANSPOSE(_xlfn._xlws.SORT(Table_NopNS_NganSach[Loại thuế])),
TRANSPOSE(_xlfn._xlws.SORT(_xlfn._xlws.FILTER(Table_NhaCungCap[Mã Đối tác],Table_NhaCungCap[Loại đối tác]=I3,""
))))))</f>
        <v>0</v>
      </c>
      <c r="S3" s="240">
        <f ca="1"/>
        <v>0</v>
      </c>
      <c r="T3" s="240" t="str">
        <f ca="1"/>
        <v>TS1</v>
      </c>
      <c r="U3" s="240" t="str">
        <f ca="1"/>
        <v>TS2</v>
      </c>
      <c r="V3" s="240" t="str">
        <f ca="1"/>
        <v>TS3</v>
      </c>
      <c r="W3" s="7" t="str">
        <f ca="1"/>
        <v>TS4</v>
      </c>
      <c r="X3" s="7" t="str">
        <f ca="1"/>
        <v>TS5</v>
      </c>
      <c r="Y3" s="7" t="str">
        <f ca="1"/>
        <v>TS6</v>
      </c>
      <c r="Z3" s="7" t="str">
        <f ca="1"/>
        <v>VAY1</v>
      </c>
      <c r="AA3" s="7" t="str">
        <f ca="1"/>
        <v>VAY2</v>
      </c>
      <c r="AB3" s="7" t="str">
        <f ca="1"/>
        <v>VAY3</v>
      </c>
      <c r="AC3" s="7" t="str">
        <f ca="1"/>
        <v>VAY4</v>
      </c>
    </row>
    <row r="4" spans="2:29" ht="18" customHeight="1" x14ac:dyDescent="0.3">
      <c r="B4" s="7" t="s">
        <v>3</v>
      </c>
      <c r="C4" s="7" t="s">
        <v>2</v>
      </c>
      <c r="D4" s="7" t="s">
        <v>1</v>
      </c>
      <c r="E4" s="7" t="s">
        <v>640</v>
      </c>
      <c r="F4" s="7" t="s">
        <v>641</v>
      </c>
      <c r="G4" s="7" t="s">
        <v>765</v>
      </c>
      <c r="H4" s="7" t="s">
        <v>16</v>
      </c>
      <c r="I4" s="7" t="s">
        <v>556</v>
      </c>
      <c r="J4" s="7" t="s">
        <v>551</v>
      </c>
      <c r="K4" s="7" t="s">
        <v>21</v>
      </c>
      <c r="L4" s="7" t="s">
        <v>705</v>
      </c>
      <c r="M4" s="7" t="s">
        <v>766</v>
      </c>
      <c r="N4" s="7" t="s">
        <v>653</v>
      </c>
      <c r="O4" s="7" t="s">
        <v>873</v>
      </c>
      <c r="P4" s="7" t="s">
        <v>1243</v>
      </c>
      <c r="Q4" s="240"/>
      <c r="R4" s="240"/>
      <c r="S4" s="240"/>
      <c r="T4" s="240"/>
      <c r="U4" s="240"/>
      <c r="V4" s="240"/>
    </row>
    <row r="5" spans="2:29" ht="18" customHeight="1" x14ac:dyDescent="0.3">
      <c r="B5" s="49">
        <f>IFERROR(
IF(ISBLANK(Table_LaiKhac[[#This Row],[Tháng]]),
DATE(Table_LaiKhac[[#This Row],[Năm]],12,1),
DATE(Table_LaiKhac[[#This Row],[Năm]],Table_LaiKhac[[#This Row],[Tháng]],1)),0)</f>
        <v>336</v>
      </c>
      <c r="C5" s="240"/>
      <c r="D5" s="243"/>
      <c r="E5" s="342"/>
      <c r="F5" s="342"/>
      <c r="G5" s="240"/>
      <c r="H5" s="243"/>
      <c r="I5" s="240"/>
      <c r="J5" s="243"/>
      <c r="K5" s="243"/>
      <c r="L5" s="118"/>
      <c r="M5" s="120">
        <f>IFERROR(Table_LaiKhac[[#This Row],[Tỷ suất VAT]]*(Table_LaiKhac[[#This Row],[Giá trị]]/(1+Table_LaiKhac[[#This Row],[Tỷ suất VAT]])),0)</f>
        <v>0</v>
      </c>
      <c r="N5" s="120">
        <f>IF(Table_LaiKhac[[#This Row],[Giá trị]] &lt;0,
Table_LaiKhac[[#This Row],[Giá trị]],
Table_LaiKhac[[#This Row],[Giá trị]] -Table_LaiKhac[[#This Row],[Giá trị VAT]]
)</f>
        <v>0</v>
      </c>
      <c r="O5" s="243"/>
      <c r="P5" s="341">
        <f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f>
        <v>0</v>
      </c>
      <c r="Q5" s="240"/>
      <c r="R5" s="240"/>
      <c r="S5" s="240"/>
      <c r="T5" s="240"/>
      <c r="U5" s="240"/>
      <c r="V5" s="240"/>
    </row>
  </sheetData>
  <sheetProtection algorithmName="SHA-512" hashValue="+1ovBVpIVc3ItxwT0E9Z7UV8hbUELao5ufv0ocmSqy9cJeHdtJDD5sstIF2ZGz1iHQSrcQU/4CDXjHi9lSIG6w==" saltValue="GMQ17ErKhSMme7z9opevhQ==" spinCount="100000" sheet="1" scenarios="1" formatCells="0" formatColumns="0" formatRows="0" insertColumns="0" insertRows="0" deleteColumns="0" deleteRows="0" sort="0" autoFilter="0" pivotTables="0"/>
  <phoneticPr fontId="14" type="noConversion"/>
  <dataValidations count="2">
    <dataValidation type="list" errorStyle="warning" allowBlank="1" showInputMessage="1" showErrorMessage="1" sqref="J3" xr:uid="{7EF1DD4D-CE28-4449-910B-259F92EA23B2}">
      <formula1>_xlfn.ANCHORARRAY($R$3)</formula1>
    </dataValidation>
    <dataValidation type="list" errorStyle="warning" allowBlank="1" showInputMessage="1" sqref="J5" xr:uid="{9B5037E8-7041-43F2-93F5-11246BC5E413}">
      <formula1>_xlfn.ANCHORARRAY($R$3)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9" r:id="rId4" name="Button 5">
              <controlPr defaultSize="0" print="0" autoFill="0" autoPict="0" macro="[0]!CopyToTable">
                <anchor moveWithCells="1">
                  <from>
                    <xdr:col>14</xdr:col>
                    <xdr:colOff>104775</xdr:colOff>
                    <xdr:row>1</xdr:row>
                    <xdr:rowOff>219075</xdr:rowOff>
                  </from>
                  <to>
                    <xdr:col>15</xdr:col>
                    <xdr:colOff>133350</xdr:colOff>
                    <xdr:row>3</xdr:row>
                    <xdr:rowOff>19050</xdr:rowOff>
                  </to>
                </anchor>
              </controlPr>
            </control>
          </mc:Choice>
        </mc:AlternateContent>
        <mc:AlternateContent xmlns:mc="http://schemas.openxmlformats.org/markup-compatibility/2006">
          <mc:Choice Requires="x14">
            <control shapeId="72720" r:id="rId5" name="Option Button 16">
              <controlPr defaultSize="0" autoFill="0" autoLine="0" autoPict="0" macro="[0]!DoiDonViHienThi">
                <anchor moveWithCells="1">
                  <from>
                    <xdr:col>4</xdr:col>
                    <xdr:colOff>447675</xdr:colOff>
                    <xdr:row>0</xdr:row>
                    <xdr:rowOff>152400</xdr:rowOff>
                  </from>
                  <to>
                    <xdr:col>5</xdr:col>
                    <xdr:colOff>257175</xdr:colOff>
                    <xdr:row>1</xdr:row>
                    <xdr:rowOff>114300</xdr:rowOff>
                  </to>
                </anchor>
              </controlPr>
            </control>
          </mc:Choice>
        </mc:AlternateContent>
        <mc:AlternateContent xmlns:mc="http://schemas.openxmlformats.org/markup-compatibility/2006">
          <mc:Choice Requires="x14">
            <control shapeId="72721" r:id="rId6" name="Option Button 17">
              <controlPr defaultSize="0" autoFill="0" autoLine="0" autoPict="0" macro="[0]!DoiDonViHienThi">
                <anchor moveWithCells="1">
                  <from>
                    <xdr:col>5</xdr:col>
                    <xdr:colOff>133350</xdr:colOff>
                    <xdr:row>0</xdr:row>
                    <xdr:rowOff>152400</xdr:rowOff>
                  </from>
                  <to>
                    <xdr:col>5</xdr:col>
                    <xdr:colOff>723900</xdr:colOff>
                    <xdr:row>1</xdr:row>
                    <xdr:rowOff>114300</xdr:rowOff>
                  </to>
                </anchor>
              </controlPr>
            </control>
          </mc:Choice>
        </mc:AlternateContent>
        <mc:AlternateContent xmlns:mc="http://schemas.openxmlformats.org/markup-compatibility/2006">
          <mc:Choice Requires="x14">
            <control shapeId="72722" r:id="rId7" name="Option Button 18">
              <controlPr defaultSize="0" autoFill="0" autoLine="0" autoPict="0" macro="[0]!DoiDonViHienThi">
                <anchor moveWithCells="1">
                  <from>
                    <xdr:col>5</xdr:col>
                    <xdr:colOff>600075</xdr:colOff>
                    <xdr:row>0</xdr:row>
                    <xdr:rowOff>152400</xdr:rowOff>
                  </from>
                  <to>
                    <xdr:col>6</xdr:col>
                    <xdr:colOff>314325</xdr:colOff>
                    <xdr:row>1</xdr:row>
                    <xdr:rowOff>114300</xdr:rowOff>
                  </to>
                </anchor>
              </controlPr>
            </control>
          </mc:Choice>
        </mc:AlternateContent>
        <mc:AlternateContent xmlns:mc="http://schemas.openxmlformats.org/markup-compatibility/2006">
          <mc:Choice Requires="x14">
            <control shapeId="72723" r:id="rId8" name="Option Button 19">
              <controlPr defaultSize="0" autoFill="0" autoLine="0" autoPict="0" macro="[0]!DoiDonViHienThi">
                <anchor moveWithCells="1">
                  <from>
                    <xdr:col>6</xdr:col>
                    <xdr:colOff>200025</xdr:colOff>
                    <xdr:row>0</xdr:row>
                    <xdr:rowOff>152400</xdr:rowOff>
                  </from>
                  <to>
                    <xdr:col>6</xdr:col>
                    <xdr:colOff>552450</xdr:colOff>
                    <xdr:row>1</xdr:row>
                    <xdr:rowOff>114300</xdr:rowOff>
                  </to>
                </anchor>
              </controlPr>
            </control>
          </mc:Choice>
        </mc:AlternateContent>
        <mc:AlternateContent xmlns:mc="http://schemas.openxmlformats.org/markup-compatibility/2006">
          <mc:Choice Requires="x14">
            <control shapeId="72724" r:id="rId9" name="Group Box 20">
              <controlPr defaultSize="0" autoFill="0" autoPict="0">
                <anchor moveWithCells="1">
                  <from>
                    <xdr:col>4</xdr:col>
                    <xdr:colOff>333375</xdr:colOff>
                    <xdr:row>0</xdr:row>
                    <xdr:rowOff>104775</xdr:rowOff>
                  </from>
                  <to>
                    <xdr:col>6</xdr:col>
                    <xdr:colOff>666750</xdr:colOff>
                    <xdr:row>1</xdr:row>
                    <xdr:rowOff>152400</xdr:rowOff>
                  </to>
                </anchor>
              </controlPr>
            </control>
          </mc:Choice>
        </mc:AlternateContent>
        <mc:AlternateContent xmlns:mc="http://schemas.openxmlformats.org/markup-compatibility/2006">
          <mc:Choice Requires="x14">
            <control shapeId="72725" r:id="rId10" name="Group Box 21">
              <controlPr defaultSize="0" autoFill="0" autoPict="0">
                <anchor moveWithCells="1">
                  <from>
                    <xdr:col>1</xdr:col>
                    <xdr:colOff>57150</xdr:colOff>
                    <xdr:row>0</xdr:row>
                    <xdr:rowOff>104775</xdr:rowOff>
                  </from>
                  <to>
                    <xdr:col>4</xdr:col>
                    <xdr:colOff>285750</xdr:colOff>
                    <xdr:row>1</xdr:row>
                    <xdr:rowOff>152400</xdr:rowOff>
                  </to>
                </anchor>
              </controlPr>
            </control>
          </mc:Choice>
        </mc:AlternateContent>
        <mc:AlternateContent xmlns:mc="http://schemas.openxmlformats.org/markup-compatibility/2006">
          <mc:Choice Requires="x14">
            <control shapeId="72726" r:id="rId11" name="Button 22">
              <controlPr defaultSize="0" autoFill="0" autoPict="0" macro="[0]!NhanNghin">
                <anchor moveWithCells="1">
                  <from>
                    <xdr:col>1</xdr:col>
                    <xdr:colOff>142875</xdr:colOff>
                    <xdr:row>0</xdr:row>
                    <xdr:rowOff>200025</xdr:rowOff>
                  </from>
                  <to>
                    <xdr:col>2</xdr:col>
                    <xdr:colOff>180975</xdr:colOff>
                    <xdr:row>1</xdr:row>
                    <xdr:rowOff>57150</xdr:rowOff>
                  </to>
                </anchor>
              </controlPr>
            </control>
          </mc:Choice>
        </mc:AlternateContent>
        <mc:AlternateContent xmlns:mc="http://schemas.openxmlformats.org/markup-compatibility/2006">
          <mc:Choice Requires="x14">
            <control shapeId="72727" r:id="rId12" name="Button 23">
              <controlPr defaultSize="0" autoFill="0" autoPict="0" macro="[0]!NhanTrieu">
                <anchor moveWithCells="1">
                  <from>
                    <xdr:col>2</xdr:col>
                    <xdr:colOff>228600</xdr:colOff>
                    <xdr:row>0</xdr:row>
                    <xdr:rowOff>200025</xdr:rowOff>
                  </from>
                  <to>
                    <xdr:col>3</xdr:col>
                    <xdr:colOff>238125</xdr:colOff>
                    <xdr:row>1</xdr:row>
                    <xdr:rowOff>57150</xdr:rowOff>
                  </to>
                </anchor>
              </controlPr>
            </control>
          </mc:Choice>
        </mc:AlternateContent>
        <mc:AlternateContent xmlns:mc="http://schemas.openxmlformats.org/markup-compatibility/2006">
          <mc:Choice Requires="x14">
            <control shapeId="72728" r:id="rId13" name="Button 24">
              <controlPr defaultSize="0" autoFill="0" autoPict="0" macro="[0]!NhanTy">
                <anchor moveWithCells="1">
                  <from>
                    <xdr:col>3</xdr:col>
                    <xdr:colOff>285750</xdr:colOff>
                    <xdr:row>0</xdr:row>
                    <xdr:rowOff>200025</xdr:rowOff>
                  </from>
                  <to>
                    <xdr:col>4</xdr:col>
                    <xdr:colOff>209550</xdr:colOff>
                    <xdr:row>1</xdr:row>
                    <xdr:rowOff>57150</xdr:rowOff>
                  </to>
                </anchor>
              </controlPr>
            </control>
          </mc:Choice>
        </mc:AlternateContent>
        <mc:AlternateContent xmlns:mc="http://schemas.openxmlformats.org/markup-compatibility/2006">
          <mc:Choice Requires="x14">
            <control shapeId="72729" r:id="rId14" name="Button 25">
              <controlPr defaultSize="0" print="0" autoFill="0" autoPict="0" macro="[0]!AddRow">
                <anchor moveWithCells="1">
                  <from>
                    <xdr:col>6</xdr:col>
                    <xdr:colOff>942975</xdr:colOff>
                    <xdr:row>0</xdr:row>
                    <xdr:rowOff>152400</xdr:rowOff>
                  </from>
                  <to>
                    <xdr:col>6</xdr:col>
                    <xdr:colOff>1419225</xdr:colOff>
                    <xdr:row>1</xdr:row>
                    <xdr:rowOff>95250</xdr:rowOff>
                  </to>
                </anchor>
              </controlPr>
            </control>
          </mc:Choice>
        </mc:AlternateContent>
        <mc:AlternateContent xmlns:mc="http://schemas.openxmlformats.org/markup-compatibility/2006">
          <mc:Choice Requires="x14">
            <control shapeId="72730" r:id="rId15" name="Button 26">
              <controlPr defaultSize="0" print="0" autoFill="0" autoPict="0" macro="[0]!DeleteRow">
                <anchor moveWithCells="1">
                  <from>
                    <xdr:col>6</xdr:col>
                    <xdr:colOff>1457325</xdr:colOff>
                    <xdr:row>0</xdr:row>
                    <xdr:rowOff>152400</xdr:rowOff>
                  </from>
                  <to>
                    <xdr:col>6</xdr:col>
                    <xdr:colOff>1933575</xdr:colOff>
                    <xdr:row>1</xdr:row>
                    <xdr:rowOff>95250</xdr:rowOff>
                  </to>
                </anchor>
              </controlPr>
            </control>
          </mc:Choice>
        </mc:AlternateContent>
        <mc:AlternateContent xmlns:mc="http://schemas.openxmlformats.org/markup-compatibility/2006">
          <mc:Choice Requires="x14">
            <control shapeId="72731" r:id="rId16" name="Button 27">
              <controlPr defaultSize="0" print="0" autoFill="0" autoPict="0" macro="[0]!AddColumn">
                <anchor moveWithCells="1">
                  <from>
                    <xdr:col>14</xdr:col>
                    <xdr:colOff>104775</xdr:colOff>
                    <xdr:row>0</xdr:row>
                    <xdr:rowOff>171450</xdr:rowOff>
                  </from>
                  <to>
                    <xdr:col>15</xdr:col>
                    <xdr:colOff>104775</xdr:colOff>
                    <xdr:row>1</xdr:row>
                    <xdr:rowOff>114300</xdr:rowOff>
                  </to>
                </anchor>
              </controlPr>
            </control>
          </mc:Choice>
        </mc:AlternateContent>
        <mc:AlternateContent xmlns:mc="http://schemas.openxmlformats.org/markup-compatibility/2006">
          <mc:Choice Requires="x14">
            <control shapeId="72732" r:id="rId17" name="Button 28">
              <controlPr defaultSize="0" print="0" autoFill="0" autoPict="0" macro="[0]!DeleteColumn">
                <anchor moveWithCells="1">
                  <from>
                    <xdr:col>15</xdr:col>
                    <xdr:colOff>142875</xdr:colOff>
                    <xdr:row>0</xdr:row>
                    <xdr:rowOff>171450</xdr:rowOff>
                  </from>
                  <to>
                    <xdr:col>15</xdr:col>
                    <xdr:colOff>685800</xdr:colOff>
                    <xdr:row>1</xdr:row>
                    <xdr:rowOff>114300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374EB0E6-AF6C-4597-A646-3FFD21BF7543}">
            <xm:f>Security!$A$1="NO VBA"</xm:f>
            <x14:dxf>
              <font>
                <color theme="0"/>
              </font>
              <border>
                <vertical/>
                <horizontal/>
              </border>
            </x14:dxf>
          </x14:cfRule>
          <xm:sqref>A4:N4 P4:XFD4 A1:XFD3 B8:P1048576 B7:J7 L7:P7 A5:XFD5 A6:A1048576 Q6:XFD1048576 B6:P6</xm:sqref>
        </x14:conditionalFormatting>
        <x14:conditionalFormatting xmlns:xm="http://schemas.microsoft.com/office/excel/2006/main">
          <x14:cfRule type="expression" priority="1" id="{38D9FD3C-196C-422B-B503-AB40050AEC8F}">
            <xm:f>Security!$A$1="NO VBA"</xm:f>
            <x14:dxf>
              <font>
                <color theme="0"/>
              </font>
              <border>
                <vertical/>
                <horizontal/>
              </border>
            </x14:dxf>
          </x14:cfRule>
          <xm:sqref>O4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DF006B4-A436-4B7F-8C54-CD4BEB30C5AA}">
          <x14:formula1>
            <xm:f>Sheet_BaoCaoTaiChinh!$C$39:$C$43</xm:f>
          </x14:formula1>
          <xm:sqref>G3 G5</xm:sqref>
        </x14:dataValidation>
        <x14:dataValidation type="list" errorStyle="warning" allowBlank="1" showInputMessage="1" showErrorMessage="1" xr:uid="{146DB521-C84A-4FEB-A21E-C00AE94C05B4}">
          <x14:formula1>
            <xm:f>Sheet_ThuChiKD!$G$14:$G$26</xm:f>
          </x14:formula1>
          <xm:sqref>I3 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8B55-1E94-45FD-9A66-458442C99A89}">
  <sheetPr codeName="Sheet29">
    <tabColor theme="7"/>
    <outlinePr summaryRight="0"/>
  </sheetPr>
  <dimension ref="A1:P519"/>
  <sheetViews>
    <sheetView showGridLines="0" workbookViewId="0">
      <selection activeCell="J37" sqref="J37"/>
    </sheetView>
  </sheetViews>
  <sheetFormatPr defaultRowHeight="18" customHeight="1" outlineLevelRow="1" outlineLevelCol="1" x14ac:dyDescent="0.15"/>
  <cols>
    <col min="1" max="1" width="9.625" style="1" customWidth="1"/>
    <col min="2" max="2" width="5.375" style="28" bestFit="1" customWidth="1"/>
    <col min="3" max="3" width="15.25" style="28" bestFit="1" customWidth="1"/>
    <col min="4" max="4" width="8.875" style="7" bestFit="1" customWidth="1"/>
    <col min="5" max="5" width="8.125" style="7" bestFit="1" customWidth="1"/>
    <col min="6" max="6" width="32.25" style="7" customWidth="1"/>
    <col min="7" max="7" width="15.5" style="7" customWidth="1"/>
    <col min="8" max="8" width="7.625" style="44" bestFit="1" customWidth="1"/>
    <col min="9" max="9" width="7.125" style="7" bestFit="1" customWidth="1"/>
    <col min="10" max="10" width="16.625" style="7" customWidth="1"/>
    <col min="11" max="11" width="10.75" style="28" customWidth="1" outlineLevel="1"/>
    <col min="12" max="12" width="7.5" style="28" customWidth="1" outlineLevel="1"/>
    <col min="13" max="13" width="16.625" style="28" customWidth="1" outlineLevel="1"/>
    <col min="14" max="14" width="16.25" style="7" customWidth="1"/>
    <col min="15" max="16384" width="9" style="7"/>
  </cols>
  <sheetData>
    <row r="1" spans="1:16" s="46" customFormat="1" ht="29.25" customHeight="1" x14ac:dyDescent="0.3">
      <c r="A1" s="301"/>
      <c r="B1" s="299">
        <v>0</v>
      </c>
      <c r="C1" s="299">
        <f t="shared" ref="C1:M1" si="0">+B1+1</f>
        <v>1</v>
      </c>
      <c r="D1" s="299">
        <f t="shared" si="0"/>
        <v>2</v>
      </c>
      <c r="E1" s="299">
        <f t="shared" si="0"/>
        <v>3</v>
      </c>
      <c r="F1" s="299">
        <f t="shared" si="0"/>
        <v>4</v>
      </c>
      <c r="G1" s="299">
        <f t="shared" si="0"/>
        <v>5</v>
      </c>
      <c r="H1" s="299">
        <f t="shared" si="0"/>
        <v>6</v>
      </c>
      <c r="I1" s="299">
        <f t="shared" si="0"/>
        <v>7</v>
      </c>
      <c r="J1" s="299">
        <f t="shared" si="0"/>
        <v>8</v>
      </c>
      <c r="K1" s="299">
        <f t="shared" si="0"/>
        <v>9</v>
      </c>
      <c r="L1" s="299">
        <f t="shared" si="0"/>
        <v>10</v>
      </c>
      <c r="M1" s="299">
        <f t="shared" si="0"/>
        <v>11</v>
      </c>
      <c r="N1" s="299"/>
      <c r="O1" s="299"/>
      <c r="P1" s="299"/>
    </row>
    <row r="2" spans="1:16" ht="18" customHeight="1" x14ac:dyDescent="0.3">
      <c r="A2" s="273"/>
      <c r="B2" s="246"/>
      <c r="C2" s="246"/>
      <c r="D2" s="247"/>
      <c r="E2" s="247"/>
      <c r="F2" s="247"/>
      <c r="G2" s="247"/>
      <c r="H2" s="247"/>
      <c r="I2" s="247"/>
      <c r="J2" s="247"/>
      <c r="K2" s="247"/>
      <c r="L2" s="247"/>
      <c r="M2" s="247"/>
      <c r="N2" s="247"/>
      <c r="O2" s="247"/>
      <c r="P2" s="240"/>
    </row>
    <row r="3" spans="1:16" ht="18" customHeight="1" outlineLevel="1" x14ac:dyDescent="0.15">
      <c r="A3" s="273"/>
      <c r="B3" s="246"/>
      <c r="C3" s="246"/>
      <c r="D3" s="240"/>
      <c r="E3" s="7" t="s">
        <v>638</v>
      </c>
      <c r="F3" s="7" t="s">
        <v>767</v>
      </c>
      <c r="G3" s="240"/>
      <c r="H3" s="263"/>
      <c r="I3" s="240"/>
      <c r="J3" s="240"/>
      <c r="K3" s="246"/>
      <c r="L3" s="246"/>
      <c r="M3" s="246"/>
      <c r="N3" s="240"/>
      <c r="O3" s="240"/>
      <c r="P3" s="240"/>
    </row>
    <row r="4" spans="1:16" ht="18" customHeight="1" outlineLevel="1" x14ac:dyDescent="0.15">
      <c r="A4" s="273"/>
      <c r="B4" s="246"/>
      <c r="C4" s="246"/>
      <c r="D4" s="240"/>
      <c r="E4" s="240">
        <v>1</v>
      </c>
      <c r="F4" s="7" t="s">
        <v>403</v>
      </c>
      <c r="G4" s="240"/>
      <c r="H4" s="263"/>
      <c r="I4" s="240"/>
      <c r="J4" s="240"/>
      <c r="K4" s="246"/>
      <c r="L4" s="246"/>
      <c r="M4" s="246"/>
      <c r="N4" s="240"/>
      <c r="O4" s="240"/>
      <c r="P4" s="240"/>
    </row>
    <row r="5" spans="1:16" ht="18" customHeight="1" outlineLevel="1" x14ac:dyDescent="0.15">
      <c r="A5" s="273"/>
      <c r="B5" s="246"/>
      <c r="C5" s="246"/>
      <c r="D5" s="240"/>
      <c r="E5" s="240">
        <v>2</v>
      </c>
      <c r="F5" s="7" t="s">
        <v>405</v>
      </c>
      <c r="G5" s="240"/>
      <c r="H5" s="263"/>
      <c r="I5" s="240"/>
      <c r="J5" s="240"/>
      <c r="K5" s="246"/>
      <c r="L5" s="246"/>
      <c r="M5" s="246"/>
      <c r="N5" s="240"/>
      <c r="O5" s="240"/>
      <c r="P5" s="240"/>
    </row>
    <row r="6" spans="1:16" ht="18" customHeight="1" outlineLevel="1" x14ac:dyDescent="0.15">
      <c r="A6" s="273"/>
      <c r="B6" s="246"/>
      <c r="C6" s="246"/>
      <c r="D6" s="240"/>
      <c r="E6" s="240">
        <v>3</v>
      </c>
      <c r="F6" s="7" t="s">
        <v>406</v>
      </c>
      <c r="G6" s="240"/>
      <c r="H6" s="263"/>
      <c r="I6" s="240"/>
      <c r="J6" s="240"/>
      <c r="K6" s="246"/>
      <c r="L6" s="246"/>
      <c r="M6" s="246"/>
      <c r="N6" s="240"/>
      <c r="O6" s="240"/>
      <c r="P6" s="240"/>
    </row>
    <row r="7" spans="1:16" ht="18" customHeight="1" outlineLevel="1" x14ac:dyDescent="0.15">
      <c r="A7" s="274"/>
      <c r="B7" s="246"/>
      <c r="C7" s="246"/>
      <c r="D7" s="240"/>
      <c r="E7" s="240">
        <v>4</v>
      </c>
      <c r="F7" s="7" t="s">
        <v>407</v>
      </c>
      <c r="G7" s="240"/>
      <c r="H7" s="263"/>
      <c r="I7" s="240"/>
      <c r="J7" s="240"/>
      <c r="K7" s="246"/>
      <c r="L7" s="246"/>
      <c r="M7" s="246"/>
      <c r="N7" s="240"/>
      <c r="O7" s="240"/>
      <c r="P7" s="240"/>
    </row>
    <row r="8" spans="1:16" ht="18" customHeight="1" outlineLevel="1" x14ac:dyDescent="0.15">
      <c r="A8" s="274"/>
      <c r="B8" s="246"/>
      <c r="C8" s="246"/>
      <c r="D8" s="240"/>
      <c r="E8" s="240">
        <v>5</v>
      </c>
      <c r="F8" s="7" t="s">
        <v>408</v>
      </c>
      <c r="G8" s="240"/>
      <c r="H8" s="263"/>
      <c r="I8" s="240"/>
      <c r="J8" s="240"/>
      <c r="K8" s="246"/>
      <c r="L8" s="246"/>
      <c r="M8" s="246"/>
      <c r="N8" s="240"/>
      <c r="O8" s="240"/>
      <c r="P8" s="240"/>
    </row>
    <row r="9" spans="1:16" ht="18" customHeight="1" outlineLevel="1" x14ac:dyDescent="0.15">
      <c r="A9" s="274"/>
      <c r="B9" s="246"/>
      <c r="C9" s="246"/>
      <c r="D9" s="240"/>
      <c r="E9" s="240">
        <v>6</v>
      </c>
      <c r="F9" s="7" t="s">
        <v>409</v>
      </c>
      <c r="G9" s="240"/>
      <c r="H9" s="263"/>
      <c r="I9" s="240"/>
      <c r="J9" s="240"/>
      <c r="K9" s="246"/>
      <c r="L9" s="246"/>
      <c r="M9" s="246"/>
      <c r="N9" s="240"/>
      <c r="O9" s="240"/>
      <c r="P9" s="240"/>
    </row>
    <row r="10" spans="1:16" ht="18" customHeight="1" outlineLevel="1" x14ac:dyDescent="0.15">
      <c r="A10" s="274"/>
      <c r="B10" s="246"/>
      <c r="C10" s="246"/>
      <c r="D10" s="240"/>
      <c r="E10" s="240">
        <v>7</v>
      </c>
      <c r="F10" s="7" t="s">
        <v>307</v>
      </c>
      <c r="G10" s="240"/>
      <c r="H10" s="263"/>
      <c r="I10" s="240"/>
      <c r="J10" s="240"/>
      <c r="K10" s="246"/>
      <c r="L10" s="246"/>
      <c r="M10" s="246"/>
      <c r="N10" s="240"/>
      <c r="O10" s="240"/>
      <c r="P10" s="240"/>
    </row>
    <row r="11" spans="1:16" ht="18" customHeight="1" outlineLevel="1" x14ac:dyDescent="0.15">
      <c r="A11" s="274"/>
      <c r="B11" s="246"/>
      <c r="C11" s="246"/>
      <c r="D11" s="240"/>
      <c r="E11" s="240">
        <v>8</v>
      </c>
      <c r="F11" s="7" t="s">
        <v>412</v>
      </c>
      <c r="G11" s="240"/>
      <c r="H11" s="263"/>
      <c r="I11" s="240"/>
      <c r="J11" s="240"/>
      <c r="K11" s="246"/>
      <c r="L11" s="246"/>
      <c r="M11" s="246"/>
      <c r="N11" s="240"/>
      <c r="O11" s="240"/>
      <c r="P11" s="240"/>
    </row>
    <row r="12" spans="1:16" ht="18" customHeight="1" outlineLevel="1" x14ac:dyDescent="0.15">
      <c r="A12" s="274"/>
      <c r="B12" s="246"/>
      <c r="C12" s="246"/>
      <c r="D12" s="240"/>
      <c r="E12" s="12" t="s">
        <v>280</v>
      </c>
      <c r="F12" s="240"/>
      <c r="G12" s="240"/>
      <c r="H12" s="263"/>
      <c r="I12" s="240"/>
      <c r="J12" s="240"/>
      <c r="K12" s="246"/>
      <c r="L12" s="246"/>
      <c r="M12" s="246"/>
      <c r="N12" s="240"/>
      <c r="O12" s="240"/>
      <c r="P12" s="240"/>
    </row>
    <row r="13" spans="1:16" s="112" customFormat="1" ht="18" customHeight="1" x14ac:dyDescent="0.15">
      <c r="A13" s="275"/>
      <c r="B13" s="276"/>
      <c r="C13" s="276"/>
      <c r="D13" s="270"/>
      <c r="E13" s="270"/>
      <c r="F13" s="270"/>
      <c r="G13" s="270"/>
      <c r="H13" s="277"/>
      <c r="I13" s="270"/>
      <c r="J13" s="270"/>
      <c r="K13" s="276"/>
      <c r="L13" s="276"/>
      <c r="M13" s="276"/>
      <c r="N13" s="270"/>
      <c r="O13" s="270"/>
      <c r="P13" s="270"/>
    </row>
    <row r="14" spans="1:16" s="112" customFormat="1" ht="18" hidden="1" customHeight="1" outlineLevel="1" x14ac:dyDescent="0.15">
      <c r="A14" s="275"/>
      <c r="B14" s="276"/>
      <c r="C14" s="276"/>
      <c r="D14" s="270"/>
      <c r="E14" s="270"/>
      <c r="F14" s="270"/>
      <c r="G14" s="112" t="s">
        <v>172</v>
      </c>
      <c r="H14" s="277" t="str" cm="1">
        <f t="array" ref="H14:J14">IF(G14="Khách hàng",TRANSPOSE(_xlfn._xlws.SORT(Table_KhachHang[Mã KH])),
TRANSPOSE(_xlfn._xlws.SORT(_xlfn._xlws.FILTER(Table_NhaCungCap[Mã Đối tác],Table_NhaCungCap[Loại đối tác]=Sheet_ThuChiKD!G14,""))))</f>
        <v>KH1</v>
      </c>
      <c r="I14" s="270" t="str">
        <v>KH2</v>
      </c>
      <c r="J14" s="270" t="str">
        <v>KH3</v>
      </c>
      <c r="K14" s="276"/>
      <c r="L14" s="276"/>
      <c r="M14" s="276"/>
      <c r="N14" s="270"/>
      <c r="O14" s="270"/>
      <c r="P14" s="270"/>
    </row>
    <row r="15" spans="1:16" s="112" customFormat="1" ht="18" hidden="1" customHeight="1" outlineLevel="1" x14ac:dyDescent="0.15">
      <c r="A15" s="275"/>
      <c r="B15" s="276"/>
      <c r="C15" s="276"/>
      <c r="D15" s="270"/>
      <c r="E15" s="270"/>
      <c r="F15" s="270"/>
      <c r="G15" s="112" t="str">
        <f>Sheet_DoiTac!D3</f>
        <v>Hàng hóa - Nguyên liệu vật tư</v>
      </c>
      <c r="H15" s="175" t="str" cm="1">
        <f t="array" ref="H15:J15">IF(G15="Khách hàng",TRANSPOSE(_xlfn._xlws.SORT(Table_KhachHang[Mã KH])),
IF(G15="NSNN", TRANSPOSE(_xlfn._xlws.SORT(Sheet_PhaiTra!#REF!)),
TRANSPOSE(_xlfn._xlws.SORT(_xlfn._xlws.FILTER(Table_NhaCungCap[Mã Đối tác],Table_NhaCungCap[Loại đối tác]=Sheet_ThuChiKD!G15,"")))))</f>
        <v>NCC1</v>
      </c>
      <c r="I15" s="270" t="str">
        <v>NCC2</v>
      </c>
      <c r="J15" s="270" t="str">
        <v>NCC3</v>
      </c>
      <c r="K15" s="276"/>
      <c r="L15" s="276"/>
      <c r="M15" s="276"/>
      <c r="N15" s="270"/>
      <c r="O15" s="270"/>
      <c r="P15" s="270"/>
    </row>
    <row r="16" spans="1:16" s="112" customFormat="1" ht="18" hidden="1" customHeight="1" outlineLevel="1" x14ac:dyDescent="0.15">
      <c r="A16" s="275"/>
      <c r="B16" s="276"/>
      <c r="C16" s="276"/>
      <c r="D16" s="270"/>
      <c r="E16" s="270"/>
      <c r="F16" s="270"/>
      <c r="G16" s="112" t="str">
        <f>Sheet_DoiTac!D4</f>
        <v>Nhân viên</v>
      </c>
      <c r="H16" s="175" t="str" cm="1">
        <f t="array" ref="H16">IF(G16="Khách hàng",TRANSPOSE(_xlfn._xlws.SORT(Table_KhachHang[Mã KH])),
TRANSPOSE(_xlfn._xlws.SORT(_xlfn._xlws.FILTER(Table_NhaCungCap[Mã Đối tác],Table_NhaCungCap[Loại đối tác]=Sheet_ThuChiKD!G16,""))))</f>
        <v/>
      </c>
      <c r="I16" s="270"/>
      <c r="J16" s="270"/>
      <c r="K16" s="276"/>
      <c r="L16" s="276"/>
      <c r="M16" s="276"/>
      <c r="N16" s="270"/>
      <c r="O16" s="270"/>
      <c r="P16" s="270"/>
    </row>
    <row r="17" spans="1:16" s="112" customFormat="1" ht="18" hidden="1" customHeight="1" outlineLevel="1" x14ac:dyDescent="0.15">
      <c r="A17" s="275"/>
      <c r="B17" s="276"/>
      <c r="C17" s="276"/>
      <c r="D17" s="270"/>
      <c r="E17" s="270"/>
      <c r="F17" s="270"/>
      <c r="G17" s="112" t="str">
        <f>Sheet_DoiTac!D5</f>
        <v>Kênh phân phối</v>
      </c>
      <c r="H17" s="175" t="str" cm="1">
        <f t="array" ref="H17">IF(G17="Khách hàng",TRANSPOSE(_xlfn._xlws.SORT(Table_KhachHang[Mã KH])),
TRANSPOSE(_xlfn._xlws.SORT(_xlfn._xlws.FILTER(Table_NhaCungCap[Mã Đối tác],Table_NhaCungCap[Loại đối tác]=Sheet_ThuChiKD!G17,""))))</f>
        <v/>
      </c>
      <c r="I17" s="270"/>
      <c r="J17" s="270"/>
      <c r="K17" s="276"/>
      <c r="L17" s="276"/>
      <c r="M17" s="276"/>
      <c r="N17" s="270"/>
      <c r="O17" s="270"/>
      <c r="P17" s="270"/>
    </row>
    <row r="18" spans="1:16" s="112" customFormat="1" ht="18" hidden="1" customHeight="1" outlineLevel="1" x14ac:dyDescent="0.15">
      <c r="A18" s="275"/>
      <c r="B18" s="276"/>
      <c r="C18" s="276"/>
      <c r="D18" s="270"/>
      <c r="E18" s="270"/>
      <c r="F18" s="270"/>
      <c r="G18" s="112" t="str">
        <f>Sheet_DoiTac!D6</f>
        <v>Vận tải</v>
      </c>
      <c r="H18" s="175" t="str" cm="1">
        <f t="array" ref="H18">IF(G18="Khách hàng",TRANSPOSE(_xlfn._xlws.SORT(Table_KhachHang[Mã KH])),
TRANSPOSE(_xlfn._xlws.SORT(_xlfn._xlws.FILTER(Table_NhaCungCap[Mã Đối tác],Table_NhaCungCap[Loại đối tác]=Sheet_ThuChiKD!G18,""))))</f>
        <v/>
      </c>
      <c r="I18" s="270"/>
      <c r="J18" s="270"/>
      <c r="K18" s="276"/>
      <c r="L18" s="276"/>
      <c r="M18" s="276"/>
      <c r="N18" s="270"/>
      <c r="O18" s="270"/>
      <c r="P18" s="270"/>
    </row>
    <row r="19" spans="1:16" s="112" customFormat="1" ht="18" hidden="1" customHeight="1" outlineLevel="1" x14ac:dyDescent="0.15">
      <c r="A19" s="275"/>
      <c r="B19" s="276"/>
      <c r="C19" s="276"/>
      <c r="D19" s="270"/>
      <c r="E19" s="270"/>
      <c r="F19" s="270"/>
      <c r="G19" s="112" t="str">
        <f>Sheet_DoiTac!D12</f>
        <v>Dịch vụ tài chính</v>
      </c>
      <c r="H19" s="175" t="str" cm="1">
        <f t="array" ref="H19">IF(G19="Khách hàng",TRANSPOSE(_xlfn._xlws.SORT(Table_KhachHang[Mã KH])),
TRANSPOSE(_xlfn._xlws.SORT(_xlfn._xlws.FILTER(Table_NhaCungCap[Mã Đối tác],Table_NhaCungCap[Loại đối tác]=Sheet_ThuChiKD!G19,""))))</f>
        <v/>
      </c>
      <c r="I19" s="270"/>
      <c r="J19" s="270"/>
      <c r="K19" s="276"/>
      <c r="L19" s="276"/>
      <c r="M19" s="276"/>
      <c r="N19" s="270"/>
      <c r="O19" s="270"/>
      <c r="P19" s="270"/>
    </row>
    <row r="20" spans="1:16" s="112" customFormat="1" ht="18" hidden="1" customHeight="1" outlineLevel="1" x14ac:dyDescent="0.15">
      <c r="A20" s="275"/>
      <c r="B20" s="276"/>
      <c r="C20" s="276"/>
      <c r="D20" s="270"/>
      <c r="E20" s="270"/>
      <c r="F20" s="270"/>
      <c r="G20" s="112" t="str">
        <f>Sheet_DoiTac!D7</f>
        <v>Tiện ích</v>
      </c>
      <c r="H20" s="175" t="str" cm="1">
        <f t="array" ref="H20:I20">IF(G20="Khách hàng",TRANSPOSE(_xlfn._xlws.SORT(Table_KhachHang[Mã KH])),
TRANSPOSE(_xlfn._xlws.SORT(_xlfn._xlws.FILTER(Table_NhaCungCap[Mã Đối tác],Table_NhaCungCap[Loại đối tác]=Sheet_ThuChiKD!G20,""))))</f>
        <v>EVN</v>
      </c>
      <c r="I20" s="270" t="str">
        <v>NSG</v>
      </c>
      <c r="J20" s="270"/>
      <c r="K20" s="276"/>
      <c r="L20" s="276"/>
      <c r="M20" s="276"/>
      <c r="N20" s="270"/>
      <c r="O20" s="270"/>
      <c r="P20" s="270"/>
    </row>
    <row r="21" spans="1:16" s="112" customFormat="1" ht="18" hidden="1" customHeight="1" outlineLevel="1" x14ac:dyDescent="0.15">
      <c r="A21" s="275"/>
      <c r="B21" s="276"/>
      <c r="C21" s="276"/>
      <c r="D21" s="270"/>
      <c r="E21" s="270"/>
      <c r="F21" s="270"/>
      <c r="G21" s="112" t="str">
        <f>Sheet_DoiTac!D8</f>
        <v>Đầu tư Máy móc - Thiết bị</v>
      </c>
      <c r="H21" s="175" t="str" cm="1">
        <f t="array" ref="H21">IF(G21="Khách hàng",TRANSPOSE(_xlfn._xlws.SORT(Table_KhachHang[Mã KH])),
TRANSPOSE(_xlfn._xlws.SORT(_xlfn._xlws.FILTER(Table_NhaCungCap[Mã Đối tác],Table_NhaCungCap[Loại đối tác]=Sheet_ThuChiKD!G21,""))))</f>
        <v/>
      </c>
      <c r="I21" s="270"/>
      <c r="J21" s="270"/>
      <c r="K21" s="276"/>
      <c r="L21" s="276"/>
      <c r="M21" s="276"/>
      <c r="N21" s="270"/>
      <c r="O21" s="270"/>
      <c r="P21" s="270"/>
    </row>
    <row r="22" spans="1:16" s="112" customFormat="1" ht="18" hidden="1" customHeight="1" outlineLevel="1" x14ac:dyDescent="0.15">
      <c r="A22" s="275"/>
      <c r="B22" s="276"/>
      <c r="C22" s="276"/>
      <c r="D22" s="270"/>
      <c r="E22" s="270"/>
      <c r="F22" s="270"/>
      <c r="G22" s="112" t="str">
        <f>Sheet_DoiTac!D9</f>
        <v>Dịch vụ sản xuất</v>
      </c>
      <c r="H22" s="175" t="str" cm="1">
        <f t="array" ref="H22:I22">IF(G22="Khách hàng",TRANSPOSE(_xlfn._xlws.SORT(Table_KhachHang[Mã KH])),
TRANSPOSE(_xlfn._xlws.SORT(_xlfn._xlws.FILTER(Table_NhaCungCap[Mã Đối tác],Table_NhaCungCap[Loại đối tác]=Sheet_ThuChiKD!G22,""))))</f>
        <v>MT</v>
      </c>
      <c r="I22" s="270" t="str">
        <v>O&amp;M</v>
      </c>
      <c r="J22" s="270"/>
      <c r="K22" s="276"/>
      <c r="L22" s="276"/>
      <c r="M22" s="276"/>
      <c r="N22" s="270"/>
      <c r="O22" s="270"/>
      <c r="P22" s="270"/>
    </row>
    <row r="23" spans="1:16" s="112" customFormat="1" ht="18" hidden="1" customHeight="1" outlineLevel="1" x14ac:dyDescent="0.15">
      <c r="A23" s="275"/>
      <c r="B23" s="276"/>
      <c r="C23" s="276"/>
      <c r="D23" s="270"/>
      <c r="E23" s="270"/>
      <c r="F23" s="270"/>
      <c r="G23" s="112" t="str">
        <f>Sheet_DoiTac!D10</f>
        <v>Marketing - Thương mại</v>
      </c>
      <c r="H23" s="175" t="str" cm="1">
        <f t="array" ref="H23:I23">IF(G23="Khách hàng",TRANSPOSE(_xlfn._xlws.SORT(Table_KhachHang[Mã KH])),
TRANSPOSE(_xlfn._xlws.SORT(_xlfn._xlws.FILTER(Table_NhaCungCap[Mã Đối tác],Table_NhaCungCap[Loại đối tác]=Sheet_ThuChiKD!G23,""))))</f>
        <v>Ad1</v>
      </c>
      <c r="I23" s="270" t="str">
        <v>Agency1</v>
      </c>
      <c r="J23" s="270"/>
      <c r="K23" s="276"/>
      <c r="L23" s="276"/>
      <c r="M23" s="276"/>
      <c r="N23" s="270"/>
      <c r="O23" s="270"/>
      <c r="P23" s="270"/>
    </row>
    <row r="24" spans="1:16" s="112" customFormat="1" ht="18" hidden="1" customHeight="1" outlineLevel="1" x14ac:dyDescent="0.15">
      <c r="A24" s="275"/>
      <c r="B24" s="276"/>
      <c r="C24" s="276"/>
      <c r="D24" s="270"/>
      <c r="E24" s="270"/>
      <c r="F24" s="270"/>
      <c r="G24" s="112" t="str">
        <f>Sheet_DoiTac!D11</f>
        <v>Dịch vụ quản lý</v>
      </c>
      <c r="H24" s="175" t="str" cm="1">
        <f t="array" ref="H24:I24">IF(G24="Khách hàng",TRANSPOSE(_xlfn._xlws.SORT(Table_KhachHang[Mã KH])),
TRANSPOSE(_xlfn._xlws.SORT(_xlfn._xlws.FILTER(Table_NhaCungCap[Mã Đối tác],Table_NhaCungCap[Loại đối tác]=Sheet_ThuChiKD!G24,""))))</f>
        <v>Secu</v>
      </c>
      <c r="I24" s="270" t="str">
        <v>Soft1</v>
      </c>
      <c r="J24" s="270"/>
      <c r="K24" s="276"/>
      <c r="L24" s="276"/>
      <c r="M24" s="276"/>
      <c r="N24" s="270"/>
      <c r="O24" s="270"/>
      <c r="P24" s="270"/>
    </row>
    <row r="25" spans="1:16" s="112" customFormat="1" ht="18" hidden="1" customHeight="1" outlineLevel="1" x14ac:dyDescent="0.15">
      <c r="A25" s="275"/>
      <c r="B25" s="276"/>
      <c r="C25" s="276"/>
      <c r="D25" s="270"/>
      <c r="E25" s="270"/>
      <c r="F25" s="270"/>
      <c r="G25" s="112" t="s">
        <v>768</v>
      </c>
      <c r="H25" s="175" t="str" cm="1">
        <f t="array" ref="H25">IF(G25="Khách hàng",TRANSPOSE(_xlfn._xlws.SORT(Table_KhachHang[Mã KH])),
TRANSPOSE(_xlfn._xlws.SORT(_xlfn._xlws.FILTER(Table_NhaCungCap[Mã Đối tác],Table_NhaCungCap[Loại đối tác]=Sheet_ThuChiKD!G25,""))))</f>
        <v/>
      </c>
      <c r="I25" s="270"/>
      <c r="J25" s="270"/>
      <c r="K25" s="276"/>
      <c r="L25" s="276"/>
      <c r="M25" s="276"/>
      <c r="N25" s="270"/>
      <c r="O25" s="270"/>
      <c r="P25" s="270"/>
    </row>
    <row r="26" spans="1:16" s="112" customFormat="1" ht="18" hidden="1" customHeight="1" outlineLevel="1" x14ac:dyDescent="0.15">
      <c r="A26" s="275"/>
      <c r="B26" s="276"/>
      <c r="C26" s="276"/>
      <c r="D26" s="270"/>
      <c r="E26" s="270"/>
      <c r="F26" s="270"/>
      <c r="G26" s="112" t="str">
        <f>Sheet_DoiTac!D13</f>
        <v>Tất cả</v>
      </c>
      <c r="H26" s="175" t="str" cm="1">
        <f t="array" ref="H26">IF(G26="Khách hàng",TRANSPOSE(_xlfn._xlws.SORT(Table_KhachHang[Mã KH])),
TRANSPOSE(_xlfn._xlws.SORT(_xlfn._xlws.FILTER(Table_NhaCungCap[Mã Đối tác],Table_NhaCungCap[Loại đối tác]=Sheet_ThuChiKD!G26,""))))</f>
        <v/>
      </c>
      <c r="I26" s="270"/>
      <c r="J26" s="270"/>
      <c r="K26" s="276"/>
      <c r="L26" s="276"/>
      <c r="M26" s="276"/>
      <c r="N26" s="270"/>
      <c r="O26" s="270"/>
      <c r="P26" s="270"/>
    </row>
    <row r="27" spans="1:16" ht="18" customHeight="1" collapsed="1" x14ac:dyDescent="0.3">
      <c r="A27" s="274"/>
      <c r="B27" s="248">
        <v>1</v>
      </c>
      <c r="C27" s="51" t="str">
        <f>CONCATENATE(E27,"-",H27,"-",MOD(YEAR(D27),100)*10000+MONTH(D27)*100+DAY(D27),"-",B27)</f>
        <v>--100-1</v>
      </c>
      <c r="D27" s="393"/>
      <c r="E27" s="243"/>
      <c r="F27" s="243"/>
      <c r="G27" s="243"/>
      <c r="H27" s="243"/>
      <c r="I27" s="243"/>
      <c r="J27" s="391"/>
      <c r="K27" s="55">
        <f>IF(E27 = "THU",
VLOOKUP(I27,Table_TaiKhoan[[#All],[Mã Tài khoản]:[Phí Thanh toán]],Sheet_TaiKhoan!$E$3-Sheet_TaiKhoan!$B$3+1,0),
0)</f>
        <v>0</v>
      </c>
      <c r="L27" s="48">
        <f>J27*K27</f>
        <v>0</v>
      </c>
      <c r="M27" s="48">
        <f>J27-L27</f>
        <v>0</v>
      </c>
      <c r="N27" s="245"/>
      <c r="O27" s="240"/>
      <c r="P27" s="240" t="str" cm="1">
        <f t="array" ref="P27">IF(G27="Khách hàng",TRANSPOSE(_xlfn._xlws.SORT(Table_KhachHang[Mã KH])),
IF(G27="NSNN", TRANSPOSE(_xlfn._xlws.SORT(Table_NopNS_NganSach[Loại thuế])),
TRANSPOSE(_xlfn._xlws.SORT(_xlfn._xlws.FILTER(Table_NhaCungCap[Mã Đối tác],Table_NhaCungCap[Loại đối tác]=Sheet_ThuChiKD!G27,"")))))</f>
        <v/>
      </c>
    </row>
    <row r="28" spans="1:16" ht="18" customHeight="1" x14ac:dyDescent="0.3">
      <c r="A28" s="274"/>
      <c r="B28" s="39" t="s">
        <v>638</v>
      </c>
      <c r="C28" s="46" t="s">
        <v>769</v>
      </c>
      <c r="D28" s="46" t="s">
        <v>770</v>
      </c>
      <c r="E28" s="46" t="s">
        <v>771</v>
      </c>
      <c r="F28" s="46" t="s">
        <v>767</v>
      </c>
      <c r="G28" s="46" t="s">
        <v>556</v>
      </c>
      <c r="H28" s="46" t="s">
        <v>551</v>
      </c>
      <c r="I28" s="46" t="s">
        <v>772</v>
      </c>
      <c r="J28" s="46" t="s">
        <v>773</v>
      </c>
      <c r="K28" s="46" t="s">
        <v>774</v>
      </c>
      <c r="L28" s="46" t="s">
        <v>775</v>
      </c>
      <c r="M28" s="46" t="s">
        <v>776</v>
      </c>
      <c r="N28" s="7" t="s">
        <v>873</v>
      </c>
      <c r="O28" s="240"/>
      <c r="P28" s="240"/>
    </row>
    <row r="29" spans="1:16" ht="18" customHeight="1" x14ac:dyDescent="0.3">
      <c r="A29" s="274"/>
      <c r="B29" s="539"/>
      <c r="C29" s="51" t="str">
        <f t="shared" ref="C29:C46" si="1">CONCATENATE(E29,"-",H29,"-",MOD(YEAR(D29),100)*10000+MONTH(D29)*100+DAY(D29),"-",B29)</f>
        <v>CHI-NCC1-250331-</v>
      </c>
      <c r="D29" s="392">
        <v>45747</v>
      </c>
      <c r="E29" s="243" t="s">
        <v>1227</v>
      </c>
      <c r="F29" s="243" t="s">
        <v>405</v>
      </c>
      <c r="G29" s="243"/>
      <c r="H29" s="243" t="s">
        <v>1158</v>
      </c>
      <c r="I29" s="243" t="s">
        <v>1226</v>
      </c>
      <c r="J29" s="404">
        <v>46000000</v>
      </c>
      <c r="K29" s="65">
        <f>IF(Table_ThuChiKD[[#This Row],[Loại GD]] = "THU",
VLOOKUP(Table_ThuChiKD[[#This Row],[TK GD]],Table_TaiKhoan[],COUNTA(Table_TaiKhoan[[#Headers],[Mã Tài khoản]:[Phí Thanh toán]]),0),
0)</f>
        <v>0</v>
      </c>
      <c r="L29" s="48">
        <f t="shared" ref="L29:L45" si="2">J29*K29</f>
        <v>0</v>
      </c>
      <c r="M29" s="48">
        <f>Table_ThuChiKD[[#This Row],[Giá trị GD]]-Table_ThuChiKD[[#This Row],[Phí GD]]</f>
        <v>46000000</v>
      </c>
      <c r="N29" s="245"/>
      <c r="O29" s="240"/>
      <c r="P29" s="240"/>
    </row>
    <row r="30" spans="1:16" ht="18" customHeight="1" x14ac:dyDescent="0.3">
      <c r="B30" s="539"/>
      <c r="C30" s="51" t="str">
        <f t="shared" si="1"/>
        <v>CHI-NCC2-250331-</v>
      </c>
      <c r="D30" s="392">
        <v>45747</v>
      </c>
      <c r="E30" s="243" t="s">
        <v>1227</v>
      </c>
      <c r="F30" s="243" t="s">
        <v>405</v>
      </c>
      <c r="G30" s="243"/>
      <c r="H30" s="243" t="s">
        <v>1159</v>
      </c>
      <c r="I30" s="243" t="s">
        <v>1226</v>
      </c>
      <c r="J30" s="404">
        <v>32000000</v>
      </c>
      <c r="K30" s="65">
        <f>IF(Table_ThuChiKD[[#This Row],[Loại GD]] = "THU",
VLOOKUP(Table_ThuChiKD[[#This Row],[TK GD]],Table_TaiKhoan[],COUNTA(Table_TaiKhoan[[#Headers],[Mã Tài khoản]:[Phí Thanh toán]]),0),
0)</f>
        <v>0</v>
      </c>
      <c r="L30" s="48">
        <f t="shared" si="2"/>
        <v>0</v>
      </c>
      <c r="M30" s="48">
        <f>Table_ThuChiKD[[#This Row],[Giá trị GD]]-Table_ThuChiKD[[#This Row],[Phí GD]]</f>
        <v>32000000</v>
      </c>
      <c r="N30" s="245"/>
    </row>
    <row r="31" spans="1:16" ht="18" customHeight="1" x14ac:dyDescent="0.3">
      <c r="B31" s="539"/>
      <c r="C31" s="51" t="str">
        <f t="shared" si="1"/>
        <v>CHI-NCC3-250331-</v>
      </c>
      <c r="D31" s="392">
        <v>45747</v>
      </c>
      <c r="E31" s="243" t="s">
        <v>1227</v>
      </c>
      <c r="F31" s="243" t="s">
        <v>405</v>
      </c>
      <c r="G31" s="243"/>
      <c r="H31" s="243" t="s">
        <v>1160</v>
      </c>
      <c r="I31" s="243" t="s">
        <v>1226</v>
      </c>
      <c r="J31" s="404">
        <v>1000000</v>
      </c>
      <c r="K31" s="65">
        <f>IF(Table_ThuChiKD[[#This Row],[Loại GD]] = "THU",
VLOOKUP(Table_ThuChiKD[[#This Row],[TK GD]],Table_TaiKhoan[],COUNTA(Table_TaiKhoan[[#Headers],[Mã Tài khoản]:[Phí Thanh toán]]),0),
0)</f>
        <v>0</v>
      </c>
      <c r="L31" s="48">
        <f t="shared" si="2"/>
        <v>0</v>
      </c>
      <c r="M31" s="48">
        <f>Table_ThuChiKD[[#This Row],[Giá trị GD]]-Table_ThuChiKD[[#This Row],[Phí GD]]</f>
        <v>1000000</v>
      </c>
      <c r="N31" s="245"/>
    </row>
    <row r="32" spans="1:16" ht="18" customHeight="1" x14ac:dyDescent="0.3">
      <c r="B32" s="539"/>
      <c r="C32" s="51" t="str">
        <f t="shared" si="1"/>
        <v>CHI-NCC1-250430-</v>
      </c>
      <c r="D32" s="392">
        <v>45777</v>
      </c>
      <c r="E32" s="243" t="s">
        <v>1227</v>
      </c>
      <c r="F32" s="243" t="s">
        <v>405</v>
      </c>
      <c r="G32" s="243"/>
      <c r="H32" s="243" t="s">
        <v>1158</v>
      </c>
      <c r="I32" s="243" t="s">
        <v>1226</v>
      </c>
      <c r="J32" s="404">
        <v>2000000</v>
      </c>
      <c r="K32" s="65">
        <f>IF(Table_ThuChiKD[[#This Row],[Loại GD]] = "THU",
VLOOKUP(Table_ThuChiKD[[#This Row],[TK GD]],Table_TaiKhoan[],COUNTA(Table_TaiKhoan[[#Headers],[Mã Tài khoản]:[Phí Thanh toán]]),0),
0)</f>
        <v>0</v>
      </c>
      <c r="L32" s="48">
        <f t="shared" si="2"/>
        <v>0</v>
      </c>
      <c r="M32" s="48">
        <f>Table_ThuChiKD[[#This Row],[Giá trị GD]]-Table_ThuChiKD[[#This Row],[Phí GD]]</f>
        <v>2000000</v>
      </c>
      <c r="N32" s="245"/>
    </row>
    <row r="33" spans="2:14" ht="18" customHeight="1" x14ac:dyDescent="0.3">
      <c r="B33" s="539"/>
      <c r="C33" s="51" t="str">
        <f t="shared" si="1"/>
        <v>CHI-NCC2-250430-</v>
      </c>
      <c r="D33" s="392">
        <v>45777</v>
      </c>
      <c r="E33" s="243" t="s">
        <v>1227</v>
      </c>
      <c r="F33" s="243" t="s">
        <v>405</v>
      </c>
      <c r="G33" s="243"/>
      <c r="H33" s="243" t="s">
        <v>1159</v>
      </c>
      <c r="I33" s="243" t="s">
        <v>1226</v>
      </c>
      <c r="J33" s="404">
        <v>4000000</v>
      </c>
      <c r="K33" s="65">
        <f>IF(Table_ThuChiKD[[#This Row],[Loại GD]] = "THU",
VLOOKUP(Table_ThuChiKD[[#This Row],[TK GD]],Table_TaiKhoan[],COUNTA(Table_TaiKhoan[[#Headers],[Mã Tài khoản]:[Phí Thanh toán]]),0),
0)</f>
        <v>0</v>
      </c>
      <c r="L33" s="48">
        <f t="shared" si="2"/>
        <v>0</v>
      </c>
      <c r="M33" s="48">
        <f>Table_ThuChiKD[[#This Row],[Giá trị GD]]-Table_ThuChiKD[[#This Row],[Phí GD]]</f>
        <v>4000000</v>
      </c>
      <c r="N33" s="245"/>
    </row>
    <row r="34" spans="2:14" ht="18" customHeight="1" x14ac:dyDescent="0.3">
      <c r="B34" s="539"/>
      <c r="C34" s="51" t="str">
        <f t="shared" si="1"/>
        <v>CHI-NCC3-250430-</v>
      </c>
      <c r="D34" s="392">
        <v>45777</v>
      </c>
      <c r="E34" s="243" t="s">
        <v>1227</v>
      </c>
      <c r="F34" s="243" t="s">
        <v>405</v>
      </c>
      <c r="G34" s="243"/>
      <c r="H34" s="243" t="s">
        <v>1160</v>
      </c>
      <c r="I34" s="243" t="s">
        <v>1226</v>
      </c>
      <c r="J34" s="404">
        <v>1000000</v>
      </c>
      <c r="K34" s="65">
        <f>IF(Table_ThuChiKD[[#This Row],[Loại GD]] = "THU",
VLOOKUP(Table_ThuChiKD[[#This Row],[TK GD]],Table_TaiKhoan[],COUNTA(Table_TaiKhoan[[#Headers],[Mã Tài khoản]:[Phí Thanh toán]]),0),
0)</f>
        <v>0</v>
      </c>
      <c r="L34" s="48">
        <f t="shared" si="2"/>
        <v>0</v>
      </c>
      <c r="M34" s="48">
        <f>Table_ThuChiKD[[#This Row],[Giá trị GD]]-Table_ThuChiKD[[#This Row],[Phí GD]]</f>
        <v>1000000</v>
      </c>
      <c r="N34" s="245"/>
    </row>
    <row r="35" spans="2:14" ht="18" customHeight="1" x14ac:dyDescent="0.3">
      <c r="B35" s="539"/>
      <c r="C35" s="51" t="str">
        <f t="shared" si="1"/>
        <v>CHI-NCC1-250531-</v>
      </c>
      <c r="D35" s="392">
        <v>45808</v>
      </c>
      <c r="E35" s="243" t="s">
        <v>1227</v>
      </c>
      <c r="F35" s="243" t="s">
        <v>405</v>
      </c>
      <c r="G35" s="243"/>
      <c r="H35" s="243" t="s">
        <v>1158</v>
      </c>
      <c r="I35" s="243" t="s">
        <v>1226</v>
      </c>
      <c r="J35" s="404">
        <v>6000000</v>
      </c>
      <c r="K35" s="65">
        <f>IF(Table_ThuChiKD[[#This Row],[Loại GD]] = "THU",
VLOOKUP(Table_ThuChiKD[[#This Row],[TK GD]],Table_TaiKhoan[],COUNTA(Table_TaiKhoan[[#Headers],[Mã Tài khoản]:[Phí Thanh toán]]),0),
0)</f>
        <v>0</v>
      </c>
      <c r="L35" s="48">
        <f t="shared" si="2"/>
        <v>0</v>
      </c>
      <c r="M35" s="48">
        <f>Table_ThuChiKD[[#This Row],[Giá trị GD]]-Table_ThuChiKD[[#This Row],[Phí GD]]</f>
        <v>6000000</v>
      </c>
      <c r="N35" s="245"/>
    </row>
    <row r="36" spans="2:14" ht="18" customHeight="1" x14ac:dyDescent="0.3">
      <c r="B36" s="539"/>
      <c r="C36" s="51" t="str">
        <f t="shared" si="1"/>
        <v>CHI-NCC2-250531-</v>
      </c>
      <c r="D36" s="392">
        <v>45808</v>
      </c>
      <c r="E36" s="243" t="s">
        <v>1227</v>
      </c>
      <c r="F36" s="243" t="s">
        <v>405</v>
      </c>
      <c r="G36" s="243"/>
      <c r="H36" s="243" t="s">
        <v>1159</v>
      </c>
      <c r="I36" s="243" t="s">
        <v>1226</v>
      </c>
      <c r="J36" s="404">
        <v>13000000</v>
      </c>
      <c r="K36" s="65">
        <f>IF(Table_ThuChiKD[[#This Row],[Loại GD]] = "THU",
VLOOKUP(Table_ThuChiKD[[#This Row],[TK GD]],Table_TaiKhoan[],COUNTA(Table_TaiKhoan[[#Headers],[Mã Tài khoản]:[Phí Thanh toán]]),0),
0)</f>
        <v>0</v>
      </c>
      <c r="L36" s="48">
        <f t="shared" si="2"/>
        <v>0</v>
      </c>
      <c r="M36" s="48">
        <f>Table_ThuChiKD[[#This Row],[Giá trị GD]]-Table_ThuChiKD[[#This Row],[Phí GD]]</f>
        <v>13000000</v>
      </c>
      <c r="N36" s="245"/>
    </row>
    <row r="37" spans="2:14" ht="18" customHeight="1" x14ac:dyDescent="0.3">
      <c r="B37" s="539"/>
      <c r="C37" s="51" t="str">
        <f t="shared" si="1"/>
        <v>CHI-NCC3-250531-</v>
      </c>
      <c r="D37" s="392">
        <v>45808</v>
      </c>
      <c r="E37" s="243" t="s">
        <v>1227</v>
      </c>
      <c r="F37" s="243" t="s">
        <v>405</v>
      </c>
      <c r="G37" s="243"/>
      <c r="H37" s="243" t="s">
        <v>1160</v>
      </c>
      <c r="I37" s="243" t="s">
        <v>1226</v>
      </c>
      <c r="J37" s="404">
        <v>2000000</v>
      </c>
      <c r="K37" s="65">
        <f>IF(Table_ThuChiKD[[#This Row],[Loại GD]] = "THU",
VLOOKUP(Table_ThuChiKD[[#This Row],[TK GD]],Table_TaiKhoan[],COUNTA(Table_TaiKhoan[[#Headers],[Mã Tài khoản]:[Phí Thanh toán]]),0),
0)</f>
        <v>0</v>
      </c>
      <c r="L37" s="48">
        <f t="shared" si="2"/>
        <v>0</v>
      </c>
      <c r="M37" s="48">
        <f>Table_ThuChiKD[[#This Row],[Giá trị GD]]-Table_ThuChiKD[[#This Row],[Phí GD]]</f>
        <v>2000000</v>
      </c>
      <c r="N37" s="245"/>
    </row>
    <row r="38" spans="2:14" ht="18" customHeight="1" x14ac:dyDescent="0.3">
      <c r="B38" s="539"/>
      <c r="C38" s="51" t="str">
        <f t="shared" si="1"/>
        <v>THU-KH1-250331-</v>
      </c>
      <c r="D38" s="392">
        <v>45747</v>
      </c>
      <c r="E38" s="243" t="s">
        <v>1225</v>
      </c>
      <c r="F38" s="243" t="s">
        <v>403</v>
      </c>
      <c r="G38" s="243"/>
      <c r="H38" s="243" t="s">
        <v>1195</v>
      </c>
      <c r="I38" s="243" t="s">
        <v>1226</v>
      </c>
      <c r="J38" s="404">
        <v>4000000</v>
      </c>
      <c r="K38" s="65">
        <f>IF(Table_ThuChiKD[[#This Row],[Loại GD]] = "THU",
VLOOKUP(Table_ThuChiKD[[#This Row],[TK GD]],Table_TaiKhoan[],COUNTA(Table_TaiKhoan[[#Headers],[Mã Tài khoản]:[Phí Thanh toán]]),0),
0)</f>
        <v>0</v>
      </c>
      <c r="L38" s="48">
        <f t="shared" si="2"/>
        <v>0</v>
      </c>
      <c r="M38" s="48">
        <f>Table_ThuChiKD[[#This Row],[Giá trị GD]]-Table_ThuChiKD[[#This Row],[Phí GD]]</f>
        <v>4000000</v>
      </c>
      <c r="N38" s="245"/>
    </row>
    <row r="39" spans="2:14" ht="18" customHeight="1" x14ac:dyDescent="0.3">
      <c r="B39" s="539"/>
      <c r="C39" s="51" t="str">
        <f t="shared" si="1"/>
        <v>THU-KH2-250331-</v>
      </c>
      <c r="D39" s="392">
        <v>45747</v>
      </c>
      <c r="E39" s="243" t="s">
        <v>1225</v>
      </c>
      <c r="F39" s="243" t="s">
        <v>403</v>
      </c>
      <c r="G39" s="243"/>
      <c r="H39" s="243" t="s">
        <v>1196</v>
      </c>
      <c r="I39" s="243" t="s">
        <v>1226</v>
      </c>
      <c r="J39" s="404">
        <v>43000000</v>
      </c>
      <c r="K39" s="65">
        <f>IF(Table_ThuChiKD[[#This Row],[Loại GD]] = "THU",
VLOOKUP(Table_ThuChiKD[[#This Row],[TK GD]],Table_TaiKhoan[],COUNTA(Table_TaiKhoan[[#Headers],[Mã Tài khoản]:[Phí Thanh toán]]),0),
0)</f>
        <v>0</v>
      </c>
      <c r="L39" s="48">
        <f t="shared" si="2"/>
        <v>0</v>
      </c>
      <c r="M39" s="48">
        <f>Table_ThuChiKD[[#This Row],[Giá trị GD]]-Table_ThuChiKD[[#This Row],[Phí GD]]</f>
        <v>43000000</v>
      </c>
      <c r="N39" s="245"/>
    </row>
    <row r="40" spans="2:14" ht="18" customHeight="1" x14ac:dyDescent="0.3">
      <c r="B40" s="539"/>
      <c r="C40" s="51" t="str">
        <f t="shared" si="1"/>
        <v>THU-KH3-250331-</v>
      </c>
      <c r="D40" s="392">
        <v>45747</v>
      </c>
      <c r="E40" s="243" t="s">
        <v>1225</v>
      </c>
      <c r="F40" s="243" t="s">
        <v>403</v>
      </c>
      <c r="G40" s="243"/>
      <c r="H40" s="243" t="s">
        <v>1197</v>
      </c>
      <c r="I40" s="243" t="s">
        <v>1226</v>
      </c>
      <c r="J40" s="404">
        <v>3000000</v>
      </c>
      <c r="K40" s="65">
        <f>IF(Table_ThuChiKD[[#This Row],[Loại GD]] = "THU",
VLOOKUP(Table_ThuChiKD[[#This Row],[TK GD]],Table_TaiKhoan[],COUNTA(Table_TaiKhoan[[#Headers],[Mã Tài khoản]:[Phí Thanh toán]]),0),
0)</f>
        <v>0</v>
      </c>
      <c r="L40" s="48">
        <f t="shared" si="2"/>
        <v>0</v>
      </c>
      <c r="M40" s="48">
        <f>Table_ThuChiKD[[#This Row],[Giá trị GD]]-Table_ThuChiKD[[#This Row],[Phí GD]]</f>
        <v>3000000</v>
      </c>
      <c r="N40" s="245"/>
    </row>
    <row r="41" spans="2:14" ht="18" customHeight="1" x14ac:dyDescent="0.3">
      <c r="B41" s="539"/>
      <c r="C41" s="51" t="str">
        <f t="shared" si="1"/>
        <v>THU-KH1-250430-</v>
      </c>
      <c r="D41" s="392">
        <v>45777</v>
      </c>
      <c r="E41" s="243" t="s">
        <v>1225</v>
      </c>
      <c r="F41" s="243" t="s">
        <v>403</v>
      </c>
      <c r="G41" s="243"/>
      <c r="H41" s="243" t="s">
        <v>1195</v>
      </c>
      <c r="I41" s="243" t="s">
        <v>1226</v>
      </c>
      <c r="J41" s="404">
        <v>11000000</v>
      </c>
      <c r="K41" s="65">
        <f>IF(Table_ThuChiKD[[#This Row],[Loại GD]] = "THU",
VLOOKUP(Table_ThuChiKD[[#This Row],[TK GD]],Table_TaiKhoan[],COUNTA(Table_TaiKhoan[[#Headers],[Mã Tài khoản]:[Phí Thanh toán]]),0),
0)</f>
        <v>0</v>
      </c>
      <c r="L41" s="48">
        <f t="shared" si="2"/>
        <v>0</v>
      </c>
      <c r="M41" s="48">
        <f>Table_ThuChiKD[[#This Row],[Giá trị GD]]-Table_ThuChiKD[[#This Row],[Phí GD]]</f>
        <v>11000000</v>
      </c>
      <c r="N41" s="245"/>
    </row>
    <row r="42" spans="2:14" ht="18" customHeight="1" x14ac:dyDescent="0.3">
      <c r="B42" s="539"/>
      <c r="C42" s="51" t="str">
        <f t="shared" si="1"/>
        <v>THU-KH2-250430-</v>
      </c>
      <c r="D42" s="392">
        <v>45777</v>
      </c>
      <c r="E42" s="243" t="s">
        <v>1225</v>
      </c>
      <c r="F42" s="243" t="s">
        <v>403</v>
      </c>
      <c r="G42" s="243"/>
      <c r="H42" s="243" t="s">
        <v>1196</v>
      </c>
      <c r="I42" s="243" t="s">
        <v>1226</v>
      </c>
      <c r="J42" s="404">
        <v>23000000</v>
      </c>
      <c r="K42" s="65">
        <f>IF(Table_ThuChiKD[[#This Row],[Loại GD]] = "THU",
VLOOKUP(Table_ThuChiKD[[#This Row],[TK GD]],Table_TaiKhoan[],COUNTA(Table_TaiKhoan[[#Headers],[Mã Tài khoản]:[Phí Thanh toán]]),0),
0)</f>
        <v>0</v>
      </c>
      <c r="L42" s="48">
        <f t="shared" si="2"/>
        <v>0</v>
      </c>
      <c r="M42" s="48">
        <f>Table_ThuChiKD[[#This Row],[Giá trị GD]]-Table_ThuChiKD[[#This Row],[Phí GD]]</f>
        <v>23000000</v>
      </c>
      <c r="N42" s="245"/>
    </row>
    <row r="43" spans="2:14" ht="18" customHeight="1" x14ac:dyDescent="0.3">
      <c r="B43" s="539"/>
      <c r="C43" s="51" t="str">
        <f t="shared" si="1"/>
        <v>THU-KH3-250430-</v>
      </c>
      <c r="D43" s="392">
        <v>45777</v>
      </c>
      <c r="E43" s="243" t="s">
        <v>1225</v>
      </c>
      <c r="F43" s="243" t="s">
        <v>403</v>
      </c>
      <c r="G43" s="243"/>
      <c r="H43" s="243" t="s">
        <v>1197</v>
      </c>
      <c r="I43" s="243" t="s">
        <v>1226</v>
      </c>
      <c r="J43" s="404">
        <v>37000000</v>
      </c>
      <c r="K43" s="65">
        <f>IF(Table_ThuChiKD[[#This Row],[Loại GD]] = "THU",
VLOOKUP(Table_ThuChiKD[[#This Row],[TK GD]],Table_TaiKhoan[],COUNTA(Table_TaiKhoan[[#Headers],[Mã Tài khoản]:[Phí Thanh toán]]),0),
0)</f>
        <v>0</v>
      </c>
      <c r="L43" s="48">
        <f t="shared" si="2"/>
        <v>0</v>
      </c>
      <c r="M43" s="48">
        <f>Table_ThuChiKD[[#This Row],[Giá trị GD]]-Table_ThuChiKD[[#This Row],[Phí GD]]</f>
        <v>37000000</v>
      </c>
      <c r="N43" s="245"/>
    </row>
    <row r="44" spans="2:14" ht="18" customHeight="1" x14ac:dyDescent="0.3">
      <c r="B44" s="539"/>
      <c r="C44" s="51" t="str">
        <f t="shared" si="1"/>
        <v>THU-KH1-250531-</v>
      </c>
      <c r="D44" s="392">
        <v>45808</v>
      </c>
      <c r="E44" s="243" t="s">
        <v>1225</v>
      </c>
      <c r="F44" s="243" t="s">
        <v>403</v>
      </c>
      <c r="G44" s="243"/>
      <c r="H44" s="243" t="s">
        <v>1195</v>
      </c>
      <c r="I44" s="243" t="s">
        <v>1226</v>
      </c>
      <c r="J44" s="404">
        <v>40000000</v>
      </c>
      <c r="K44" s="65">
        <f>IF(Table_ThuChiKD[[#This Row],[Loại GD]] = "THU",
VLOOKUP(Table_ThuChiKD[[#This Row],[TK GD]],Table_TaiKhoan[],COUNTA(Table_TaiKhoan[[#Headers],[Mã Tài khoản]:[Phí Thanh toán]]),0),
0)</f>
        <v>0</v>
      </c>
      <c r="L44" s="48">
        <f t="shared" si="2"/>
        <v>0</v>
      </c>
      <c r="M44" s="48">
        <f>Table_ThuChiKD[[#This Row],[Giá trị GD]]-Table_ThuChiKD[[#This Row],[Phí GD]]</f>
        <v>40000000</v>
      </c>
      <c r="N44" s="245"/>
    </row>
    <row r="45" spans="2:14" ht="18" customHeight="1" x14ac:dyDescent="0.3">
      <c r="B45" s="539"/>
      <c r="C45" s="51" t="str">
        <f t="shared" si="1"/>
        <v>THU-KH2-250531-</v>
      </c>
      <c r="D45" s="392">
        <v>45808</v>
      </c>
      <c r="E45" s="243" t="s">
        <v>1225</v>
      </c>
      <c r="F45" s="243" t="s">
        <v>403</v>
      </c>
      <c r="G45" s="243"/>
      <c r="H45" s="243" t="s">
        <v>1196</v>
      </c>
      <c r="I45" s="243" t="s">
        <v>1226</v>
      </c>
      <c r="J45" s="404">
        <v>5000000</v>
      </c>
      <c r="K45" s="65">
        <f>IF(Table_ThuChiKD[[#This Row],[Loại GD]] = "THU",
VLOOKUP(Table_ThuChiKD[[#This Row],[TK GD]],Table_TaiKhoan[],COUNTA(Table_TaiKhoan[[#Headers],[Mã Tài khoản]:[Phí Thanh toán]]),0),
0)</f>
        <v>0</v>
      </c>
      <c r="L45" s="48">
        <f t="shared" si="2"/>
        <v>0</v>
      </c>
      <c r="M45" s="48">
        <f>Table_ThuChiKD[[#This Row],[Giá trị GD]]-Table_ThuChiKD[[#This Row],[Phí GD]]</f>
        <v>5000000</v>
      </c>
      <c r="N45" s="245"/>
    </row>
    <row r="46" spans="2:14" ht="18" customHeight="1" x14ac:dyDescent="0.3">
      <c r="B46" s="248">
        <v>1</v>
      </c>
      <c r="C46" s="51" t="str">
        <f t="shared" si="1"/>
        <v>THU-KH3-250531-1</v>
      </c>
      <c r="D46" s="392">
        <v>45808</v>
      </c>
      <c r="E46" s="243" t="s">
        <v>1225</v>
      </c>
      <c r="F46" s="243" t="s">
        <v>403</v>
      </c>
      <c r="G46" s="243"/>
      <c r="H46" s="243" t="s">
        <v>1197</v>
      </c>
      <c r="I46" s="243" t="s">
        <v>1226</v>
      </c>
      <c r="J46" s="15">
        <v>6000000</v>
      </c>
      <c r="K46" s="55">
        <f>IF(Table_ThuChiKD[[#This Row],[Loại GD]] = "THU",
VLOOKUP(Table_ThuChiKD[[#This Row],[TK GD]],Table_TaiKhoan[],COUNTA(Table_TaiKhoan[[#Headers],[Mã Tài khoản]:[Phí Thanh toán]]),0),
0)</f>
        <v>0</v>
      </c>
      <c r="L46" s="48">
        <f>Table_ThuChiKD[[#This Row],[Giá trị GD]]*Table_ThuChiKD[[#This Row],[Phí suất GD]]</f>
        <v>0</v>
      </c>
      <c r="M46" s="48">
        <f>Table_ThuChiKD[[#This Row],[Giá trị GD]]-Table_ThuChiKD[[#This Row],[Phí GD]]</f>
        <v>6000000</v>
      </c>
      <c r="N46" s="245"/>
    </row>
    <row r="47" spans="2:14" ht="18" customHeight="1" x14ac:dyDescent="0.15">
      <c r="B47" s="246"/>
      <c r="C47" s="246"/>
      <c r="D47" s="240"/>
      <c r="E47" s="240"/>
      <c r="F47" s="240"/>
      <c r="G47" s="240"/>
      <c r="H47" s="263"/>
      <c r="I47" s="240"/>
      <c r="J47" s="240"/>
      <c r="K47" s="246"/>
      <c r="L47" s="246"/>
      <c r="M47" s="246"/>
      <c r="N47" s="240"/>
    </row>
    <row r="48" spans="2:14" ht="18" customHeight="1" x14ac:dyDescent="0.15">
      <c r="B48" s="246"/>
      <c r="C48" s="246"/>
      <c r="D48" s="240"/>
      <c r="E48" s="240"/>
      <c r="F48" s="240"/>
      <c r="G48" s="240"/>
      <c r="H48" s="263"/>
      <c r="I48" s="240"/>
      <c r="J48" s="240"/>
      <c r="K48" s="246"/>
      <c r="L48" s="246"/>
      <c r="M48" s="246"/>
      <c r="N48" s="240"/>
    </row>
    <row r="49" spans="2:14" ht="18" customHeight="1" x14ac:dyDescent="0.15">
      <c r="B49" s="246"/>
      <c r="C49" s="246"/>
      <c r="D49" s="240"/>
      <c r="E49" s="240"/>
      <c r="F49" s="240"/>
      <c r="G49" s="240"/>
      <c r="H49" s="263"/>
      <c r="I49" s="240"/>
      <c r="J49" s="240"/>
      <c r="K49" s="246"/>
      <c r="L49" s="246"/>
      <c r="M49" s="246"/>
      <c r="N49" s="240"/>
    </row>
    <row r="50" spans="2:14" ht="18" customHeight="1" x14ac:dyDescent="0.15">
      <c r="B50" s="246"/>
      <c r="C50" s="246"/>
      <c r="D50" s="240"/>
      <c r="E50" s="240"/>
      <c r="F50" s="240"/>
      <c r="G50" s="240"/>
      <c r="H50" s="263"/>
      <c r="I50" s="240"/>
      <c r="J50" s="240"/>
      <c r="K50" s="246"/>
      <c r="L50" s="246"/>
      <c r="M50" s="246"/>
      <c r="N50" s="240"/>
    </row>
    <row r="51" spans="2:14" ht="18" customHeight="1" x14ac:dyDescent="0.15">
      <c r="B51" s="246"/>
      <c r="C51" s="246"/>
      <c r="D51" s="240"/>
      <c r="E51" s="240"/>
      <c r="F51" s="240"/>
      <c r="G51" s="240"/>
      <c r="H51" s="263"/>
      <c r="I51" s="240"/>
      <c r="J51" s="240"/>
      <c r="K51" s="246"/>
      <c r="L51" s="246"/>
      <c r="M51" s="246"/>
      <c r="N51" s="240"/>
    </row>
    <row r="52" spans="2:14" ht="18" customHeight="1" x14ac:dyDescent="0.15">
      <c r="B52" s="246"/>
      <c r="C52" s="246"/>
      <c r="D52" s="240"/>
      <c r="E52" s="240"/>
      <c r="F52" s="240"/>
      <c r="G52" s="240"/>
      <c r="H52" s="263"/>
      <c r="I52" s="240"/>
      <c r="J52" s="240"/>
      <c r="K52" s="246"/>
      <c r="L52" s="246"/>
      <c r="M52" s="246"/>
      <c r="N52" s="240"/>
    </row>
    <row r="53" spans="2:14" ht="18" customHeight="1" x14ac:dyDescent="0.15">
      <c r="B53" s="246"/>
      <c r="C53" s="246"/>
      <c r="D53" s="240"/>
      <c r="E53" s="240"/>
      <c r="F53" s="240"/>
      <c r="G53" s="240"/>
      <c r="H53" s="263"/>
      <c r="I53" s="240"/>
      <c r="J53" s="240"/>
      <c r="K53" s="246"/>
      <c r="L53" s="246"/>
      <c r="M53" s="246"/>
      <c r="N53" s="240"/>
    </row>
    <row r="54" spans="2:14" ht="18" customHeight="1" x14ac:dyDescent="0.15">
      <c r="B54" s="246"/>
      <c r="C54" s="246"/>
      <c r="D54" s="240"/>
      <c r="E54" s="240"/>
      <c r="F54" s="240"/>
      <c r="G54" s="240"/>
      <c r="H54" s="263"/>
      <c r="I54" s="240"/>
      <c r="J54" s="240"/>
      <c r="K54" s="246"/>
      <c r="L54" s="246"/>
      <c r="M54" s="246"/>
      <c r="N54" s="240"/>
    </row>
    <row r="55" spans="2:14" ht="18" customHeight="1" x14ac:dyDescent="0.15">
      <c r="B55" s="246"/>
      <c r="C55" s="246"/>
      <c r="D55" s="240"/>
      <c r="E55" s="240"/>
      <c r="F55" s="240"/>
      <c r="G55" s="240"/>
      <c r="H55" s="263"/>
      <c r="I55" s="240"/>
      <c r="J55" s="240"/>
      <c r="K55" s="246"/>
      <c r="L55" s="246"/>
      <c r="M55" s="246"/>
      <c r="N55" s="240"/>
    </row>
    <row r="56" spans="2:14" ht="18" customHeight="1" x14ac:dyDescent="0.15">
      <c r="B56" s="246"/>
      <c r="C56" s="246"/>
      <c r="D56" s="240"/>
      <c r="E56" s="240"/>
      <c r="F56" s="240"/>
      <c r="G56" s="240"/>
      <c r="H56" s="263"/>
      <c r="I56" s="240"/>
      <c r="J56" s="240"/>
      <c r="K56" s="246"/>
      <c r="L56" s="246"/>
      <c r="M56" s="246"/>
      <c r="N56" s="240"/>
    </row>
    <row r="57" spans="2:14" ht="18" customHeight="1" x14ac:dyDescent="0.15">
      <c r="B57" s="246"/>
      <c r="C57" s="246"/>
      <c r="D57" s="240"/>
      <c r="E57" s="240"/>
      <c r="F57" s="240"/>
      <c r="G57" s="240"/>
      <c r="H57" s="263"/>
      <c r="I57" s="240"/>
      <c r="J57" s="240"/>
      <c r="K57" s="246"/>
      <c r="L57" s="246"/>
      <c r="M57" s="246"/>
      <c r="N57" s="240"/>
    </row>
    <row r="58" spans="2:14" ht="18" customHeight="1" x14ac:dyDescent="0.15">
      <c r="B58" s="246"/>
      <c r="C58" s="246"/>
      <c r="D58" s="240"/>
      <c r="E58" s="240"/>
      <c r="F58" s="240"/>
      <c r="G58" s="240"/>
      <c r="H58" s="263"/>
      <c r="I58" s="240"/>
      <c r="J58" s="240"/>
      <c r="K58" s="246"/>
      <c r="L58" s="246"/>
      <c r="M58" s="246"/>
      <c r="N58" s="240"/>
    </row>
    <row r="59" spans="2:14" ht="18" customHeight="1" x14ac:dyDescent="0.15">
      <c r="B59" s="246"/>
      <c r="C59" s="246"/>
      <c r="D59" s="240"/>
      <c r="E59" s="240"/>
      <c r="F59" s="240"/>
      <c r="G59" s="240"/>
      <c r="H59" s="263"/>
      <c r="I59" s="240"/>
      <c r="J59" s="240"/>
      <c r="K59" s="246"/>
      <c r="L59" s="246"/>
      <c r="M59" s="246"/>
      <c r="N59" s="240"/>
    </row>
    <row r="60" spans="2:14" ht="18" customHeight="1" x14ac:dyDescent="0.15">
      <c r="B60" s="246"/>
      <c r="C60" s="246"/>
      <c r="D60" s="240"/>
      <c r="E60" s="240"/>
      <c r="F60" s="240"/>
      <c r="G60" s="240"/>
      <c r="H60" s="263"/>
      <c r="I60" s="240"/>
      <c r="J60" s="240"/>
      <c r="K60" s="246"/>
      <c r="L60" s="246"/>
      <c r="M60" s="246"/>
      <c r="N60" s="240"/>
    </row>
    <row r="61" spans="2:14" ht="18" customHeight="1" x14ac:dyDescent="0.15">
      <c r="B61" s="246"/>
      <c r="C61" s="246"/>
      <c r="D61" s="240"/>
      <c r="E61" s="240"/>
      <c r="F61" s="240"/>
      <c r="G61" s="240"/>
      <c r="H61" s="263"/>
      <c r="I61" s="240"/>
      <c r="J61" s="240"/>
      <c r="K61" s="246"/>
      <c r="L61" s="246"/>
      <c r="M61" s="246"/>
      <c r="N61" s="240"/>
    </row>
    <row r="62" spans="2:14" ht="18" customHeight="1" x14ac:dyDescent="0.15">
      <c r="B62" s="246"/>
      <c r="C62" s="246"/>
      <c r="D62" s="240"/>
      <c r="E62" s="240"/>
      <c r="F62" s="240"/>
      <c r="G62" s="240"/>
      <c r="H62" s="263"/>
      <c r="I62" s="240"/>
      <c r="J62" s="240"/>
      <c r="K62" s="246"/>
      <c r="L62" s="246"/>
      <c r="M62" s="246"/>
      <c r="N62" s="240"/>
    </row>
    <row r="63" spans="2:14" ht="18" customHeight="1" x14ac:dyDescent="0.15">
      <c r="B63" s="246"/>
      <c r="C63" s="246"/>
      <c r="D63" s="240"/>
      <c r="E63" s="240"/>
      <c r="F63" s="240"/>
      <c r="G63" s="240"/>
      <c r="H63" s="263"/>
      <c r="I63" s="240"/>
      <c r="J63" s="240"/>
      <c r="K63" s="246"/>
      <c r="L63" s="246"/>
      <c r="M63" s="246"/>
      <c r="N63" s="240"/>
    </row>
    <row r="64" spans="2:14" ht="18" customHeight="1" x14ac:dyDescent="0.15">
      <c r="B64" s="246"/>
      <c r="C64" s="246"/>
      <c r="D64" s="240"/>
      <c r="E64" s="240"/>
      <c r="F64" s="240"/>
      <c r="G64" s="240"/>
      <c r="H64" s="263"/>
      <c r="I64" s="240"/>
      <c r="J64" s="240"/>
      <c r="K64" s="246"/>
      <c r="L64" s="246"/>
      <c r="M64" s="246"/>
      <c r="N64" s="240"/>
    </row>
    <row r="65" spans="2:14" ht="18" customHeight="1" x14ac:dyDescent="0.15">
      <c r="B65" s="246"/>
      <c r="C65" s="246"/>
      <c r="D65" s="240"/>
      <c r="E65" s="240"/>
      <c r="F65" s="240"/>
      <c r="G65" s="240"/>
      <c r="H65" s="263"/>
      <c r="I65" s="240"/>
      <c r="J65" s="240"/>
      <c r="K65" s="246"/>
      <c r="L65" s="246"/>
      <c r="M65" s="246"/>
      <c r="N65" s="240"/>
    </row>
    <row r="66" spans="2:14" ht="18" customHeight="1" x14ac:dyDescent="0.15">
      <c r="B66" s="246"/>
      <c r="C66" s="246"/>
      <c r="D66" s="240"/>
      <c r="E66" s="240"/>
      <c r="F66" s="240"/>
      <c r="G66" s="240"/>
      <c r="H66" s="263"/>
      <c r="I66" s="240"/>
      <c r="J66" s="240"/>
      <c r="K66" s="246"/>
      <c r="L66" s="246"/>
      <c r="M66" s="246"/>
      <c r="N66" s="240"/>
    </row>
    <row r="67" spans="2:14" ht="18" customHeight="1" x14ac:dyDescent="0.15">
      <c r="B67" s="246"/>
      <c r="C67" s="246"/>
      <c r="D67" s="240"/>
      <c r="E67" s="240"/>
      <c r="F67" s="240"/>
      <c r="G67" s="240"/>
      <c r="H67" s="263"/>
      <c r="I67" s="240"/>
      <c r="J67" s="240"/>
      <c r="K67" s="246"/>
      <c r="L67" s="246"/>
      <c r="M67" s="246"/>
      <c r="N67" s="240"/>
    </row>
    <row r="68" spans="2:14" ht="18" customHeight="1" x14ac:dyDescent="0.15">
      <c r="B68" s="246"/>
      <c r="C68" s="246"/>
      <c r="D68" s="240"/>
      <c r="E68" s="240"/>
      <c r="F68" s="240"/>
      <c r="G68" s="240"/>
      <c r="H68" s="263"/>
      <c r="I68" s="240"/>
      <c r="J68" s="240"/>
      <c r="K68" s="246"/>
      <c r="L68" s="246"/>
      <c r="M68" s="246"/>
      <c r="N68" s="240"/>
    </row>
    <row r="69" spans="2:14" ht="18" customHeight="1" x14ac:dyDescent="0.15">
      <c r="B69" s="246"/>
      <c r="C69" s="246"/>
      <c r="D69" s="240"/>
      <c r="E69" s="240"/>
      <c r="F69" s="240"/>
      <c r="G69" s="240"/>
      <c r="H69" s="263"/>
      <c r="I69" s="240"/>
      <c r="J69" s="240"/>
      <c r="K69" s="246"/>
      <c r="L69" s="246"/>
      <c r="M69" s="246"/>
      <c r="N69" s="240"/>
    </row>
    <row r="70" spans="2:14" ht="18" customHeight="1" x14ac:dyDescent="0.15">
      <c r="B70" s="246"/>
      <c r="C70" s="246"/>
      <c r="D70" s="240"/>
      <c r="E70" s="240"/>
      <c r="F70" s="240"/>
      <c r="G70" s="240"/>
      <c r="H70" s="263"/>
      <c r="I70" s="240"/>
      <c r="J70" s="240"/>
      <c r="K70" s="246"/>
      <c r="L70" s="246"/>
      <c r="M70" s="246"/>
      <c r="N70" s="240"/>
    </row>
    <row r="71" spans="2:14" ht="18" customHeight="1" x14ac:dyDescent="0.15">
      <c r="B71" s="246"/>
      <c r="C71" s="246"/>
      <c r="D71" s="240"/>
      <c r="E71" s="240"/>
      <c r="F71" s="240"/>
      <c r="G71" s="240"/>
      <c r="H71" s="263"/>
      <c r="I71" s="240"/>
      <c r="J71" s="240"/>
      <c r="K71" s="246"/>
      <c r="L71" s="246"/>
      <c r="M71" s="246"/>
      <c r="N71" s="240"/>
    </row>
    <row r="72" spans="2:14" ht="18" customHeight="1" x14ac:dyDescent="0.15">
      <c r="B72" s="246"/>
      <c r="C72" s="246"/>
      <c r="D72" s="240"/>
      <c r="E72" s="240"/>
      <c r="F72" s="240"/>
      <c r="G72" s="240"/>
      <c r="H72" s="263"/>
      <c r="I72" s="240"/>
      <c r="J72" s="240"/>
      <c r="K72" s="246"/>
      <c r="L72" s="246"/>
      <c r="M72" s="246"/>
      <c r="N72" s="240"/>
    </row>
    <row r="73" spans="2:14" ht="18" customHeight="1" x14ac:dyDescent="0.15">
      <c r="B73" s="246"/>
      <c r="C73" s="246"/>
      <c r="D73" s="240"/>
      <c r="E73" s="240"/>
      <c r="F73" s="240"/>
      <c r="G73" s="240"/>
      <c r="H73" s="263"/>
      <c r="I73" s="240"/>
      <c r="J73" s="240"/>
      <c r="K73" s="246"/>
      <c r="L73" s="246"/>
      <c r="M73" s="246"/>
      <c r="N73" s="240"/>
    </row>
    <row r="74" spans="2:14" ht="18" customHeight="1" x14ac:dyDescent="0.15">
      <c r="B74" s="246"/>
      <c r="C74" s="246"/>
      <c r="D74" s="240"/>
      <c r="E74" s="240"/>
      <c r="F74" s="240"/>
      <c r="G74" s="240"/>
      <c r="H74" s="263"/>
      <c r="I74" s="240"/>
      <c r="J74" s="240"/>
      <c r="K74" s="246"/>
      <c r="L74" s="246"/>
      <c r="M74" s="246"/>
      <c r="N74" s="240"/>
    </row>
    <row r="75" spans="2:14" ht="18" customHeight="1" x14ac:dyDescent="0.15">
      <c r="B75" s="246"/>
      <c r="C75" s="246"/>
      <c r="D75" s="240"/>
      <c r="E75" s="240"/>
      <c r="F75" s="240"/>
      <c r="G75" s="240"/>
      <c r="H75" s="263"/>
      <c r="I75" s="240"/>
      <c r="J75" s="240"/>
      <c r="K75" s="246"/>
      <c r="L75" s="246"/>
      <c r="M75" s="246"/>
      <c r="N75" s="240"/>
    </row>
    <row r="76" spans="2:14" ht="18" customHeight="1" x14ac:dyDescent="0.15">
      <c r="B76" s="246"/>
      <c r="C76" s="246"/>
      <c r="D76" s="240"/>
      <c r="E76" s="240"/>
      <c r="F76" s="240"/>
      <c r="G76" s="240"/>
      <c r="H76" s="263"/>
      <c r="I76" s="240"/>
      <c r="J76" s="240"/>
      <c r="K76" s="246"/>
      <c r="L76" s="246"/>
      <c r="M76" s="246"/>
      <c r="N76" s="240"/>
    </row>
    <row r="77" spans="2:14" ht="18" customHeight="1" x14ac:dyDescent="0.15">
      <c r="B77" s="246"/>
      <c r="C77" s="246"/>
      <c r="D77" s="240"/>
      <c r="E77" s="240"/>
      <c r="F77" s="240"/>
      <c r="G77" s="240"/>
      <c r="H77" s="263"/>
      <c r="I77" s="240"/>
      <c r="J77" s="240"/>
      <c r="K77" s="246"/>
      <c r="L77" s="246"/>
      <c r="M77" s="246"/>
      <c r="N77" s="240"/>
    </row>
    <row r="78" spans="2:14" ht="18" customHeight="1" x14ac:dyDescent="0.15">
      <c r="B78" s="246"/>
      <c r="C78" s="246"/>
      <c r="D78" s="240"/>
      <c r="E78" s="240"/>
      <c r="F78" s="240"/>
      <c r="G78" s="240"/>
      <c r="H78" s="263"/>
      <c r="I78" s="240"/>
      <c r="J78" s="240"/>
      <c r="K78" s="246"/>
      <c r="L78" s="246"/>
      <c r="M78" s="246"/>
      <c r="N78" s="240"/>
    </row>
    <row r="79" spans="2:14" ht="18" customHeight="1" x14ac:dyDescent="0.15">
      <c r="B79" s="246"/>
      <c r="C79" s="246"/>
      <c r="D79" s="240"/>
      <c r="E79" s="240"/>
      <c r="F79" s="240"/>
      <c r="G79" s="240"/>
      <c r="H79" s="263"/>
      <c r="I79" s="240"/>
      <c r="J79" s="240"/>
      <c r="K79" s="246"/>
      <c r="L79" s="246"/>
      <c r="M79" s="246"/>
      <c r="N79" s="240"/>
    </row>
    <row r="80" spans="2:14" ht="18" customHeight="1" x14ac:dyDescent="0.15">
      <c r="B80" s="246"/>
      <c r="C80" s="246"/>
      <c r="D80" s="240"/>
      <c r="E80" s="240"/>
      <c r="F80" s="240"/>
      <c r="G80" s="240"/>
      <c r="H80" s="263"/>
      <c r="I80" s="240"/>
      <c r="J80" s="240"/>
      <c r="K80" s="246"/>
      <c r="L80" s="246"/>
      <c r="M80" s="246"/>
      <c r="N80" s="240"/>
    </row>
    <row r="81" spans="2:14" ht="18" customHeight="1" x14ac:dyDescent="0.15">
      <c r="B81" s="246"/>
      <c r="C81" s="246"/>
      <c r="D81" s="240"/>
      <c r="E81" s="240"/>
      <c r="F81" s="240"/>
      <c r="G81" s="240"/>
      <c r="H81" s="263"/>
      <c r="I81" s="240"/>
      <c r="J81" s="240"/>
      <c r="K81" s="246"/>
      <c r="L81" s="246"/>
      <c r="M81" s="246"/>
      <c r="N81" s="240"/>
    </row>
    <row r="82" spans="2:14" ht="18" customHeight="1" x14ac:dyDescent="0.15">
      <c r="B82" s="246"/>
      <c r="C82" s="246"/>
      <c r="D82" s="240"/>
      <c r="E82" s="240"/>
      <c r="F82" s="240"/>
      <c r="G82" s="240"/>
      <c r="H82" s="263"/>
      <c r="I82" s="240"/>
      <c r="J82" s="240"/>
      <c r="K82" s="246"/>
      <c r="L82" s="246"/>
      <c r="M82" s="246"/>
      <c r="N82" s="240"/>
    </row>
    <row r="83" spans="2:14" ht="18" customHeight="1" x14ac:dyDescent="0.15">
      <c r="B83" s="246"/>
      <c r="C83" s="246"/>
      <c r="D83" s="240"/>
      <c r="E83" s="240"/>
      <c r="F83" s="240"/>
      <c r="G83" s="240"/>
      <c r="H83" s="263"/>
      <c r="I83" s="240"/>
      <c r="J83" s="240"/>
      <c r="K83" s="246"/>
      <c r="L83" s="246"/>
      <c r="M83" s="246"/>
      <c r="N83" s="240"/>
    </row>
    <row r="84" spans="2:14" ht="18" customHeight="1" x14ac:dyDescent="0.15">
      <c r="B84" s="246"/>
      <c r="C84" s="246"/>
      <c r="D84" s="240"/>
      <c r="E84" s="240"/>
      <c r="F84" s="240"/>
      <c r="G84" s="240"/>
      <c r="H84" s="263"/>
      <c r="I84" s="240"/>
      <c r="J84" s="240"/>
      <c r="K84" s="246"/>
      <c r="L84" s="246"/>
      <c r="M84" s="246"/>
      <c r="N84" s="240"/>
    </row>
    <row r="85" spans="2:14" ht="18" customHeight="1" x14ac:dyDescent="0.15">
      <c r="B85" s="246"/>
      <c r="C85" s="246"/>
      <c r="D85" s="240"/>
      <c r="E85" s="240"/>
      <c r="F85" s="240"/>
      <c r="G85" s="240"/>
      <c r="H85" s="263"/>
      <c r="I85" s="240"/>
      <c r="J85" s="240"/>
      <c r="K85" s="246"/>
      <c r="L85" s="246"/>
      <c r="M85" s="246"/>
      <c r="N85" s="240"/>
    </row>
    <row r="86" spans="2:14" ht="18" customHeight="1" x14ac:dyDescent="0.15">
      <c r="B86" s="246"/>
      <c r="C86" s="246"/>
      <c r="D86" s="240"/>
      <c r="E86" s="240"/>
      <c r="F86" s="240"/>
      <c r="G86" s="240"/>
      <c r="H86" s="263"/>
      <c r="I86" s="240"/>
      <c r="J86" s="240"/>
      <c r="K86" s="246"/>
      <c r="L86" s="246"/>
      <c r="M86" s="246"/>
      <c r="N86" s="240"/>
    </row>
    <row r="87" spans="2:14" ht="18" customHeight="1" x14ac:dyDescent="0.15">
      <c r="B87" s="246"/>
      <c r="C87" s="246"/>
      <c r="D87" s="240"/>
      <c r="E87" s="240"/>
      <c r="F87" s="240"/>
      <c r="G87" s="240"/>
      <c r="H87" s="263"/>
      <c r="I87" s="240"/>
      <c r="J87" s="240"/>
      <c r="K87" s="246"/>
      <c r="L87" s="246"/>
      <c r="M87" s="246"/>
      <c r="N87" s="240"/>
    </row>
    <row r="88" spans="2:14" ht="18" customHeight="1" x14ac:dyDescent="0.15">
      <c r="B88" s="246"/>
      <c r="C88" s="246"/>
      <c r="D88" s="240"/>
      <c r="E88" s="240"/>
      <c r="F88" s="240"/>
      <c r="G88" s="240"/>
      <c r="H88" s="263"/>
      <c r="I88" s="240"/>
      <c r="J88" s="240"/>
      <c r="K88" s="246"/>
      <c r="L88" s="246"/>
      <c r="M88" s="246"/>
      <c r="N88" s="240"/>
    </row>
    <row r="89" spans="2:14" ht="18" customHeight="1" x14ac:dyDescent="0.15">
      <c r="B89" s="246"/>
      <c r="C89" s="246"/>
      <c r="D89" s="240"/>
      <c r="E89" s="240"/>
      <c r="F89" s="240"/>
      <c r="G89" s="240"/>
      <c r="H89" s="263"/>
      <c r="I89" s="240"/>
      <c r="J89" s="240"/>
      <c r="K89" s="246"/>
      <c r="L89" s="246"/>
      <c r="M89" s="246"/>
      <c r="N89" s="240"/>
    </row>
    <row r="90" spans="2:14" ht="18" customHeight="1" x14ac:dyDescent="0.15">
      <c r="B90" s="246"/>
      <c r="C90" s="246"/>
      <c r="D90" s="240"/>
      <c r="E90" s="240"/>
      <c r="F90" s="240"/>
      <c r="G90" s="240"/>
      <c r="H90" s="263"/>
      <c r="I90" s="240"/>
      <c r="J90" s="240"/>
      <c r="K90" s="246"/>
      <c r="L90" s="246"/>
      <c r="M90" s="246"/>
      <c r="N90" s="240"/>
    </row>
    <row r="91" spans="2:14" ht="18" customHeight="1" x14ac:dyDescent="0.15">
      <c r="B91" s="246"/>
      <c r="C91" s="246"/>
      <c r="D91" s="240"/>
      <c r="E91" s="240"/>
      <c r="F91" s="240"/>
      <c r="G91" s="240"/>
      <c r="H91" s="263"/>
      <c r="I91" s="240"/>
      <c r="J91" s="240"/>
      <c r="K91" s="246"/>
      <c r="L91" s="246"/>
      <c r="M91" s="246"/>
      <c r="N91" s="240"/>
    </row>
    <row r="92" spans="2:14" ht="18" customHeight="1" x14ac:dyDescent="0.15">
      <c r="B92" s="246"/>
      <c r="C92" s="246"/>
      <c r="D92" s="240"/>
      <c r="E92" s="240"/>
      <c r="F92" s="240"/>
      <c r="G92" s="240"/>
      <c r="H92" s="263"/>
      <c r="I92" s="240"/>
      <c r="J92" s="240"/>
      <c r="K92" s="246"/>
      <c r="L92" s="246"/>
      <c r="M92" s="246"/>
      <c r="N92" s="240"/>
    </row>
    <row r="93" spans="2:14" ht="18" customHeight="1" x14ac:dyDescent="0.15">
      <c r="B93" s="246"/>
      <c r="C93" s="246"/>
      <c r="D93" s="240"/>
      <c r="E93" s="240"/>
      <c r="F93" s="240"/>
      <c r="G93" s="240"/>
      <c r="H93" s="263"/>
      <c r="I93" s="240"/>
      <c r="J93" s="240"/>
      <c r="K93" s="246"/>
      <c r="L93" s="246"/>
      <c r="M93" s="246"/>
      <c r="N93" s="240"/>
    </row>
    <row r="94" spans="2:14" ht="18" customHeight="1" x14ac:dyDescent="0.15">
      <c r="B94" s="246"/>
      <c r="C94" s="246"/>
      <c r="D94" s="240"/>
      <c r="E94" s="240"/>
      <c r="F94" s="240"/>
      <c r="G94" s="240"/>
      <c r="H94" s="263"/>
      <c r="I94" s="240"/>
      <c r="J94" s="240"/>
      <c r="K94" s="246"/>
      <c r="L94" s="246"/>
      <c r="M94" s="246"/>
      <c r="N94" s="240"/>
    </row>
    <row r="95" spans="2:14" ht="18" customHeight="1" x14ac:dyDescent="0.15">
      <c r="B95" s="246"/>
      <c r="C95" s="246"/>
      <c r="D95" s="240"/>
      <c r="E95" s="240"/>
      <c r="F95" s="240"/>
      <c r="G95" s="240"/>
      <c r="H95" s="263"/>
      <c r="I95" s="240"/>
      <c r="J95" s="240"/>
      <c r="K95" s="246"/>
      <c r="L95" s="246"/>
      <c r="M95" s="246"/>
      <c r="N95" s="240"/>
    </row>
    <row r="96" spans="2:14" ht="18" customHeight="1" x14ac:dyDescent="0.15">
      <c r="B96" s="246"/>
      <c r="C96" s="246"/>
      <c r="D96" s="240"/>
      <c r="E96" s="240"/>
      <c r="F96" s="240"/>
      <c r="G96" s="240"/>
      <c r="H96" s="263"/>
      <c r="I96" s="240"/>
      <c r="J96" s="240"/>
      <c r="K96" s="246"/>
      <c r="L96" s="246"/>
      <c r="M96" s="246"/>
      <c r="N96" s="240"/>
    </row>
    <row r="97" spans="2:14" ht="18" customHeight="1" x14ac:dyDescent="0.15">
      <c r="B97" s="246"/>
      <c r="C97" s="246"/>
      <c r="D97" s="240"/>
      <c r="E97" s="240"/>
      <c r="F97" s="240"/>
      <c r="G97" s="240"/>
      <c r="H97" s="263"/>
      <c r="I97" s="240"/>
      <c r="J97" s="240"/>
      <c r="K97" s="246"/>
      <c r="L97" s="246"/>
      <c r="M97" s="246"/>
      <c r="N97" s="240"/>
    </row>
    <row r="98" spans="2:14" ht="18" customHeight="1" x14ac:dyDescent="0.15">
      <c r="B98" s="246"/>
      <c r="C98" s="246"/>
      <c r="D98" s="240"/>
      <c r="E98" s="240"/>
      <c r="F98" s="240"/>
      <c r="G98" s="240"/>
      <c r="H98" s="263"/>
      <c r="I98" s="240"/>
      <c r="J98" s="240"/>
      <c r="K98" s="246"/>
      <c r="L98" s="246"/>
      <c r="M98" s="246"/>
      <c r="N98" s="240"/>
    </row>
    <row r="99" spans="2:14" ht="18" customHeight="1" x14ac:dyDescent="0.15">
      <c r="B99" s="246"/>
      <c r="C99" s="246"/>
      <c r="D99" s="240"/>
      <c r="E99" s="240"/>
      <c r="F99" s="240"/>
      <c r="G99" s="240"/>
      <c r="H99" s="263"/>
      <c r="I99" s="240"/>
      <c r="J99" s="240"/>
      <c r="K99" s="246"/>
      <c r="L99" s="246"/>
      <c r="M99" s="246"/>
      <c r="N99" s="240"/>
    </row>
    <row r="100" spans="2:14" ht="18" customHeight="1" x14ac:dyDescent="0.15">
      <c r="B100" s="246"/>
      <c r="C100" s="246"/>
      <c r="D100" s="240"/>
      <c r="E100" s="240"/>
      <c r="F100" s="240"/>
      <c r="G100" s="240"/>
      <c r="H100" s="263"/>
      <c r="I100" s="240"/>
      <c r="J100" s="240"/>
      <c r="K100" s="246"/>
      <c r="L100" s="246"/>
      <c r="M100" s="246"/>
      <c r="N100" s="240"/>
    </row>
    <row r="101" spans="2:14" ht="18" customHeight="1" x14ac:dyDescent="0.15">
      <c r="B101" s="246"/>
      <c r="C101" s="246"/>
      <c r="D101" s="240"/>
      <c r="E101" s="240"/>
      <c r="F101" s="240"/>
      <c r="G101" s="240"/>
      <c r="H101" s="263"/>
      <c r="I101" s="240"/>
      <c r="J101" s="240"/>
      <c r="K101" s="246"/>
      <c r="L101" s="246"/>
      <c r="M101" s="246"/>
      <c r="N101" s="240"/>
    </row>
    <row r="102" spans="2:14" ht="18" customHeight="1" x14ac:dyDescent="0.15">
      <c r="B102" s="246"/>
      <c r="C102" s="246"/>
      <c r="D102" s="240"/>
      <c r="E102" s="240"/>
      <c r="F102" s="240"/>
      <c r="G102" s="240"/>
      <c r="H102" s="263"/>
      <c r="I102" s="240"/>
      <c r="J102" s="240"/>
      <c r="K102" s="246"/>
      <c r="L102" s="246"/>
      <c r="M102" s="246"/>
      <c r="N102" s="240"/>
    </row>
    <row r="103" spans="2:14" ht="18" customHeight="1" x14ac:dyDescent="0.15">
      <c r="B103" s="246"/>
      <c r="C103" s="246"/>
      <c r="D103" s="240"/>
      <c r="E103" s="240"/>
      <c r="F103" s="240"/>
      <c r="G103" s="240"/>
      <c r="H103" s="263"/>
      <c r="I103" s="240"/>
      <c r="J103" s="240"/>
      <c r="K103" s="246"/>
      <c r="L103" s="246"/>
      <c r="M103" s="246"/>
      <c r="N103" s="240"/>
    </row>
    <row r="104" spans="2:14" ht="18" customHeight="1" x14ac:dyDescent="0.15">
      <c r="B104" s="246"/>
      <c r="C104" s="246"/>
      <c r="D104" s="240"/>
      <c r="E104" s="240"/>
      <c r="F104" s="240"/>
      <c r="G104" s="240"/>
      <c r="H104" s="263"/>
      <c r="I104" s="240"/>
      <c r="J104" s="240"/>
      <c r="K104" s="246"/>
      <c r="L104" s="246"/>
      <c r="M104" s="246"/>
      <c r="N104" s="240"/>
    </row>
    <row r="105" spans="2:14" ht="18" customHeight="1" x14ac:dyDescent="0.15">
      <c r="B105" s="246"/>
      <c r="C105" s="246"/>
      <c r="D105" s="240"/>
      <c r="E105" s="240"/>
      <c r="F105" s="240"/>
      <c r="G105" s="240"/>
      <c r="H105" s="263"/>
      <c r="I105" s="240"/>
      <c r="J105" s="240"/>
      <c r="K105" s="246"/>
      <c r="L105" s="246"/>
      <c r="M105" s="246"/>
      <c r="N105" s="240"/>
    </row>
    <row r="106" spans="2:14" ht="18" customHeight="1" x14ac:dyDescent="0.15">
      <c r="B106" s="246"/>
      <c r="C106" s="246"/>
      <c r="D106" s="240"/>
      <c r="E106" s="240"/>
      <c r="F106" s="240"/>
      <c r="G106" s="240"/>
      <c r="H106" s="263"/>
      <c r="I106" s="240"/>
      <c r="J106" s="240"/>
      <c r="K106" s="246"/>
      <c r="L106" s="246"/>
      <c r="M106" s="246"/>
      <c r="N106" s="240"/>
    </row>
    <row r="107" spans="2:14" ht="18" customHeight="1" x14ac:dyDescent="0.15">
      <c r="B107" s="246"/>
      <c r="C107" s="246"/>
      <c r="D107" s="240"/>
      <c r="E107" s="240"/>
      <c r="F107" s="240"/>
      <c r="G107" s="240"/>
      <c r="H107" s="263"/>
      <c r="I107" s="240"/>
      <c r="J107" s="240"/>
      <c r="K107" s="246"/>
      <c r="L107" s="246"/>
      <c r="M107" s="246"/>
      <c r="N107" s="240"/>
    </row>
    <row r="108" spans="2:14" ht="18" customHeight="1" x14ac:dyDescent="0.15">
      <c r="B108" s="246"/>
      <c r="C108" s="246"/>
      <c r="D108" s="240"/>
      <c r="E108" s="240"/>
      <c r="F108" s="240"/>
      <c r="G108" s="240"/>
      <c r="H108" s="263"/>
      <c r="I108" s="240"/>
      <c r="J108" s="240"/>
      <c r="K108" s="246"/>
      <c r="L108" s="246"/>
      <c r="M108" s="246"/>
      <c r="N108" s="240"/>
    </row>
    <row r="109" spans="2:14" ht="18" customHeight="1" x14ac:dyDescent="0.15">
      <c r="B109" s="246"/>
      <c r="C109" s="246"/>
      <c r="D109" s="240"/>
      <c r="E109" s="240"/>
      <c r="F109" s="240"/>
      <c r="G109" s="240"/>
      <c r="H109" s="263"/>
      <c r="I109" s="240"/>
      <c r="J109" s="240"/>
      <c r="K109" s="246"/>
      <c r="L109" s="246"/>
      <c r="M109" s="246"/>
      <c r="N109" s="240"/>
    </row>
    <row r="110" spans="2:14" ht="18" customHeight="1" x14ac:dyDescent="0.15">
      <c r="B110" s="246"/>
      <c r="C110" s="246"/>
      <c r="D110" s="240"/>
      <c r="E110" s="240"/>
      <c r="F110" s="240"/>
      <c r="G110" s="240"/>
      <c r="H110" s="263"/>
      <c r="I110" s="240"/>
      <c r="J110" s="240"/>
      <c r="K110" s="246"/>
      <c r="L110" s="246"/>
      <c r="M110" s="246"/>
      <c r="N110" s="240"/>
    </row>
    <row r="111" spans="2:14" ht="18" customHeight="1" x14ac:dyDescent="0.15">
      <c r="B111" s="246"/>
      <c r="C111" s="246"/>
      <c r="D111" s="240"/>
      <c r="E111" s="240"/>
      <c r="F111" s="240"/>
      <c r="G111" s="240"/>
      <c r="H111" s="263"/>
      <c r="I111" s="240"/>
      <c r="J111" s="240"/>
      <c r="K111" s="246"/>
      <c r="L111" s="246"/>
      <c r="M111" s="246"/>
      <c r="N111" s="240"/>
    </row>
    <row r="112" spans="2:14" ht="18" customHeight="1" x14ac:dyDescent="0.15">
      <c r="B112" s="246"/>
      <c r="C112" s="246"/>
      <c r="D112" s="240"/>
      <c r="E112" s="240"/>
      <c r="F112" s="240"/>
      <c r="G112" s="240"/>
      <c r="H112" s="263"/>
      <c r="I112" s="240"/>
      <c r="J112" s="240"/>
      <c r="K112" s="246"/>
      <c r="L112" s="246"/>
      <c r="M112" s="246"/>
      <c r="N112" s="240"/>
    </row>
    <row r="113" spans="2:14" ht="18" customHeight="1" x14ac:dyDescent="0.15">
      <c r="B113" s="246"/>
      <c r="C113" s="246"/>
      <c r="D113" s="240"/>
      <c r="E113" s="240"/>
      <c r="F113" s="240"/>
      <c r="G113" s="240"/>
      <c r="H113" s="263"/>
      <c r="I113" s="240"/>
      <c r="J113" s="240"/>
      <c r="K113" s="246"/>
      <c r="L113" s="246"/>
      <c r="M113" s="246"/>
      <c r="N113" s="240"/>
    </row>
    <row r="114" spans="2:14" ht="18" customHeight="1" x14ac:dyDescent="0.15">
      <c r="B114" s="246"/>
      <c r="C114" s="246"/>
      <c r="D114" s="240"/>
      <c r="E114" s="240"/>
      <c r="F114" s="240"/>
      <c r="G114" s="240"/>
      <c r="H114" s="263"/>
      <c r="I114" s="240"/>
      <c r="J114" s="240"/>
      <c r="K114" s="246"/>
      <c r="L114" s="246"/>
      <c r="M114" s="246"/>
      <c r="N114" s="240"/>
    </row>
    <row r="115" spans="2:14" ht="18" customHeight="1" x14ac:dyDescent="0.15">
      <c r="B115" s="246"/>
      <c r="C115" s="246"/>
      <c r="D115" s="240"/>
      <c r="E115" s="240"/>
      <c r="F115" s="240"/>
      <c r="G115" s="240"/>
      <c r="H115" s="263"/>
      <c r="I115" s="240"/>
      <c r="J115" s="240"/>
      <c r="K115" s="246"/>
      <c r="L115" s="246"/>
      <c r="M115" s="246"/>
      <c r="N115" s="240"/>
    </row>
    <row r="116" spans="2:14" ht="18" customHeight="1" x14ac:dyDescent="0.15">
      <c r="B116" s="246"/>
      <c r="C116" s="246"/>
      <c r="D116" s="240"/>
      <c r="E116" s="240"/>
      <c r="F116" s="240"/>
      <c r="G116" s="240"/>
      <c r="H116" s="263"/>
      <c r="I116" s="240"/>
      <c r="J116" s="240"/>
      <c r="K116" s="246"/>
      <c r="L116" s="246"/>
      <c r="M116" s="246"/>
      <c r="N116" s="240"/>
    </row>
    <row r="117" spans="2:14" ht="18" customHeight="1" x14ac:dyDescent="0.15">
      <c r="B117" s="246"/>
      <c r="C117" s="246"/>
      <c r="D117" s="240"/>
      <c r="E117" s="240"/>
      <c r="F117" s="240"/>
      <c r="G117" s="240"/>
      <c r="H117" s="263"/>
      <c r="I117" s="240"/>
      <c r="J117" s="240"/>
      <c r="K117" s="246"/>
      <c r="L117" s="246"/>
      <c r="M117" s="246"/>
      <c r="N117" s="240"/>
    </row>
    <row r="118" spans="2:14" ht="18" customHeight="1" x14ac:dyDescent="0.15">
      <c r="B118" s="246"/>
      <c r="C118" s="246"/>
      <c r="D118" s="240"/>
      <c r="E118" s="240"/>
      <c r="F118" s="240"/>
      <c r="G118" s="240"/>
      <c r="H118" s="263"/>
      <c r="I118" s="240"/>
      <c r="J118" s="240"/>
      <c r="K118" s="246"/>
      <c r="L118" s="246"/>
      <c r="M118" s="246"/>
      <c r="N118" s="240"/>
    </row>
    <row r="119" spans="2:14" ht="18" customHeight="1" x14ac:dyDescent="0.15">
      <c r="B119" s="246"/>
      <c r="C119" s="246"/>
      <c r="D119" s="240"/>
      <c r="E119" s="240"/>
      <c r="F119" s="240"/>
      <c r="G119" s="240"/>
      <c r="H119" s="263"/>
      <c r="I119" s="240"/>
      <c r="J119" s="240"/>
      <c r="K119" s="246"/>
      <c r="L119" s="246"/>
      <c r="M119" s="246"/>
      <c r="N119" s="240"/>
    </row>
    <row r="120" spans="2:14" ht="18" customHeight="1" x14ac:dyDescent="0.15">
      <c r="B120" s="246"/>
      <c r="C120" s="246"/>
      <c r="D120" s="240"/>
      <c r="E120" s="240"/>
      <c r="F120" s="240"/>
      <c r="G120" s="240"/>
      <c r="H120" s="263"/>
      <c r="I120" s="240"/>
      <c r="J120" s="240"/>
      <c r="K120" s="246"/>
      <c r="L120" s="246"/>
      <c r="M120" s="246"/>
      <c r="N120" s="240"/>
    </row>
    <row r="121" spans="2:14" ht="18" customHeight="1" x14ac:dyDescent="0.15">
      <c r="B121" s="246"/>
      <c r="C121" s="246"/>
      <c r="D121" s="240"/>
      <c r="E121" s="240"/>
      <c r="F121" s="240"/>
      <c r="G121" s="240"/>
      <c r="H121" s="263"/>
      <c r="I121" s="240"/>
      <c r="J121" s="240"/>
      <c r="K121" s="246"/>
      <c r="L121" s="246"/>
      <c r="M121" s="246"/>
      <c r="N121" s="240"/>
    </row>
    <row r="122" spans="2:14" ht="18" customHeight="1" x14ac:dyDescent="0.15">
      <c r="B122" s="246"/>
      <c r="C122" s="246"/>
      <c r="D122" s="240"/>
      <c r="E122" s="240"/>
      <c r="F122" s="240"/>
      <c r="G122" s="240"/>
      <c r="H122" s="263"/>
      <c r="I122" s="240"/>
      <c r="J122" s="240"/>
      <c r="K122" s="246"/>
      <c r="L122" s="246"/>
      <c r="M122" s="246"/>
      <c r="N122" s="240"/>
    </row>
    <row r="123" spans="2:14" ht="18" customHeight="1" x14ac:dyDescent="0.15">
      <c r="B123" s="246"/>
      <c r="C123" s="246"/>
      <c r="D123" s="240"/>
      <c r="E123" s="240"/>
      <c r="F123" s="240"/>
      <c r="G123" s="240"/>
      <c r="H123" s="263"/>
      <c r="I123" s="240"/>
      <c r="J123" s="240"/>
      <c r="K123" s="246"/>
      <c r="L123" s="246"/>
      <c r="M123" s="246"/>
      <c r="N123" s="240"/>
    </row>
    <row r="124" spans="2:14" ht="18" customHeight="1" x14ac:dyDescent="0.15">
      <c r="B124" s="246"/>
      <c r="C124" s="246"/>
      <c r="D124" s="240"/>
      <c r="E124" s="240"/>
      <c r="F124" s="240"/>
      <c r="G124" s="240"/>
      <c r="H124" s="263"/>
      <c r="I124" s="240"/>
      <c r="J124" s="240"/>
      <c r="K124" s="246"/>
      <c r="L124" s="246"/>
      <c r="M124" s="246"/>
      <c r="N124" s="240"/>
    </row>
    <row r="125" spans="2:14" ht="18" customHeight="1" x14ac:dyDescent="0.15">
      <c r="B125" s="246"/>
      <c r="C125" s="246"/>
      <c r="D125" s="240"/>
      <c r="E125" s="240"/>
      <c r="F125" s="240"/>
      <c r="G125" s="240"/>
      <c r="H125" s="263"/>
      <c r="I125" s="240"/>
      <c r="J125" s="240"/>
      <c r="K125" s="246"/>
      <c r="L125" s="246"/>
      <c r="M125" s="246"/>
      <c r="N125" s="240"/>
    </row>
    <row r="126" spans="2:14" ht="18" customHeight="1" x14ac:dyDescent="0.15">
      <c r="B126" s="246"/>
      <c r="C126" s="246"/>
      <c r="D126" s="240"/>
      <c r="E126" s="240"/>
      <c r="F126" s="240"/>
      <c r="G126" s="240"/>
      <c r="H126" s="263"/>
      <c r="I126" s="240"/>
      <c r="J126" s="240"/>
      <c r="K126" s="246"/>
      <c r="L126" s="246"/>
      <c r="M126" s="246"/>
      <c r="N126" s="240"/>
    </row>
    <row r="127" spans="2:14" ht="18" customHeight="1" x14ac:dyDescent="0.15">
      <c r="B127" s="246"/>
      <c r="C127" s="246"/>
      <c r="D127" s="240"/>
      <c r="E127" s="240"/>
      <c r="F127" s="240"/>
      <c r="G127" s="240"/>
      <c r="H127" s="263"/>
      <c r="I127" s="240"/>
      <c r="J127" s="240"/>
      <c r="K127" s="246"/>
      <c r="L127" s="246"/>
      <c r="M127" s="246"/>
      <c r="N127" s="240"/>
    </row>
    <row r="128" spans="2:14" ht="18" customHeight="1" x14ac:dyDescent="0.15">
      <c r="B128" s="246"/>
      <c r="C128" s="246"/>
      <c r="D128" s="240"/>
      <c r="E128" s="240"/>
      <c r="F128" s="240"/>
      <c r="G128" s="240"/>
      <c r="H128" s="263"/>
      <c r="I128" s="240"/>
      <c r="J128" s="240"/>
      <c r="K128" s="246"/>
      <c r="L128" s="246"/>
      <c r="M128" s="246"/>
      <c r="N128" s="240"/>
    </row>
    <row r="129" spans="2:14" ht="18" customHeight="1" x14ac:dyDescent="0.15">
      <c r="B129" s="246"/>
      <c r="C129" s="246"/>
      <c r="D129" s="240"/>
      <c r="E129" s="240"/>
      <c r="F129" s="240"/>
      <c r="G129" s="240"/>
      <c r="H129" s="263"/>
      <c r="I129" s="240"/>
      <c r="J129" s="240"/>
      <c r="K129" s="246"/>
      <c r="L129" s="246"/>
      <c r="M129" s="246"/>
      <c r="N129" s="240"/>
    </row>
    <row r="130" spans="2:14" ht="18" customHeight="1" x14ac:dyDescent="0.15">
      <c r="B130" s="246"/>
      <c r="C130" s="246"/>
      <c r="D130" s="240"/>
      <c r="E130" s="240"/>
      <c r="F130" s="240"/>
      <c r="G130" s="240"/>
      <c r="H130" s="263"/>
      <c r="I130" s="240"/>
      <c r="J130" s="240"/>
      <c r="K130" s="246"/>
      <c r="L130" s="246"/>
      <c r="M130" s="246"/>
      <c r="N130" s="240"/>
    </row>
    <row r="131" spans="2:14" ht="18" customHeight="1" x14ac:dyDescent="0.15">
      <c r="B131" s="246"/>
      <c r="C131" s="246"/>
      <c r="D131" s="240"/>
      <c r="E131" s="240"/>
      <c r="F131" s="240"/>
      <c r="G131" s="240"/>
      <c r="H131" s="263"/>
      <c r="I131" s="240"/>
      <c r="J131" s="240"/>
      <c r="K131" s="246"/>
      <c r="L131" s="246"/>
      <c r="M131" s="246"/>
      <c r="N131" s="240"/>
    </row>
    <row r="132" spans="2:14" ht="18" customHeight="1" x14ac:dyDescent="0.15">
      <c r="B132" s="246"/>
      <c r="C132" s="246"/>
      <c r="D132" s="240"/>
      <c r="E132" s="240"/>
      <c r="F132" s="240"/>
      <c r="G132" s="240"/>
      <c r="H132" s="263"/>
      <c r="I132" s="240"/>
      <c r="J132" s="240"/>
      <c r="K132" s="246"/>
      <c r="L132" s="246"/>
      <c r="M132" s="246"/>
      <c r="N132" s="240"/>
    </row>
    <row r="133" spans="2:14" ht="18" customHeight="1" x14ac:dyDescent="0.15">
      <c r="B133" s="246"/>
      <c r="C133" s="246"/>
      <c r="D133" s="240"/>
      <c r="E133" s="240"/>
      <c r="F133" s="240"/>
      <c r="G133" s="240"/>
      <c r="H133" s="263"/>
      <c r="I133" s="240"/>
      <c r="J133" s="240"/>
      <c r="K133" s="246"/>
      <c r="L133" s="246"/>
      <c r="M133" s="246"/>
      <c r="N133" s="240"/>
    </row>
    <row r="134" spans="2:14" ht="18" customHeight="1" x14ac:dyDescent="0.15">
      <c r="B134" s="246"/>
      <c r="C134" s="246"/>
      <c r="D134" s="240"/>
      <c r="E134" s="240"/>
      <c r="F134" s="240"/>
      <c r="G134" s="240"/>
      <c r="H134" s="263"/>
      <c r="I134" s="240"/>
      <c r="J134" s="240"/>
      <c r="K134" s="246"/>
      <c r="L134" s="246"/>
      <c r="M134" s="246"/>
      <c r="N134" s="240"/>
    </row>
    <row r="135" spans="2:14" ht="18" customHeight="1" x14ac:dyDescent="0.15">
      <c r="B135" s="246"/>
      <c r="C135" s="246"/>
      <c r="D135" s="240"/>
      <c r="E135" s="240"/>
      <c r="F135" s="240"/>
      <c r="G135" s="240"/>
      <c r="H135" s="263"/>
      <c r="I135" s="240"/>
      <c r="J135" s="240"/>
      <c r="K135" s="246"/>
      <c r="L135" s="246"/>
      <c r="M135" s="246"/>
      <c r="N135" s="240"/>
    </row>
    <row r="136" spans="2:14" ht="18" customHeight="1" x14ac:dyDescent="0.15">
      <c r="B136" s="246"/>
      <c r="C136" s="246"/>
      <c r="D136" s="240"/>
      <c r="E136" s="240"/>
      <c r="F136" s="240"/>
      <c r="G136" s="240"/>
      <c r="H136" s="263"/>
      <c r="I136" s="240"/>
      <c r="J136" s="240"/>
      <c r="K136" s="246"/>
      <c r="L136" s="246"/>
      <c r="M136" s="246"/>
      <c r="N136" s="240"/>
    </row>
    <row r="137" spans="2:14" ht="18" customHeight="1" x14ac:dyDescent="0.15">
      <c r="B137" s="246"/>
      <c r="C137" s="246"/>
      <c r="D137" s="240"/>
      <c r="E137" s="240"/>
      <c r="F137" s="240"/>
      <c r="G137" s="240"/>
      <c r="H137" s="263"/>
      <c r="I137" s="240"/>
      <c r="J137" s="240"/>
      <c r="K137" s="246"/>
      <c r="L137" s="246"/>
      <c r="M137" s="246"/>
      <c r="N137" s="240"/>
    </row>
    <row r="138" spans="2:14" ht="18" customHeight="1" x14ac:dyDescent="0.15">
      <c r="B138" s="246"/>
      <c r="C138" s="246"/>
      <c r="D138" s="240"/>
      <c r="E138" s="240"/>
      <c r="F138" s="240"/>
      <c r="G138" s="240"/>
      <c r="H138" s="263"/>
      <c r="I138" s="240"/>
      <c r="J138" s="240"/>
      <c r="K138" s="246"/>
      <c r="L138" s="246"/>
      <c r="M138" s="246"/>
      <c r="N138" s="240"/>
    </row>
    <row r="139" spans="2:14" ht="18" customHeight="1" x14ac:dyDescent="0.15">
      <c r="B139" s="246"/>
      <c r="C139" s="246"/>
      <c r="D139" s="240"/>
      <c r="E139" s="240"/>
      <c r="F139" s="240"/>
      <c r="G139" s="240"/>
      <c r="H139" s="263"/>
      <c r="I139" s="240"/>
      <c r="J139" s="240"/>
      <c r="K139" s="246"/>
      <c r="L139" s="246"/>
      <c r="M139" s="246"/>
      <c r="N139" s="240"/>
    </row>
    <row r="140" spans="2:14" ht="18" customHeight="1" x14ac:dyDescent="0.15">
      <c r="B140" s="246"/>
      <c r="C140" s="246"/>
      <c r="D140" s="240"/>
      <c r="E140" s="240"/>
      <c r="F140" s="240"/>
      <c r="G140" s="240"/>
      <c r="H140" s="263"/>
      <c r="I140" s="240"/>
      <c r="J140" s="240"/>
      <c r="K140" s="246"/>
      <c r="L140" s="246"/>
      <c r="M140" s="246"/>
      <c r="N140" s="240"/>
    </row>
    <row r="141" spans="2:14" ht="18" customHeight="1" x14ac:dyDescent="0.15">
      <c r="B141" s="246"/>
      <c r="C141" s="246"/>
      <c r="D141" s="240"/>
      <c r="E141" s="240"/>
      <c r="F141" s="240"/>
      <c r="G141" s="240"/>
      <c r="H141" s="263"/>
      <c r="I141" s="240"/>
      <c r="J141" s="240"/>
      <c r="K141" s="246"/>
      <c r="L141" s="246"/>
      <c r="M141" s="246"/>
      <c r="N141" s="240"/>
    </row>
    <row r="142" spans="2:14" ht="18" customHeight="1" x14ac:dyDescent="0.15">
      <c r="B142" s="246"/>
      <c r="C142" s="246"/>
      <c r="D142" s="240"/>
      <c r="E142" s="240"/>
      <c r="F142" s="240"/>
      <c r="G142" s="240"/>
      <c r="H142" s="263"/>
      <c r="I142" s="240"/>
      <c r="J142" s="240"/>
      <c r="K142" s="246"/>
      <c r="L142" s="246"/>
      <c r="M142" s="246"/>
      <c r="N142" s="240"/>
    </row>
    <row r="143" spans="2:14" ht="18" customHeight="1" x14ac:dyDescent="0.15">
      <c r="B143" s="246"/>
      <c r="C143" s="246"/>
      <c r="D143" s="240"/>
      <c r="E143" s="240"/>
      <c r="F143" s="240"/>
      <c r="G143" s="240"/>
      <c r="H143" s="263"/>
      <c r="I143" s="240"/>
      <c r="J143" s="240"/>
      <c r="K143" s="246"/>
      <c r="L143" s="246"/>
      <c r="M143" s="246"/>
      <c r="N143" s="240"/>
    </row>
    <row r="144" spans="2:14" ht="18" customHeight="1" x14ac:dyDescent="0.15">
      <c r="B144" s="246"/>
      <c r="C144" s="246"/>
      <c r="D144" s="240"/>
      <c r="E144" s="240"/>
      <c r="F144" s="240"/>
      <c r="G144" s="240"/>
      <c r="H144" s="263"/>
      <c r="I144" s="240"/>
      <c r="J144" s="240"/>
      <c r="K144" s="246"/>
      <c r="L144" s="246"/>
      <c r="M144" s="246"/>
      <c r="N144" s="240"/>
    </row>
    <row r="145" spans="2:14" ht="18" customHeight="1" x14ac:dyDescent="0.15">
      <c r="B145" s="246"/>
      <c r="C145" s="246"/>
      <c r="D145" s="240"/>
      <c r="E145" s="240"/>
      <c r="F145" s="240"/>
      <c r="G145" s="240"/>
      <c r="H145" s="263"/>
      <c r="I145" s="240"/>
      <c r="J145" s="240"/>
      <c r="K145" s="246"/>
      <c r="L145" s="246"/>
      <c r="M145" s="246"/>
      <c r="N145" s="240"/>
    </row>
    <row r="146" spans="2:14" ht="18" customHeight="1" x14ac:dyDescent="0.15">
      <c r="B146" s="246"/>
      <c r="C146" s="246"/>
      <c r="D146" s="240"/>
      <c r="E146" s="240"/>
      <c r="F146" s="240"/>
      <c r="G146" s="240"/>
      <c r="H146" s="263"/>
      <c r="I146" s="240"/>
      <c r="J146" s="240"/>
      <c r="K146" s="246"/>
      <c r="L146" s="246"/>
      <c r="M146" s="246"/>
      <c r="N146" s="240"/>
    </row>
    <row r="147" spans="2:14" ht="18" customHeight="1" x14ac:dyDescent="0.15">
      <c r="B147" s="246"/>
      <c r="C147" s="246"/>
      <c r="D147" s="240"/>
      <c r="E147" s="240"/>
      <c r="F147" s="240"/>
      <c r="G147" s="240"/>
      <c r="H147" s="263"/>
      <c r="I147" s="240"/>
      <c r="J147" s="240"/>
      <c r="K147" s="246"/>
      <c r="L147" s="246"/>
      <c r="M147" s="246"/>
      <c r="N147" s="240"/>
    </row>
    <row r="148" spans="2:14" ht="18" customHeight="1" x14ac:dyDescent="0.15">
      <c r="B148" s="246"/>
      <c r="C148" s="246"/>
      <c r="D148" s="240"/>
      <c r="E148" s="240"/>
      <c r="F148" s="240"/>
      <c r="G148" s="240"/>
      <c r="H148" s="263"/>
      <c r="I148" s="240"/>
      <c r="J148" s="240"/>
      <c r="K148" s="246"/>
      <c r="L148" s="246"/>
      <c r="M148" s="246"/>
      <c r="N148" s="240"/>
    </row>
    <row r="149" spans="2:14" ht="18" customHeight="1" x14ac:dyDescent="0.15">
      <c r="B149" s="246"/>
      <c r="C149" s="246"/>
      <c r="D149" s="240"/>
      <c r="E149" s="240"/>
      <c r="F149" s="240"/>
      <c r="G149" s="240"/>
      <c r="H149" s="263"/>
      <c r="I149" s="240"/>
      <c r="J149" s="240"/>
      <c r="K149" s="246"/>
      <c r="L149" s="246"/>
      <c r="M149" s="246"/>
      <c r="N149" s="240"/>
    </row>
    <row r="150" spans="2:14" ht="18" customHeight="1" x14ac:dyDescent="0.15">
      <c r="B150" s="246"/>
      <c r="C150" s="246"/>
      <c r="D150" s="240"/>
      <c r="E150" s="240"/>
      <c r="F150" s="240"/>
      <c r="G150" s="240"/>
      <c r="H150" s="263"/>
      <c r="I150" s="240"/>
      <c r="J150" s="240"/>
      <c r="K150" s="246"/>
      <c r="L150" s="246"/>
      <c r="M150" s="246"/>
      <c r="N150" s="240"/>
    </row>
    <row r="151" spans="2:14" ht="18" customHeight="1" x14ac:dyDescent="0.15">
      <c r="B151" s="246"/>
      <c r="C151" s="246"/>
      <c r="D151" s="240"/>
      <c r="E151" s="240"/>
      <c r="F151" s="240"/>
      <c r="G151" s="240"/>
      <c r="H151" s="263"/>
      <c r="I151" s="240"/>
      <c r="J151" s="240"/>
      <c r="K151" s="246"/>
      <c r="L151" s="246"/>
      <c r="M151" s="246"/>
      <c r="N151" s="240"/>
    </row>
    <row r="152" spans="2:14" ht="18" customHeight="1" x14ac:dyDescent="0.15">
      <c r="B152" s="246"/>
      <c r="C152" s="246"/>
      <c r="D152" s="240"/>
      <c r="E152" s="240"/>
      <c r="F152" s="240"/>
      <c r="G152" s="240"/>
      <c r="H152" s="263"/>
      <c r="I152" s="240"/>
      <c r="J152" s="240"/>
      <c r="K152" s="246"/>
      <c r="L152" s="246"/>
      <c r="M152" s="246"/>
      <c r="N152" s="240"/>
    </row>
    <row r="153" spans="2:14" ht="18" customHeight="1" x14ac:dyDescent="0.15">
      <c r="B153" s="246"/>
      <c r="C153" s="246"/>
      <c r="D153" s="240"/>
      <c r="E153" s="240"/>
      <c r="F153" s="240"/>
      <c r="G153" s="240"/>
      <c r="H153" s="263"/>
      <c r="I153" s="240"/>
      <c r="J153" s="240"/>
      <c r="K153" s="246"/>
      <c r="L153" s="246"/>
      <c r="M153" s="246"/>
      <c r="N153" s="240"/>
    </row>
    <row r="154" spans="2:14" ht="18" customHeight="1" x14ac:dyDescent="0.15">
      <c r="B154" s="246"/>
      <c r="C154" s="246"/>
      <c r="D154" s="240"/>
      <c r="E154" s="240"/>
      <c r="F154" s="240"/>
      <c r="G154" s="240"/>
      <c r="H154" s="263"/>
      <c r="I154" s="240"/>
      <c r="J154" s="240"/>
      <c r="K154" s="246"/>
      <c r="L154" s="246"/>
      <c r="M154" s="246"/>
      <c r="N154" s="240"/>
    </row>
    <row r="155" spans="2:14" ht="18" customHeight="1" x14ac:dyDescent="0.15">
      <c r="B155" s="246"/>
      <c r="C155" s="246"/>
      <c r="D155" s="240"/>
      <c r="E155" s="240"/>
      <c r="F155" s="240"/>
      <c r="G155" s="240"/>
      <c r="H155" s="263"/>
      <c r="I155" s="240"/>
      <c r="J155" s="240"/>
      <c r="K155" s="246"/>
      <c r="L155" s="246"/>
      <c r="M155" s="246"/>
      <c r="N155" s="240"/>
    </row>
    <row r="156" spans="2:14" ht="18" customHeight="1" x14ac:dyDescent="0.15">
      <c r="B156" s="246"/>
      <c r="C156" s="246"/>
      <c r="D156" s="240"/>
      <c r="E156" s="240"/>
      <c r="F156" s="240"/>
      <c r="G156" s="240"/>
      <c r="H156" s="263"/>
      <c r="I156" s="240"/>
      <c r="J156" s="240"/>
      <c r="K156" s="246"/>
      <c r="L156" s="246"/>
      <c r="M156" s="246"/>
      <c r="N156" s="240"/>
    </row>
    <row r="157" spans="2:14" ht="18" customHeight="1" x14ac:dyDescent="0.15">
      <c r="B157" s="246"/>
      <c r="C157" s="246"/>
      <c r="D157" s="240"/>
      <c r="E157" s="240"/>
      <c r="F157" s="240"/>
      <c r="G157" s="240"/>
      <c r="H157" s="263"/>
      <c r="I157" s="240"/>
      <c r="J157" s="240"/>
      <c r="K157" s="246"/>
      <c r="L157" s="246"/>
      <c r="M157" s="246"/>
      <c r="N157" s="240"/>
    </row>
    <row r="158" spans="2:14" ht="18" customHeight="1" x14ac:dyDescent="0.15">
      <c r="B158" s="246"/>
      <c r="C158" s="246"/>
      <c r="D158" s="240"/>
      <c r="E158" s="240"/>
      <c r="F158" s="240"/>
      <c r="G158" s="240"/>
      <c r="H158" s="263"/>
      <c r="I158" s="240"/>
      <c r="J158" s="240"/>
      <c r="K158" s="246"/>
      <c r="L158" s="246"/>
      <c r="M158" s="246"/>
      <c r="N158" s="240"/>
    </row>
    <row r="159" spans="2:14" ht="18" customHeight="1" x14ac:dyDescent="0.15">
      <c r="B159" s="246"/>
      <c r="C159" s="246"/>
      <c r="D159" s="240"/>
      <c r="E159" s="240"/>
      <c r="F159" s="240"/>
      <c r="G159" s="240"/>
      <c r="H159" s="263"/>
      <c r="I159" s="240"/>
      <c r="J159" s="240"/>
      <c r="K159" s="246"/>
      <c r="L159" s="246"/>
      <c r="M159" s="246"/>
      <c r="N159" s="240"/>
    </row>
    <row r="160" spans="2:14" ht="18" customHeight="1" x14ac:dyDescent="0.15">
      <c r="B160" s="246"/>
      <c r="C160" s="246"/>
      <c r="D160" s="240"/>
      <c r="E160" s="240"/>
      <c r="F160" s="240"/>
      <c r="G160" s="240"/>
      <c r="H160" s="263"/>
      <c r="I160" s="240"/>
      <c r="J160" s="240"/>
      <c r="K160" s="246"/>
      <c r="L160" s="246"/>
      <c r="M160" s="246"/>
      <c r="N160" s="240"/>
    </row>
    <row r="161" spans="2:14" ht="18" customHeight="1" x14ac:dyDescent="0.15">
      <c r="B161" s="246"/>
      <c r="C161" s="246"/>
      <c r="D161" s="240"/>
      <c r="E161" s="240"/>
      <c r="F161" s="240"/>
      <c r="G161" s="240"/>
      <c r="H161" s="263"/>
      <c r="I161" s="240"/>
      <c r="J161" s="240"/>
      <c r="K161" s="246"/>
      <c r="L161" s="246"/>
      <c r="M161" s="246"/>
      <c r="N161" s="240"/>
    </row>
    <row r="162" spans="2:14" ht="18" customHeight="1" x14ac:dyDescent="0.15">
      <c r="B162" s="246"/>
      <c r="C162" s="246"/>
      <c r="D162" s="240"/>
      <c r="E162" s="240"/>
      <c r="F162" s="240"/>
      <c r="G162" s="240"/>
      <c r="H162" s="263"/>
      <c r="I162" s="240"/>
      <c r="J162" s="240"/>
      <c r="K162" s="246"/>
      <c r="L162" s="246"/>
      <c r="M162" s="246"/>
      <c r="N162" s="240"/>
    </row>
    <row r="163" spans="2:14" ht="18" customHeight="1" x14ac:dyDescent="0.15">
      <c r="B163" s="246"/>
      <c r="C163" s="246"/>
      <c r="D163" s="240"/>
      <c r="E163" s="240"/>
      <c r="F163" s="240"/>
      <c r="G163" s="240"/>
      <c r="H163" s="263"/>
      <c r="I163" s="240"/>
      <c r="J163" s="240"/>
      <c r="K163" s="246"/>
      <c r="L163" s="246"/>
      <c r="M163" s="246"/>
      <c r="N163" s="240"/>
    </row>
    <row r="164" spans="2:14" ht="18" customHeight="1" x14ac:dyDescent="0.15">
      <c r="B164" s="246"/>
      <c r="C164" s="246"/>
      <c r="D164" s="240"/>
      <c r="E164" s="240"/>
      <c r="F164" s="240"/>
      <c r="G164" s="240"/>
      <c r="H164" s="263"/>
      <c r="I164" s="240"/>
      <c r="J164" s="240"/>
      <c r="K164" s="246"/>
      <c r="L164" s="246"/>
      <c r="M164" s="246"/>
      <c r="N164" s="240"/>
    </row>
    <row r="165" spans="2:14" ht="18" customHeight="1" x14ac:dyDescent="0.15">
      <c r="B165" s="246"/>
      <c r="C165" s="246"/>
      <c r="D165" s="240"/>
      <c r="E165" s="240"/>
      <c r="F165" s="240"/>
      <c r="G165" s="240"/>
      <c r="H165" s="263"/>
      <c r="I165" s="240"/>
      <c r="J165" s="240"/>
      <c r="K165" s="246"/>
      <c r="L165" s="246"/>
      <c r="M165" s="246"/>
      <c r="N165" s="240"/>
    </row>
    <row r="166" spans="2:14" ht="18" customHeight="1" x14ac:dyDescent="0.15">
      <c r="B166" s="246"/>
      <c r="C166" s="246"/>
      <c r="D166" s="240"/>
      <c r="E166" s="240"/>
      <c r="F166" s="240"/>
      <c r="G166" s="240"/>
      <c r="H166" s="263"/>
      <c r="I166" s="240"/>
      <c r="J166" s="240"/>
      <c r="K166" s="246"/>
      <c r="L166" s="246"/>
      <c r="M166" s="246"/>
      <c r="N166" s="240"/>
    </row>
    <row r="167" spans="2:14" ht="18" customHeight="1" x14ac:dyDescent="0.15">
      <c r="B167" s="246"/>
      <c r="C167" s="246"/>
      <c r="D167" s="240"/>
      <c r="E167" s="240"/>
      <c r="F167" s="240"/>
      <c r="G167" s="240"/>
      <c r="H167" s="263"/>
      <c r="I167" s="240"/>
      <c r="J167" s="240"/>
      <c r="K167" s="246"/>
      <c r="L167" s="246"/>
      <c r="M167" s="246"/>
      <c r="N167" s="240"/>
    </row>
    <row r="168" spans="2:14" ht="18" customHeight="1" x14ac:dyDescent="0.15">
      <c r="B168" s="246"/>
      <c r="C168" s="246"/>
      <c r="D168" s="240"/>
      <c r="E168" s="240"/>
      <c r="F168" s="240"/>
      <c r="G168" s="240"/>
      <c r="H168" s="263"/>
      <c r="I168" s="240"/>
      <c r="J168" s="240"/>
      <c r="K168" s="246"/>
      <c r="L168" s="246"/>
      <c r="M168" s="246"/>
      <c r="N168" s="240"/>
    </row>
    <row r="169" spans="2:14" ht="18" customHeight="1" x14ac:dyDescent="0.15">
      <c r="B169" s="246"/>
      <c r="C169" s="246"/>
      <c r="D169" s="240"/>
      <c r="E169" s="240"/>
      <c r="F169" s="240"/>
      <c r="G169" s="240"/>
      <c r="H169" s="263"/>
      <c r="I169" s="240"/>
      <c r="J169" s="240"/>
      <c r="K169" s="246"/>
      <c r="L169" s="246"/>
      <c r="M169" s="246"/>
      <c r="N169" s="240"/>
    </row>
    <row r="170" spans="2:14" ht="18" customHeight="1" x14ac:dyDescent="0.15">
      <c r="B170" s="246"/>
      <c r="C170" s="246"/>
      <c r="D170" s="240"/>
      <c r="E170" s="240"/>
      <c r="F170" s="240"/>
      <c r="G170" s="240"/>
      <c r="H170" s="263"/>
      <c r="I170" s="240"/>
      <c r="J170" s="240"/>
      <c r="K170" s="246"/>
      <c r="L170" s="246"/>
      <c r="M170" s="246"/>
      <c r="N170" s="240"/>
    </row>
    <row r="171" spans="2:14" ht="18" customHeight="1" x14ac:dyDescent="0.15">
      <c r="B171" s="246"/>
      <c r="C171" s="246"/>
      <c r="D171" s="240"/>
      <c r="E171" s="240"/>
      <c r="F171" s="240"/>
      <c r="G171" s="240"/>
      <c r="H171" s="263"/>
      <c r="I171" s="240"/>
      <c r="J171" s="240"/>
      <c r="K171" s="246"/>
      <c r="L171" s="246"/>
      <c r="M171" s="246"/>
      <c r="N171" s="240"/>
    </row>
    <row r="172" spans="2:14" ht="18" customHeight="1" x14ac:dyDescent="0.15">
      <c r="B172" s="246"/>
      <c r="C172" s="246"/>
      <c r="D172" s="240"/>
      <c r="E172" s="240"/>
      <c r="F172" s="240"/>
      <c r="G172" s="240"/>
      <c r="H172" s="263"/>
      <c r="I172" s="240"/>
      <c r="J172" s="240"/>
      <c r="K172" s="246"/>
      <c r="L172" s="246"/>
      <c r="M172" s="246"/>
      <c r="N172" s="240"/>
    </row>
    <row r="173" spans="2:14" ht="18" customHeight="1" x14ac:dyDescent="0.15">
      <c r="B173" s="246"/>
      <c r="C173" s="246"/>
      <c r="D173" s="240"/>
      <c r="E173" s="240"/>
      <c r="F173" s="240"/>
      <c r="G173" s="240"/>
      <c r="H173" s="263"/>
      <c r="I173" s="240"/>
      <c r="J173" s="240"/>
      <c r="K173" s="246"/>
      <c r="L173" s="246"/>
      <c r="M173" s="246"/>
      <c r="N173" s="240"/>
    </row>
    <row r="174" spans="2:14" ht="18" customHeight="1" x14ac:dyDescent="0.15">
      <c r="B174" s="246"/>
      <c r="C174" s="246"/>
      <c r="D174" s="240"/>
      <c r="E174" s="240"/>
      <c r="F174" s="240"/>
      <c r="G174" s="240"/>
      <c r="H174" s="263"/>
      <c r="I174" s="240"/>
      <c r="J174" s="240"/>
      <c r="K174" s="246"/>
      <c r="L174" s="246"/>
      <c r="M174" s="246"/>
      <c r="N174" s="240"/>
    </row>
    <row r="175" spans="2:14" ht="18" customHeight="1" x14ac:dyDescent="0.15">
      <c r="B175" s="246"/>
      <c r="C175" s="246"/>
      <c r="D175" s="240"/>
      <c r="E175" s="240"/>
      <c r="F175" s="240"/>
      <c r="G175" s="240"/>
      <c r="H175" s="263"/>
      <c r="I175" s="240"/>
      <c r="J175" s="240"/>
      <c r="K175" s="246"/>
      <c r="L175" s="246"/>
      <c r="M175" s="246"/>
      <c r="N175" s="240"/>
    </row>
    <row r="176" spans="2:14" ht="18" customHeight="1" x14ac:dyDescent="0.15">
      <c r="B176" s="246"/>
      <c r="C176" s="246"/>
      <c r="D176" s="240"/>
      <c r="E176" s="240"/>
      <c r="F176" s="240"/>
      <c r="G176" s="240"/>
      <c r="H176" s="263"/>
      <c r="I176" s="240"/>
      <c r="J176" s="240"/>
      <c r="K176" s="246"/>
      <c r="L176" s="246"/>
      <c r="M176" s="246"/>
      <c r="N176" s="240"/>
    </row>
    <row r="177" spans="2:14" ht="18" customHeight="1" x14ac:dyDescent="0.15">
      <c r="B177" s="246"/>
      <c r="C177" s="246"/>
      <c r="D177" s="240"/>
      <c r="E177" s="240"/>
      <c r="F177" s="240"/>
      <c r="G177" s="240"/>
      <c r="H177" s="263"/>
      <c r="I177" s="240"/>
      <c r="J177" s="240"/>
      <c r="K177" s="246"/>
      <c r="L177" s="246"/>
      <c r="M177" s="246"/>
      <c r="N177" s="240"/>
    </row>
    <row r="178" spans="2:14" ht="18" customHeight="1" x14ac:dyDescent="0.15">
      <c r="B178" s="246"/>
      <c r="C178" s="246"/>
      <c r="D178" s="240"/>
      <c r="E178" s="240"/>
      <c r="F178" s="240"/>
      <c r="G178" s="240"/>
      <c r="H178" s="263"/>
      <c r="I178" s="240"/>
      <c r="J178" s="240"/>
      <c r="K178" s="246"/>
      <c r="L178" s="246"/>
      <c r="M178" s="246"/>
      <c r="N178" s="240"/>
    </row>
    <row r="179" spans="2:14" ht="18" customHeight="1" x14ac:dyDescent="0.15">
      <c r="B179" s="246"/>
      <c r="C179" s="246"/>
      <c r="D179" s="240"/>
      <c r="E179" s="240"/>
      <c r="F179" s="240"/>
      <c r="G179" s="240"/>
      <c r="H179" s="263"/>
      <c r="I179" s="240"/>
      <c r="J179" s="240"/>
      <c r="K179" s="246"/>
      <c r="L179" s="246"/>
      <c r="M179" s="246"/>
      <c r="N179" s="240"/>
    </row>
    <row r="180" spans="2:14" ht="18" customHeight="1" x14ac:dyDescent="0.15">
      <c r="B180" s="246"/>
      <c r="C180" s="246"/>
      <c r="D180" s="240"/>
      <c r="E180" s="240"/>
      <c r="F180" s="240"/>
      <c r="G180" s="240"/>
      <c r="H180" s="263"/>
      <c r="I180" s="240"/>
      <c r="J180" s="240"/>
      <c r="K180" s="246"/>
      <c r="L180" s="246"/>
      <c r="M180" s="246"/>
      <c r="N180" s="240"/>
    </row>
    <row r="181" spans="2:14" ht="18" customHeight="1" x14ac:dyDescent="0.15">
      <c r="B181" s="246"/>
      <c r="C181" s="246"/>
      <c r="D181" s="240"/>
      <c r="E181" s="240"/>
      <c r="F181" s="240"/>
      <c r="G181" s="240"/>
      <c r="H181" s="263"/>
      <c r="I181" s="240"/>
      <c r="J181" s="240"/>
      <c r="K181" s="246"/>
      <c r="L181" s="246"/>
      <c r="M181" s="246"/>
      <c r="N181" s="240"/>
    </row>
    <row r="182" spans="2:14" ht="18" customHeight="1" x14ac:dyDescent="0.15">
      <c r="B182" s="246"/>
      <c r="C182" s="246"/>
      <c r="D182" s="240"/>
      <c r="E182" s="240"/>
      <c r="F182" s="240"/>
      <c r="G182" s="240"/>
      <c r="H182" s="263"/>
      <c r="I182" s="240"/>
      <c r="J182" s="240"/>
      <c r="K182" s="246"/>
      <c r="L182" s="246"/>
      <c r="M182" s="246"/>
      <c r="N182" s="240"/>
    </row>
    <row r="183" spans="2:14" ht="18" customHeight="1" x14ac:dyDescent="0.15">
      <c r="B183" s="246"/>
      <c r="C183" s="246"/>
      <c r="D183" s="240"/>
      <c r="E183" s="240"/>
      <c r="F183" s="240"/>
      <c r="G183" s="240"/>
      <c r="H183" s="263"/>
      <c r="I183" s="240"/>
      <c r="J183" s="240"/>
      <c r="K183" s="246"/>
      <c r="L183" s="246"/>
      <c r="M183" s="246"/>
      <c r="N183" s="240"/>
    </row>
    <row r="184" spans="2:14" ht="18" customHeight="1" x14ac:dyDescent="0.15">
      <c r="B184" s="246"/>
      <c r="C184" s="246"/>
      <c r="D184" s="240"/>
      <c r="E184" s="240"/>
      <c r="F184" s="240"/>
      <c r="G184" s="240"/>
      <c r="H184" s="263"/>
      <c r="I184" s="240"/>
      <c r="J184" s="240"/>
      <c r="K184" s="246"/>
      <c r="L184" s="246"/>
      <c r="M184" s="246"/>
      <c r="N184" s="240"/>
    </row>
    <row r="185" spans="2:14" ht="18" customHeight="1" x14ac:dyDescent="0.15">
      <c r="B185" s="246"/>
      <c r="C185" s="246"/>
      <c r="D185" s="240"/>
      <c r="E185" s="240"/>
      <c r="F185" s="240"/>
      <c r="G185" s="240"/>
      <c r="H185" s="263"/>
      <c r="I185" s="240"/>
      <c r="J185" s="240"/>
      <c r="K185" s="246"/>
      <c r="L185" s="246"/>
      <c r="M185" s="246"/>
      <c r="N185" s="240"/>
    </row>
    <row r="186" spans="2:14" ht="18" customHeight="1" x14ac:dyDescent="0.15">
      <c r="B186" s="246"/>
      <c r="C186" s="246"/>
      <c r="D186" s="240"/>
      <c r="E186" s="240"/>
      <c r="F186" s="240"/>
      <c r="G186" s="240"/>
      <c r="H186" s="263"/>
      <c r="I186" s="240"/>
      <c r="J186" s="240"/>
      <c r="K186" s="246"/>
      <c r="L186" s="246"/>
      <c r="M186" s="246"/>
      <c r="N186" s="240"/>
    </row>
    <row r="187" spans="2:14" ht="18" customHeight="1" x14ac:dyDescent="0.15">
      <c r="B187" s="246"/>
      <c r="C187" s="246"/>
      <c r="D187" s="240"/>
      <c r="E187" s="240"/>
      <c r="F187" s="240"/>
      <c r="G187" s="240"/>
      <c r="H187" s="263"/>
      <c r="I187" s="240"/>
      <c r="J187" s="240"/>
      <c r="K187" s="246"/>
      <c r="L187" s="246"/>
      <c r="M187" s="246"/>
      <c r="N187" s="240"/>
    </row>
    <row r="188" spans="2:14" ht="18" customHeight="1" x14ac:dyDescent="0.15">
      <c r="B188" s="246"/>
      <c r="C188" s="246"/>
      <c r="D188" s="240"/>
      <c r="E188" s="240"/>
      <c r="F188" s="240"/>
      <c r="G188" s="240"/>
      <c r="H188" s="263"/>
      <c r="I188" s="240"/>
      <c r="J188" s="240"/>
      <c r="K188" s="246"/>
      <c r="L188" s="246"/>
      <c r="M188" s="246"/>
      <c r="N188" s="240"/>
    </row>
    <row r="189" spans="2:14" ht="18" customHeight="1" x14ac:dyDescent="0.15">
      <c r="B189" s="246"/>
      <c r="C189" s="246"/>
      <c r="D189" s="240"/>
      <c r="E189" s="240"/>
      <c r="F189" s="240"/>
      <c r="G189" s="240"/>
      <c r="H189" s="263"/>
      <c r="I189" s="240"/>
      <c r="J189" s="240"/>
      <c r="K189" s="246"/>
      <c r="L189" s="246"/>
      <c r="M189" s="246"/>
      <c r="N189" s="240"/>
    </row>
    <row r="190" spans="2:14" ht="18" customHeight="1" x14ac:dyDescent="0.15">
      <c r="B190" s="246"/>
      <c r="C190" s="246"/>
      <c r="D190" s="240"/>
      <c r="E190" s="240"/>
      <c r="F190" s="240"/>
      <c r="G190" s="240"/>
      <c r="H190" s="263"/>
      <c r="I190" s="240"/>
      <c r="J190" s="240"/>
      <c r="K190" s="246"/>
      <c r="L190" s="246"/>
      <c r="M190" s="246"/>
      <c r="N190" s="240"/>
    </row>
    <row r="191" spans="2:14" ht="18" customHeight="1" x14ac:dyDescent="0.15">
      <c r="B191" s="246"/>
      <c r="C191" s="246"/>
      <c r="D191" s="240"/>
      <c r="E191" s="240"/>
      <c r="F191" s="240"/>
      <c r="G191" s="240"/>
      <c r="H191" s="263"/>
      <c r="I191" s="240"/>
      <c r="J191" s="240"/>
      <c r="K191" s="246"/>
      <c r="L191" s="246"/>
      <c r="M191" s="246"/>
      <c r="N191" s="240"/>
    </row>
    <row r="192" spans="2:14" ht="18" customHeight="1" x14ac:dyDescent="0.15">
      <c r="B192" s="246"/>
      <c r="C192" s="246"/>
      <c r="D192" s="240"/>
      <c r="E192" s="240"/>
      <c r="F192" s="240"/>
      <c r="G192" s="240"/>
      <c r="H192" s="263"/>
      <c r="I192" s="240"/>
      <c r="J192" s="240"/>
      <c r="K192" s="246"/>
      <c r="L192" s="246"/>
      <c r="M192" s="246"/>
      <c r="N192" s="240"/>
    </row>
    <row r="193" spans="2:14" ht="18" customHeight="1" x14ac:dyDescent="0.15">
      <c r="B193" s="246"/>
      <c r="C193" s="246"/>
      <c r="D193" s="240"/>
      <c r="E193" s="240"/>
      <c r="F193" s="240"/>
      <c r="G193" s="240"/>
      <c r="H193" s="263"/>
      <c r="I193" s="240"/>
      <c r="J193" s="240"/>
      <c r="K193" s="246"/>
      <c r="L193" s="246"/>
      <c r="M193" s="246"/>
      <c r="N193" s="240"/>
    </row>
    <row r="194" spans="2:14" ht="18" customHeight="1" x14ac:dyDescent="0.15">
      <c r="B194" s="246"/>
      <c r="C194" s="246"/>
      <c r="D194" s="240"/>
      <c r="E194" s="240"/>
      <c r="F194" s="240"/>
      <c r="G194" s="240"/>
      <c r="H194" s="263"/>
      <c r="I194" s="240"/>
      <c r="J194" s="240"/>
      <c r="K194" s="246"/>
      <c r="L194" s="246"/>
      <c r="M194" s="246"/>
      <c r="N194" s="240"/>
    </row>
    <row r="195" spans="2:14" ht="18" customHeight="1" x14ac:dyDescent="0.15">
      <c r="B195" s="246"/>
      <c r="C195" s="246"/>
      <c r="D195" s="240"/>
      <c r="E195" s="240"/>
      <c r="F195" s="240"/>
      <c r="G195" s="240"/>
      <c r="H195" s="263"/>
      <c r="I195" s="240"/>
      <c r="J195" s="240"/>
      <c r="K195" s="246"/>
      <c r="L195" s="246"/>
      <c r="M195" s="246"/>
      <c r="N195" s="240"/>
    </row>
    <row r="196" spans="2:14" ht="18" customHeight="1" x14ac:dyDescent="0.15">
      <c r="B196" s="246"/>
      <c r="C196" s="246"/>
      <c r="D196" s="240"/>
      <c r="E196" s="240"/>
      <c r="F196" s="240"/>
      <c r="G196" s="240"/>
      <c r="H196" s="263"/>
      <c r="I196" s="240"/>
      <c r="J196" s="240"/>
      <c r="K196" s="246"/>
      <c r="L196" s="246"/>
      <c r="M196" s="246"/>
      <c r="N196" s="240"/>
    </row>
    <row r="197" spans="2:14" ht="18" customHeight="1" x14ac:dyDescent="0.15">
      <c r="B197" s="246"/>
      <c r="C197" s="246"/>
      <c r="D197" s="240"/>
      <c r="E197" s="240"/>
      <c r="F197" s="240"/>
      <c r="G197" s="240"/>
      <c r="H197" s="263"/>
      <c r="I197" s="240"/>
      <c r="J197" s="240"/>
      <c r="K197" s="246"/>
      <c r="L197" s="246"/>
      <c r="M197" s="246"/>
      <c r="N197" s="240"/>
    </row>
    <row r="198" spans="2:14" ht="18" customHeight="1" x14ac:dyDescent="0.15">
      <c r="B198" s="246"/>
      <c r="C198" s="246"/>
      <c r="D198" s="240"/>
      <c r="E198" s="240"/>
      <c r="F198" s="240"/>
      <c r="G198" s="240"/>
      <c r="H198" s="263"/>
      <c r="I198" s="240"/>
      <c r="J198" s="240"/>
      <c r="K198" s="246"/>
      <c r="L198" s="246"/>
      <c r="M198" s="246"/>
      <c r="N198" s="240"/>
    </row>
    <row r="199" spans="2:14" ht="18" customHeight="1" x14ac:dyDescent="0.15">
      <c r="B199" s="246"/>
      <c r="C199" s="246"/>
      <c r="D199" s="240"/>
      <c r="E199" s="240"/>
      <c r="F199" s="240"/>
      <c r="G199" s="240"/>
      <c r="H199" s="263"/>
      <c r="I199" s="240"/>
      <c r="J199" s="240"/>
      <c r="K199" s="246"/>
      <c r="L199" s="246"/>
      <c r="M199" s="246"/>
      <c r="N199" s="240"/>
    </row>
    <row r="200" spans="2:14" ht="18" customHeight="1" x14ac:dyDescent="0.15">
      <c r="B200" s="246"/>
      <c r="C200" s="246"/>
      <c r="D200" s="240"/>
      <c r="E200" s="240"/>
      <c r="F200" s="240"/>
      <c r="G200" s="240"/>
      <c r="H200" s="263"/>
      <c r="I200" s="240"/>
      <c r="J200" s="240"/>
      <c r="K200" s="246"/>
      <c r="L200" s="246"/>
      <c r="M200" s="246"/>
      <c r="N200" s="240"/>
    </row>
    <row r="201" spans="2:14" ht="18" customHeight="1" x14ac:dyDescent="0.15">
      <c r="B201" s="246"/>
      <c r="C201" s="246"/>
      <c r="D201" s="240"/>
      <c r="E201" s="240"/>
      <c r="F201" s="240"/>
      <c r="G201" s="240"/>
      <c r="H201" s="263"/>
      <c r="I201" s="240"/>
      <c r="J201" s="240"/>
      <c r="K201" s="246"/>
      <c r="L201" s="246"/>
      <c r="M201" s="246"/>
      <c r="N201" s="240"/>
    </row>
    <row r="202" spans="2:14" ht="18" customHeight="1" x14ac:dyDescent="0.15">
      <c r="B202" s="246"/>
      <c r="C202" s="246"/>
      <c r="D202" s="240"/>
      <c r="E202" s="240"/>
      <c r="F202" s="240"/>
      <c r="G202" s="240"/>
      <c r="H202" s="263"/>
      <c r="I202" s="240"/>
      <c r="J202" s="240"/>
      <c r="K202" s="246"/>
      <c r="L202" s="246"/>
      <c r="M202" s="246"/>
      <c r="N202" s="240"/>
    </row>
    <row r="203" spans="2:14" ht="18" customHeight="1" x14ac:dyDescent="0.15">
      <c r="B203" s="246"/>
      <c r="C203" s="246"/>
      <c r="D203" s="240"/>
      <c r="E203" s="240"/>
      <c r="F203" s="240"/>
      <c r="G203" s="240"/>
      <c r="H203" s="263"/>
      <c r="I203" s="240"/>
      <c r="J203" s="240"/>
      <c r="K203" s="246"/>
      <c r="L203" s="246"/>
      <c r="M203" s="246"/>
      <c r="N203" s="240"/>
    </row>
    <row r="204" spans="2:14" ht="18" customHeight="1" x14ac:dyDescent="0.15">
      <c r="B204" s="246"/>
      <c r="C204" s="246"/>
      <c r="D204" s="240"/>
      <c r="E204" s="240"/>
      <c r="F204" s="240"/>
      <c r="G204" s="240"/>
      <c r="H204" s="263"/>
      <c r="I204" s="240"/>
      <c r="J204" s="240"/>
      <c r="K204" s="246"/>
      <c r="L204" s="246"/>
      <c r="M204" s="246"/>
      <c r="N204" s="240"/>
    </row>
    <row r="205" spans="2:14" ht="18" customHeight="1" x14ac:dyDescent="0.15">
      <c r="B205" s="246"/>
      <c r="C205" s="246"/>
      <c r="D205" s="240"/>
      <c r="E205" s="240"/>
      <c r="F205" s="240"/>
      <c r="G205" s="240"/>
      <c r="H205" s="263"/>
      <c r="I205" s="240"/>
      <c r="J205" s="240"/>
      <c r="K205" s="246"/>
      <c r="L205" s="246"/>
      <c r="M205" s="246"/>
      <c r="N205" s="240"/>
    </row>
    <row r="206" spans="2:14" ht="18" customHeight="1" x14ac:dyDescent="0.15">
      <c r="B206" s="246"/>
      <c r="C206" s="246"/>
      <c r="D206" s="240"/>
      <c r="E206" s="240"/>
      <c r="F206" s="240"/>
      <c r="G206" s="240"/>
      <c r="H206" s="263"/>
      <c r="I206" s="240"/>
      <c r="J206" s="240"/>
      <c r="K206" s="246"/>
      <c r="L206" s="246"/>
      <c r="M206" s="246"/>
      <c r="N206" s="240"/>
    </row>
    <row r="207" spans="2:14" ht="18" customHeight="1" x14ac:dyDescent="0.15">
      <c r="B207" s="246"/>
      <c r="C207" s="246"/>
      <c r="D207" s="240"/>
      <c r="E207" s="240"/>
      <c r="F207" s="240"/>
      <c r="G207" s="240"/>
      <c r="H207" s="263"/>
      <c r="I207" s="240"/>
      <c r="J207" s="240"/>
      <c r="K207" s="246"/>
      <c r="L207" s="246"/>
      <c r="M207" s="246"/>
      <c r="N207" s="240"/>
    </row>
    <row r="208" spans="2:14" ht="18" customHeight="1" x14ac:dyDescent="0.15">
      <c r="B208" s="246"/>
      <c r="C208" s="246"/>
      <c r="D208" s="240"/>
      <c r="E208" s="240"/>
      <c r="F208" s="240"/>
      <c r="G208" s="240"/>
      <c r="H208" s="263"/>
      <c r="I208" s="240"/>
      <c r="J208" s="240"/>
      <c r="K208" s="246"/>
      <c r="L208" s="246"/>
      <c r="M208" s="246"/>
      <c r="N208" s="240"/>
    </row>
    <row r="209" spans="2:14" ht="18" customHeight="1" x14ac:dyDescent="0.15">
      <c r="B209" s="246"/>
      <c r="C209" s="246"/>
      <c r="D209" s="240"/>
      <c r="E209" s="240"/>
      <c r="F209" s="240"/>
      <c r="G209" s="240"/>
      <c r="H209" s="263"/>
      <c r="I209" s="240"/>
      <c r="J209" s="240"/>
      <c r="K209" s="246"/>
      <c r="L209" s="246"/>
      <c r="M209" s="246"/>
      <c r="N209" s="240"/>
    </row>
    <row r="210" spans="2:14" ht="18" customHeight="1" x14ac:dyDescent="0.15">
      <c r="B210" s="246"/>
      <c r="C210" s="246"/>
      <c r="D210" s="240"/>
      <c r="E210" s="240"/>
      <c r="F210" s="240"/>
      <c r="G210" s="240"/>
      <c r="H210" s="263"/>
      <c r="I210" s="240"/>
      <c r="J210" s="240"/>
      <c r="K210" s="246"/>
      <c r="L210" s="246"/>
      <c r="M210" s="246"/>
      <c r="N210" s="240"/>
    </row>
    <row r="211" spans="2:14" ht="18" customHeight="1" x14ac:dyDescent="0.15">
      <c r="B211" s="246"/>
      <c r="C211" s="246"/>
      <c r="D211" s="240"/>
      <c r="E211" s="240"/>
      <c r="F211" s="240"/>
      <c r="G211" s="240"/>
      <c r="H211" s="263"/>
      <c r="I211" s="240"/>
      <c r="J211" s="240"/>
      <c r="K211" s="246"/>
      <c r="L211" s="246"/>
      <c r="M211" s="246"/>
      <c r="N211" s="240"/>
    </row>
    <row r="212" spans="2:14" ht="18" customHeight="1" x14ac:dyDescent="0.15">
      <c r="B212" s="246"/>
      <c r="C212" s="246"/>
      <c r="D212" s="240"/>
      <c r="E212" s="240"/>
      <c r="F212" s="240"/>
      <c r="G212" s="240"/>
      <c r="H212" s="263"/>
      <c r="I212" s="240"/>
      <c r="J212" s="240"/>
      <c r="K212" s="246"/>
      <c r="L212" s="246"/>
      <c r="M212" s="246"/>
      <c r="N212" s="240"/>
    </row>
    <row r="213" spans="2:14" ht="18" customHeight="1" x14ac:dyDescent="0.15">
      <c r="B213" s="246"/>
      <c r="C213" s="246"/>
      <c r="D213" s="240"/>
      <c r="E213" s="240"/>
      <c r="F213" s="240"/>
      <c r="G213" s="240"/>
      <c r="H213" s="263"/>
      <c r="I213" s="240"/>
      <c r="J213" s="240"/>
      <c r="K213" s="246"/>
      <c r="L213" s="246"/>
      <c r="M213" s="246"/>
      <c r="N213" s="240"/>
    </row>
    <row r="214" spans="2:14" ht="18" customHeight="1" x14ac:dyDescent="0.15">
      <c r="B214" s="246"/>
      <c r="C214" s="246"/>
      <c r="D214" s="240"/>
      <c r="E214" s="240"/>
      <c r="F214" s="240"/>
      <c r="G214" s="240"/>
      <c r="H214" s="263"/>
      <c r="I214" s="240"/>
      <c r="J214" s="240"/>
      <c r="K214" s="246"/>
      <c r="L214" s="246"/>
      <c r="M214" s="246"/>
      <c r="N214" s="240"/>
    </row>
    <row r="215" spans="2:14" ht="18" customHeight="1" x14ac:dyDescent="0.15">
      <c r="B215" s="246"/>
      <c r="C215" s="246"/>
      <c r="D215" s="240"/>
      <c r="E215" s="240"/>
      <c r="F215" s="240"/>
      <c r="G215" s="240"/>
      <c r="H215" s="263"/>
      <c r="I215" s="240"/>
      <c r="J215" s="240"/>
      <c r="K215" s="246"/>
      <c r="L215" s="246"/>
      <c r="M215" s="246"/>
      <c r="N215" s="240"/>
    </row>
    <row r="216" spans="2:14" ht="18" customHeight="1" x14ac:dyDescent="0.15">
      <c r="B216" s="246"/>
      <c r="C216" s="246"/>
      <c r="D216" s="240"/>
      <c r="E216" s="240"/>
      <c r="F216" s="240"/>
      <c r="G216" s="240"/>
      <c r="H216" s="263"/>
      <c r="I216" s="240"/>
      <c r="J216" s="240"/>
      <c r="K216" s="246"/>
      <c r="L216" s="246"/>
      <c r="M216" s="246"/>
      <c r="N216" s="240"/>
    </row>
    <row r="217" spans="2:14" ht="18" customHeight="1" x14ac:dyDescent="0.15">
      <c r="B217" s="246"/>
      <c r="C217" s="246"/>
      <c r="D217" s="240"/>
      <c r="E217" s="240"/>
      <c r="F217" s="240"/>
      <c r="G217" s="240"/>
      <c r="H217" s="263"/>
      <c r="I217" s="240"/>
      <c r="J217" s="240"/>
      <c r="K217" s="246"/>
      <c r="L217" s="246"/>
      <c r="M217" s="246"/>
      <c r="N217" s="240"/>
    </row>
    <row r="218" spans="2:14" ht="18" customHeight="1" x14ac:dyDescent="0.15">
      <c r="B218" s="246"/>
      <c r="C218" s="246"/>
      <c r="D218" s="240"/>
      <c r="E218" s="240"/>
      <c r="F218" s="240"/>
      <c r="G218" s="240"/>
      <c r="H218" s="263"/>
      <c r="I218" s="240"/>
      <c r="J218" s="240"/>
      <c r="K218" s="246"/>
      <c r="L218" s="246"/>
      <c r="M218" s="246"/>
      <c r="N218" s="240"/>
    </row>
    <row r="219" spans="2:14" ht="18" customHeight="1" x14ac:dyDescent="0.15">
      <c r="B219" s="246"/>
      <c r="C219" s="246"/>
      <c r="D219" s="240"/>
      <c r="E219" s="240"/>
      <c r="F219" s="240"/>
      <c r="G219" s="240"/>
      <c r="H219" s="263"/>
      <c r="I219" s="240"/>
      <c r="J219" s="240"/>
      <c r="K219" s="246"/>
      <c r="L219" s="246"/>
      <c r="M219" s="246"/>
      <c r="N219" s="240"/>
    </row>
    <row r="220" spans="2:14" ht="18" customHeight="1" x14ac:dyDescent="0.15">
      <c r="B220" s="246"/>
      <c r="C220" s="246"/>
      <c r="D220" s="240"/>
      <c r="E220" s="240"/>
      <c r="F220" s="240"/>
      <c r="G220" s="240"/>
      <c r="H220" s="263"/>
      <c r="I220" s="240"/>
      <c r="J220" s="240"/>
      <c r="K220" s="246"/>
      <c r="L220" s="246"/>
      <c r="M220" s="246"/>
      <c r="N220" s="240"/>
    </row>
    <row r="221" spans="2:14" ht="18" customHeight="1" x14ac:dyDescent="0.15">
      <c r="B221" s="246"/>
      <c r="C221" s="246"/>
      <c r="D221" s="240"/>
      <c r="E221" s="240"/>
      <c r="F221" s="240"/>
      <c r="G221" s="240"/>
      <c r="H221" s="263"/>
      <c r="I221" s="240"/>
      <c r="J221" s="240"/>
      <c r="K221" s="246"/>
      <c r="L221" s="246"/>
      <c r="M221" s="246"/>
      <c r="N221" s="240"/>
    </row>
    <row r="222" spans="2:14" ht="18" customHeight="1" x14ac:dyDescent="0.15">
      <c r="B222" s="246"/>
      <c r="C222" s="246"/>
      <c r="D222" s="240"/>
      <c r="E222" s="240"/>
      <c r="F222" s="240"/>
      <c r="G222" s="240"/>
      <c r="H222" s="263"/>
      <c r="I222" s="240"/>
      <c r="J222" s="240"/>
      <c r="K222" s="246"/>
      <c r="L222" s="246"/>
      <c r="M222" s="246"/>
      <c r="N222" s="240"/>
    </row>
    <row r="223" spans="2:14" ht="18" customHeight="1" x14ac:dyDescent="0.15">
      <c r="B223" s="246"/>
      <c r="C223" s="246"/>
      <c r="D223" s="240"/>
      <c r="E223" s="240"/>
      <c r="F223" s="240"/>
      <c r="G223" s="240"/>
      <c r="H223" s="263"/>
      <c r="I223" s="240"/>
      <c r="J223" s="240"/>
      <c r="K223" s="246"/>
      <c r="L223" s="246"/>
      <c r="M223" s="246"/>
      <c r="N223" s="240"/>
    </row>
    <row r="224" spans="2:14" ht="18" customHeight="1" x14ac:dyDescent="0.15">
      <c r="B224" s="246"/>
      <c r="C224" s="246"/>
      <c r="D224" s="240"/>
      <c r="E224" s="240"/>
      <c r="F224" s="240"/>
      <c r="G224" s="240"/>
      <c r="H224" s="263"/>
      <c r="I224" s="240"/>
      <c r="J224" s="240"/>
      <c r="K224" s="246"/>
      <c r="L224" s="246"/>
      <c r="M224" s="246"/>
      <c r="N224" s="240"/>
    </row>
    <row r="225" spans="2:14" ht="18" customHeight="1" x14ac:dyDescent="0.15">
      <c r="B225" s="246"/>
      <c r="C225" s="246"/>
      <c r="D225" s="240"/>
      <c r="E225" s="240"/>
      <c r="F225" s="240"/>
      <c r="G225" s="240"/>
      <c r="H225" s="263"/>
      <c r="I225" s="240"/>
      <c r="J225" s="240"/>
      <c r="K225" s="246"/>
      <c r="L225" s="246"/>
      <c r="M225" s="246"/>
      <c r="N225" s="240"/>
    </row>
    <row r="226" spans="2:14" ht="18" customHeight="1" x14ac:dyDescent="0.15">
      <c r="B226" s="246"/>
      <c r="C226" s="246"/>
      <c r="D226" s="240"/>
      <c r="E226" s="240"/>
      <c r="F226" s="240"/>
      <c r="G226" s="240"/>
      <c r="H226" s="263"/>
      <c r="I226" s="240"/>
      <c r="J226" s="240"/>
      <c r="K226" s="246"/>
      <c r="L226" s="246"/>
      <c r="M226" s="246"/>
      <c r="N226" s="240"/>
    </row>
    <row r="227" spans="2:14" ht="18" customHeight="1" x14ac:dyDescent="0.15">
      <c r="B227" s="246"/>
      <c r="C227" s="246"/>
      <c r="D227" s="240"/>
      <c r="E227" s="240"/>
      <c r="F227" s="240"/>
      <c r="G227" s="240"/>
      <c r="H227" s="263"/>
      <c r="I227" s="240"/>
      <c r="J227" s="240"/>
      <c r="K227" s="246"/>
      <c r="L227" s="246"/>
      <c r="M227" s="246"/>
      <c r="N227" s="240"/>
    </row>
    <row r="228" spans="2:14" ht="18" customHeight="1" x14ac:dyDescent="0.15">
      <c r="B228" s="246"/>
      <c r="C228" s="246"/>
      <c r="D228" s="240"/>
      <c r="E228" s="240"/>
      <c r="F228" s="240"/>
      <c r="G228" s="240"/>
      <c r="H228" s="263"/>
      <c r="I228" s="240"/>
      <c r="J228" s="240"/>
      <c r="K228" s="246"/>
      <c r="L228" s="246"/>
      <c r="M228" s="246"/>
      <c r="N228" s="240"/>
    </row>
    <row r="229" spans="2:14" ht="18" customHeight="1" x14ac:dyDescent="0.15">
      <c r="B229" s="246"/>
      <c r="C229" s="246"/>
      <c r="D229" s="240"/>
      <c r="E229" s="240"/>
      <c r="F229" s="240"/>
      <c r="G229" s="240"/>
      <c r="H229" s="263"/>
      <c r="I229" s="240"/>
      <c r="J229" s="240"/>
      <c r="K229" s="246"/>
      <c r="L229" s="246"/>
      <c r="M229" s="246"/>
      <c r="N229" s="240"/>
    </row>
    <row r="230" spans="2:14" ht="18" customHeight="1" x14ac:dyDescent="0.15">
      <c r="B230" s="246"/>
      <c r="C230" s="246"/>
      <c r="D230" s="240"/>
      <c r="E230" s="240"/>
      <c r="F230" s="240"/>
      <c r="G230" s="240"/>
      <c r="H230" s="263"/>
      <c r="I230" s="240"/>
      <c r="J230" s="240"/>
      <c r="K230" s="246"/>
      <c r="L230" s="246"/>
      <c r="M230" s="246"/>
      <c r="N230" s="240"/>
    </row>
    <row r="231" spans="2:14" ht="18" customHeight="1" x14ac:dyDescent="0.15">
      <c r="B231" s="246"/>
      <c r="C231" s="246"/>
      <c r="D231" s="240"/>
      <c r="E231" s="240"/>
      <c r="F231" s="240"/>
      <c r="G231" s="240"/>
      <c r="H231" s="263"/>
      <c r="I231" s="240"/>
      <c r="J231" s="240"/>
      <c r="K231" s="246"/>
      <c r="L231" s="246"/>
      <c r="M231" s="246"/>
      <c r="N231" s="240"/>
    </row>
    <row r="232" spans="2:14" ht="18" customHeight="1" x14ac:dyDescent="0.15">
      <c r="B232" s="246"/>
      <c r="C232" s="246"/>
      <c r="D232" s="240"/>
      <c r="E232" s="240"/>
      <c r="F232" s="240"/>
      <c r="G232" s="240"/>
      <c r="H232" s="263"/>
      <c r="I232" s="240"/>
      <c r="J232" s="240"/>
      <c r="K232" s="246"/>
      <c r="L232" s="246"/>
      <c r="M232" s="246"/>
      <c r="N232" s="240"/>
    </row>
    <row r="233" spans="2:14" ht="18" customHeight="1" x14ac:dyDescent="0.15">
      <c r="B233" s="246"/>
      <c r="C233" s="246"/>
      <c r="D233" s="240"/>
      <c r="E233" s="240"/>
      <c r="F233" s="240"/>
      <c r="G233" s="240"/>
      <c r="H233" s="263"/>
      <c r="I233" s="240"/>
      <c r="J233" s="240"/>
      <c r="K233" s="246"/>
      <c r="L233" s="246"/>
      <c r="M233" s="246"/>
      <c r="N233" s="240"/>
    </row>
    <row r="234" spans="2:14" ht="18" customHeight="1" x14ac:dyDescent="0.15">
      <c r="B234" s="246"/>
      <c r="C234" s="246"/>
      <c r="D234" s="240"/>
      <c r="E234" s="240"/>
      <c r="F234" s="240"/>
      <c r="G234" s="240"/>
      <c r="H234" s="263"/>
      <c r="I234" s="240"/>
      <c r="J234" s="240"/>
      <c r="K234" s="246"/>
      <c r="L234" s="246"/>
      <c r="M234" s="246"/>
      <c r="N234" s="240"/>
    </row>
    <row r="235" spans="2:14" ht="18" customHeight="1" x14ac:dyDescent="0.15">
      <c r="B235" s="246"/>
      <c r="C235" s="246"/>
      <c r="D235" s="240"/>
      <c r="E235" s="240"/>
      <c r="F235" s="240"/>
      <c r="G235" s="240"/>
      <c r="H235" s="263"/>
      <c r="I235" s="240"/>
      <c r="J235" s="240"/>
      <c r="K235" s="246"/>
      <c r="L235" s="246"/>
      <c r="M235" s="246"/>
      <c r="N235" s="240"/>
    </row>
    <row r="236" spans="2:14" ht="18" customHeight="1" x14ac:dyDescent="0.15">
      <c r="B236" s="246"/>
      <c r="C236" s="246"/>
      <c r="D236" s="240"/>
      <c r="E236" s="240"/>
      <c r="F236" s="240"/>
      <c r="G236" s="240"/>
      <c r="H236" s="263"/>
      <c r="I236" s="240"/>
      <c r="J236" s="240"/>
      <c r="K236" s="246"/>
      <c r="L236" s="246"/>
      <c r="M236" s="246"/>
      <c r="N236" s="240"/>
    </row>
    <row r="237" spans="2:14" ht="18" customHeight="1" x14ac:dyDescent="0.15">
      <c r="B237" s="246"/>
      <c r="C237" s="246"/>
      <c r="D237" s="240"/>
      <c r="E237" s="240"/>
      <c r="F237" s="240"/>
      <c r="G237" s="240"/>
      <c r="H237" s="263"/>
      <c r="I237" s="240"/>
      <c r="J237" s="240"/>
      <c r="K237" s="246"/>
      <c r="L237" s="246"/>
      <c r="M237" s="246"/>
      <c r="N237" s="240"/>
    </row>
    <row r="238" spans="2:14" ht="18" customHeight="1" x14ac:dyDescent="0.15">
      <c r="B238" s="246"/>
      <c r="C238" s="246"/>
      <c r="D238" s="240"/>
      <c r="E238" s="240"/>
      <c r="F238" s="240"/>
      <c r="G238" s="240"/>
      <c r="H238" s="263"/>
      <c r="I238" s="240"/>
      <c r="J238" s="240"/>
      <c r="K238" s="246"/>
      <c r="L238" s="246"/>
      <c r="M238" s="246"/>
      <c r="N238" s="240"/>
    </row>
    <row r="239" spans="2:14" ht="18" customHeight="1" x14ac:dyDescent="0.15">
      <c r="B239" s="246"/>
      <c r="C239" s="246"/>
      <c r="D239" s="240"/>
      <c r="E239" s="240"/>
      <c r="F239" s="240"/>
      <c r="G239" s="240"/>
      <c r="H239" s="263"/>
      <c r="I239" s="240"/>
      <c r="J239" s="240"/>
      <c r="K239" s="246"/>
      <c r="L239" s="246"/>
      <c r="M239" s="246"/>
      <c r="N239" s="240"/>
    </row>
    <row r="240" spans="2:14" ht="18" customHeight="1" x14ac:dyDescent="0.15">
      <c r="B240" s="246"/>
      <c r="C240" s="246"/>
      <c r="D240" s="240"/>
      <c r="E240" s="240"/>
      <c r="F240" s="240"/>
      <c r="G240" s="240"/>
      <c r="H240" s="263"/>
      <c r="I240" s="240"/>
      <c r="J240" s="240"/>
      <c r="K240" s="246"/>
      <c r="L240" s="246"/>
      <c r="M240" s="246"/>
      <c r="N240" s="240"/>
    </row>
    <row r="241" spans="2:14" ht="18" customHeight="1" x14ac:dyDescent="0.15">
      <c r="B241" s="246"/>
      <c r="C241" s="246"/>
      <c r="D241" s="240"/>
      <c r="E241" s="240"/>
      <c r="F241" s="240"/>
      <c r="G241" s="240"/>
      <c r="H241" s="263"/>
      <c r="I241" s="240"/>
      <c r="J241" s="240"/>
      <c r="K241" s="246"/>
      <c r="L241" s="246"/>
      <c r="M241" s="246"/>
      <c r="N241" s="240"/>
    </row>
    <row r="242" spans="2:14" ht="18" customHeight="1" x14ac:dyDescent="0.15">
      <c r="B242" s="246"/>
      <c r="C242" s="246"/>
      <c r="D242" s="240"/>
      <c r="E242" s="240"/>
      <c r="F242" s="240"/>
      <c r="G242" s="240"/>
      <c r="H242" s="263"/>
      <c r="I242" s="240"/>
      <c r="J242" s="240"/>
      <c r="K242" s="246"/>
      <c r="L242" s="246"/>
      <c r="M242" s="246"/>
      <c r="N242" s="240"/>
    </row>
    <row r="243" spans="2:14" ht="18" customHeight="1" x14ac:dyDescent="0.15">
      <c r="B243" s="246"/>
      <c r="C243" s="246"/>
      <c r="D243" s="240"/>
      <c r="E243" s="240"/>
      <c r="F243" s="240"/>
      <c r="G243" s="240"/>
      <c r="H243" s="263"/>
      <c r="I243" s="240"/>
      <c r="J243" s="240"/>
      <c r="K243" s="246"/>
      <c r="L243" s="246"/>
      <c r="M243" s="246"/>
      <c r="N243" s="240"/>
    </row>
    <row r="244" spans="2:14" ht="18" customHeight="1" x14ac:dyDescent="0.15">
      <c r="B244" s="246"/>
      <c r="C244" s="246"/>
      <c r="D244" s="240"/>
      <c r="E244" s="240"/>
      <c r="F244" s="240"/>
      <c r="G244" s="240"/>
      <c r="H244" s="263"/>
      <c r="I244" s="240"/>
      <c r="J244" s="240"/>
      <c r="K244" s="246"/>
      <c r="L244" s="246"/>
      <c r="M244" s="246"/>
      <c r="N244" s="240"/>
    </row>
    <row r="245" spans="2:14" ht="18" customHeight="1" x14ac:dyDescent="0.15">
      <c r="B245" s="246"/>
      <c r="C245" s="246"/>
      <c r="D245" s="240"/>
      <c r="E245" s="240"/>
      <c r="F245" s="240"/>
      <c r="G245" s="240"/>
      <c r="H245" s="263"/>
      <c r="I245" s="240"/>
      <c r="J245" s="240"/>
      <c r="K245" s="246"/>
      <c r="L245" s="246"/>
      <c r="M245" s="246"/>
      <c r="N245" s="240"/>
    </row>
    <row r="246" spans="2:14" ht="18" customHeight="1" x14ac:dyDescent="0.15">
      <c r="B246" s="246"/>
      <c r="C246" s="246"/>
      <c r="D246" s="240"/>
      <c r="E246" s="240"/>
      <c r="F246" s="240"/>
      <c r="G246" s="240"/>
      <c r="H246" s="263"/>
      <c r="I246" s="240"/>
      <c r="J246" s="240"/>
      <c r="K246" s="246"/>
      <c r="L246" s="246"/>
      <c r="M246" s="246"/>
      <c r="N246" s="240"/>
    </row>
    <row r="247" spans="2:14" ht="18" customHeight="1" x14ac:dyDescent="0.15">
      <c r="B247" s="246"/>
      <c r="C247" s="246"/>
      <c r="D247" s="240"/>
      <c r="E247" s="240"/>
      <c r="F247" s="240"/>
      <c r="G247" s="240"/>
      <c r="H247" s="263"/>
      <c r="I247" s="240"/>
      <c r="J247" s="240"/>
      <c r="K247" s="246"/>
      <c r="L247" s="246"/>
      <c r="M247" s="246"/>
      <c r="N247" s="240"/>
    </row>
    <row r="248" spans="2:14" ht="18" customHeight="1" x14ac:dyDescent="0.15">
      <c r="B248" s="246"/>
      <c r="C248" s="246"/>
      <c r="D248" s="240"/>
      <c r="E248" s="240"/>
      <c r="F248" s="240"/>
      <c r="G248" s="240"/>
      <c r="H248" s="263"/>
      <c r="I248" s="240"/>
      <c r="J248" s="240"/>
      <c r="K248" s="246"/>
      <c r="L248" s="246"/>
      <c r="M248" s="246"/>
      <c r="N248" s="240"/>
    </row>
    <row r="249" spans="2:14" ht="18" customHeight="1" x14ac:dyDescent="0.15">
      <c r="B249" s="246"/>
      <c r="C249" s="246"/>
      <c r="D249" s="240"/>
      <c r="E249" s="240"/>
      <c r="F249" s="240"/>
      <c r="G249" s="240"/>
      <c r="H249" s="263"/>
      <c r="I249" s="240"/>
      <c r="J249" s="240"/>
      <c r="K249" s="246"/>
      <c r="L249" s="246"/>
      <c r="M249" s="246"/>
      <c r="N249" s="240"/>
    </row>
    <row r="250" spans="2:14" ht="18" customHeight="1" x14ac:dyDescent="0.15">
      <c r="B250" s="246"/>
      <c r="C250" s="246"/>
      <c r="D250" s="240"/>
      <c r="E250" s="240"/>
      <c r="F250" s="240"/>
      <c r="G250" s="240"/>
      <c r="H250" s="263"/>
      <c r="I250" s="240"/>
      <c r="J250" s="240"/>
      <c r="K250" s="246"/>
      <c r="L250" s="246"/>
      <c r="M250" s="246"/>
      <c r="N250" s="240"/>
    </row>
    <row r="251" spans="2:14" ht="18" customHeight="1" x14ac:dyDescent="0.15">
      <c r="B251" s="246"/>
      <c r="C251" s="246"/>
      <c r="D251" s="240"/>
      <c r="E251" s="240"/>
      <c r="F251" s="240"/>
      <c r="G251" s="240"/>
      <c r="H251" s="263"/>
      <c r="I251" s="240"/>
      <c r="J251" s="240"/>
      <c r="K251" s="246"/>
      <c r="L251" s="246"/>
      <c r="M251" s="246"/>
      <c r="N251" s="240"/>
    </row>
    <row r="252" spans="2:14" ht="18" customHeight="1" x14ac:dyDescent="0.15">
      <c r="B252" s="246"/>
      <c r="C252" s="246"/>
      <c r="D252" s="240"/>
      <c r="E252" s="240"/>
      <c r="F252" s="240"/>
      <c r="G252" s="240"/>
      <c r="H252" s="263"/>
      <c r="I252" s="240"/>
      <c r="J252" s="240"/>
      <c r="K252" s="246"/>
      <c r="L252" s="246"/>
      <c r="M252" s="246"/>
      <c r="N252" s="240"/>
    </row>
    <row r="253" spans="2:14" ht="18" customHeight="1" x14ac:dyDescent="0.15">
      <c r="B253" s="246"/>
      <c r="C253" s="246"/>
      <c r="D253" s="240"/>
      <c r="E253" s="240"/>
      <c r="F253" s="240"/>
      <c r="G253" s="240"/>
      <c r="H253" s="263"/>
      <c r="I253" s="240"/>
      <c r="J253" s="240"/>
      <c r="K253" s="246"/>
      <c r="L253" s="246"/>
      <c r="M253" s="246"/>
      <c r="N253" s="240"/>
    </row>
    <row r="254" spans="2:14" ht="18" customHeight="1" x14ac:dyDescent="0.15">
      <c r="B254" s="246"/>
      <c r="C254" s="246"/>
      <c r="D254" s="240"/>
      <c r="E254" s="240"/>
      <c r="F254" s="240"/>
      <c r="G254" s="240"/>
      <c r="H254" s="263"/>
      <c r="I254" s="240"/>
      <c r="J254" s="240"/>
      <c r="K254" s="246"/>
      <c r="L254" s="246"/>
      <c r="M254" s="246"/>
      <c r="N254" s="240"/>
    </row>
    <row r="255" spans="2:14" ht="18" customHeight="1" x14ac:dyDescent="0.15">
      <c r="B255" s="246"/>
      <c r="C255" s="246"/>
      <c r="D255" s="240"/>
      <c r="E255" s="240"/>
      <c r="F255" s="240"/>
      <c r="G255" s="240"/>
      <c r="H255" s="263"/>
      <c r="I255" s="240"/>
      <c r="J255" s="240"/>
      <c r="K255" s="246"/>
      <c r="L255" s="246"/>
      <c r="M255" s="246"/>
      <c r="N255" s="240"/>
    </row>
    <row r="256" spans="2:14" ht="18" customHeight="1" x14ac:dyDescent="0.15">
      <c r="B256" s="246"/>
      <c r="C256" s="246"/>
      <c r="D256" s="240"/>
      <c r="E256" s="240"/>
      <c r="F256" s="240"/>
      <c r="G256" s="240"/>
      <c r="H256" s="263"/>
      <c r="I256" s="240"/>
      <c r="J256" s="240"/>
      <c r="K256" s="246"/>
      <c r="L256" s="246"/>
      <c r="M256" s="246"/>
      <c r="N256" s="240"/>
    </row>
    <row r="257" spans="2:14" ht="18" customHeight="1" x14ac:dyDescent="0.15">
      <c r="B257" s="246"/>
      <c r="C257" s="246"/>
      <c r="D257" s="240"/>
      <c r="E257" s="240"/>
      <c r="F257" s="240"/>
      <c r="G257" s="240"/>
      <c r="H257" s="263"/>
      <c r="I257" s="240"/>
      <c r="J257" s="240"/>
      <c r="K257" s="246"/>
      <c r="L257" s="246"/>
      <c r="M257" s="246"/>
      <c r="N257" s="240"/>
    </row>
    <row r="258" spans="2:14" ht="18" customHeight="1" x14ac:dyDescent="0.15">
      <c r="B258" s="246"/>
      <c r="C258" s="246"/>
      <c r="D258" s="240"/>
      <c r="E258" s="240"/>
      <c r="F258" s="240"/>
      <c r="G258" s="240"/>
      <c r="H258" s="263"/>
      <c r="I258" s="240"/>
      <c r="J258" s="240"/>
      <c r="K258" s="246"/>
      <c r="L258" s="246"/>
      <c r="M258" s="246"/>
      <c r="N258" s="240"/>
    </row>
    <row r="259" spans="2:14" ht="18" customHeight="1" x14ac:dyDescent="0.15">
      <c r="B259" s="246"/>
      <c r="C259" s="246"/>
      <c r="D259" s="240"/>
      <c r="E259" s="240"/>
      <c r="F259" s="240"/>
      <c r="G259" s="240"/>
      <c r="H259" s="263"/>
      <c r="I259" s="240"/>
      <c r="J259" s="240"/>
      <c r="K259" s="246"/>
      <c r="L259" s="246"/>
      <c r="M259" s="246"/>
      <c r="N259" s="240"/>
    </row>
    <row r="260" spans="2:14" ht="18" customHeight="1" x14ac:dyDescent="0.15">
      <c r="B260" s="246"/>
      <c r="C260" s="246"/>
      <c r="D260" s="240"/>
      <c r="E260" s="240"/>
      <c r="F260" s="240"/>
      <c r="G260" s="240"/>
      <c r="H260" s="263"/>
      <c r="I260" s="240"/>
      <c r="J260" s="240"/>
      <c r="K260" s="246"/>
      <c r="L260" s="246"/>
      <c r="M260" s="246"/>
      <c r="N260" s="240"/>
    </row>
    <row r="261" spans="2:14" ht="18" customHeight="1" x14ac:dyDescent="0.15">
      <c r="B261" s="246"/>
      <c r="C261" s="246"/>
      <c r="D261" s="240"/>
      <c r="E261" s="240"/>
      <c r="F261" s="240"/>
      <c r="G261" s="240"/>
      <c r="H261" s="263"/>
      <c r="I261" s="240"/>
      <c r="J261" s="240"/>
      <c r="K261" s="246"/>
      <c r="L261" s="246"/>
      <c r="M261" s="246"/>
      <c r="N261" s="240"/>
    </row>
    <row r="262" spans="2:14" ht="18" customHeight="1" x14ac:dyDescent="0.15">
      <c r="B262" s="246"/>
      <c r="C262" s="246"/>
      <c r="D262" s="240"/>
      <c r="E262" s="240"/>
      <c r="F262" s="240"/>
      <c r="G262" s="240"/>
      <c r="H262" s="263"/>
      <c r="I262" s="240"/>
      <c r="J262" s="240"/>
      <c r="K262" s="246"/>
      <c r="L262" s="246"/>
      <c r="M262" s="246"/>
      <c r="N262" s="240"/>
    </row>
    <row r="263" spans="2:14" ht="18" customHeight="1" x14ac:dyDescent="0.15">
      <c r="B263" s="246"/>
      <c r="C263" s="246"/>
      <c r="D263" s="240"/>
      <c r="E263" s="240"/>
      <c r="F263" s="240"/>
      <c r="G263" s="240"/>
      <c r="H263" s="263"/>
      <c r="I263" s="240"/>
      <c r="J263" s="240"/>
      <c r="K263" s="246"/>
      <c r="L263" s="246"/>
      <c r="M263" s="246"/>
      <c r="N263" s="240"/>
    </row>
    <row r="264" spans="2:14" ht="18" customHeight="1" x14ac:dyDescent="0.15">
      <c r="B264" s="246"/>
      <c r="C264" s="246"/>
      <c r="D264" s="240"/>
      <c r="E264" s="240"/>
      <c r="F264" s="240"/>
      <c r="G264" s="240"/>
      <c r="H264" s="263"/>
      <c r="I264" s="240"/>
      <c r="J264" s="240"/>
      <c r="K264" s="246"/>
      <c r="L264" s="246"/>
      <c r="M264" s="246"/>
      <c r="N264" s="240"/>
    </row>
    <row r="265" spans="2:14" ht="18" customHeight="1" x14ac:dyDescent="0.15">
      <c r="B265" s="246"/>
      <c r="C265" s="246"/>
      <c r="D265" s="240"/>
      <c r="E265" s="240"/>
      <c r="F265" s="240"/>
      <c r="G265" s="240"/>
      <c r="H265" s="263"/>
      <c r="I265" s="240"/>
      <c r="J265" s="240"/>
      <c r="K265" s="246"/>
      <c r="L265" s="246"/>
      <c r="M265" s="246"/>
      <c r="N265" s="240"/>
    </row>
    <row r="266" spans="2:14" ht="18" customHeight="1" x14ac:dyDescent="0.15">
      <c r="B266" s="246"/>
      <c r="C266" s="246"/>
      <c r="D266" s="240"/>
      <c r="E266" s="240"/>
      <c r="F266" s="240"/>
      <c r="G266" s="240"/>
      <c r="H266" s="263"/>
      <c r="I266" s="240"/>
      <c r="J266" s="240"/>
      <c r="K266" s="246"/>
      <c r="L266" s="246"/>
      <c r="M266" s="246"/>
      <c r="N266" s="240"/>
    </row>
    <row r="267" spans="2:14" ht="18" customHeight="1" x14ac:dyDescent="0.15">
      <c r="B267" s="246"/>
      <c r="C267" s="246"/>
      <c r="D267" s="240"/>
      <c r="E267" s="240"/>
      <c r="F267" s="240"/>
      <c r="G267" s="240"/>
      <c r="H267" s="263"/>
      <c r="I267" s="240"/>
      <c r="J267" s="240"/>
      <c r="K267" s="246"/>
      <c r="L267" s="246"/>
      <c r="M267" s="246"/>
      <c r="N267" s="240"/>
    </row>
    <row r="268" spans="2:14" ht="18" customHeight="1" x14ac:dyDescent="0.15">
      <c r="B268" s="246"/>
      <c r="C268" s="246"/>
      <c r="D268" s="240"/>
      <c r="E268" s="240"/>
      <c r="F268" s="240"/>
      <c r="G268" s="240"/>
      <c r="H268" s="263"/>
      <c r="I268" s="240"/>
      <c r="J268" s="240"/>
      <c r="K268" s="246"/>
      <c r="L268" s="246"/>
      <c r="M268" s="246"/>
      <c r="N268" s="240"/>
    </row>
    <row r="269" spans="2:14" ht="18" customHeight="1" x14ac:dyDescent="0.15">
      <c r="B269" s="246"/>
      <c r="C269" s="246"/>
      <c r="D269" s="240"/>
      <c r="E269" s="240"/>
      <c r="F269" s="240"/>
      <c r="G269" s="240"/>
      <c r="H269" s="263"/>
      <c r="I269" s="240"/>
      <c r="J269" s="240"/>
      <c r="K269" s="246"/>
      <c r="L269" s="246"/>
      <c r="M269" s="246"/>
      <c r="N269" s="240"/>
    </row>
    <row r="270" spans="2:14" ht="18" customHeight="1" x14ac:dyDescent="0.15">
      <c r="B270" s="246"/>
      <c r="C270" s="246"/>
      <c r="D270" s="240"/>
      <c r="E270" s="240"/>
      <c r="F270" s="240"/>
      <c r="G270" s="240"/>
      <c r="H270" s="263"/>
      <c r="I270" s="240"/>
      <c r="J270" s="240"/>
      <c r="K270" s="246"/>
      <c r="L270" s="246"/>
      <c r="M270" s="246"/>
      <c r="N270" s="240"/>
    </row>
    <row r="271" spans="2:14" ht="18" customHeight="1" x14ac:dyDescent="0.15">
      <c r="B271" s="246"/>
      <c r="C271" s="246"/>
      <c r="D271" s="240"/>
      <c r="E271" s="240"/>
      <c r="F271" s="240"/>
      <c r="G271" s="240"/>
      <c r="H271" s="263"/>
      <c r="I271" s="240"/>
      <c r="J271" s="240"/>
      <c r="K271" s="246"/>
      <c r="L271" s="246"/>
      <c r="M271" s="246"/>
      <c r="N271" s="240"/>
    </row>
    <row r="272" spans="2:14" ht="18" customHeight="1" x14ac:dyDescent="0.15">
      <c r="B272" s="246"/>
      <c r="C272" s="246"/>
      <c r="D272" s="240"/>
      <c r="E272" s="240"/>
      <c r="F272" s="240"/>
      <c r="G272" s="240"/>
      <c r="H272" s="263"/>
      <c r="I272" s="240"/>
      <c r="J272" s="240"/>
      <c r="K272" s="246"/>
      <c r="L272" s="246"/>
      <c r="M272" s="246"/>
      <c r="N272" s="240"/>
    </row>
    <row r="273" spans="2:14" ht="18" customHeight="1" x14ac:dyDescent="0.15">
      <c r="B273" s="246"/>
      <c r="C273" s="246"/>
      <c r="D273" s="240"/>
      <c r="E273" s="240"/>
      <c r="F273" s="240"/>
      <c r="G273" s="240"/>
      <c r="H273" s="263"/>
      <c r="I273" s="240"/>
      <c r="J273" s="240"/>
      <c r="K273" s="246"/>
      <c r="L273" s="246"/>
      <c r="M273" s="246"/>
      <c r="N273" s="240"/>
    </row>
    <row r="274" spans="2:14" ht="18" customHeight="1" x14ac:dyDescent="0.15">
      <c r="B274" s="246"/>
      <c r="C274" s="246"/>
      <c r="D274" s="240"/>
      <c r="E274" s="240"/>
      <c r="F274" s="240"/>
      <c r="G274" s="240"/>
      <c r="H274" s="263"/>
      <c r="I274" s="240"/>
      <c r="J274" s="240"/>
      <c r="K274" s="246"/>
      <c r="L274" s="246"/>
      <c r="M274" s="246"/>
      <c r="N274" s="240"/>
    </row>
    <row r="275" spans="2:14" ht="18" customHeight="1" x14ac:dyDescent="0.15">
      <c r="B275" s="246"/>
      <c r="C275" s="246"/>
      <c r="D275" s="240"/>
      <c r="E275" s="240"/>
      <c r="F275" s="240"/>
      <c r="G275" s="240"/>
      <c r="H275" s="263"/>
      <c r="I275" s="240"/>
      <c r="J275" s="240"/>
      <c r="K275" s="246"/>
      <c r="L275" s="246"/>
      <c r="M275" s="246"/>
      <c r="N275" s="240"/>
    </row>
    <row r="276" spans="2:14" ht="18" customHeight="1" x14ac:dyDescent="0.15">
      <c r="B276" s="246"/>
      <c r="C276" s="246"/>
      <c r="D276" s="240"/>
      <c r="E276" s="240"/>
      <c r="F276" s="240"/>
      <c r="G276" s="240"/>
      <c r="H276" s="263"/>
      <c r="I276" s="240"/>
      <c r="J276" s="240"/>
      <c r="K276" s="246"/>
      <c r="L276" s="246"/>
      <c r="M276" s="246"/>
      <c r="N276" s="240"/>
    </row>
    <row r="277" spans="2:14" ht="18" customHeight="1" x14ac:dyDescent="0.15">
      <c r="B277" s="246"/>
      <c r="C277" s="246"/>
      <c r="D277" s="240"/>
      <c r="E277" s="240"/>
      <c r="F277" s="240"/>
      <c r="G277" s="240"/>
      <c r="H277" s="263"/>
      <c r="I277" s="240"/>
      <c r="J277" s="240"/>
      <c r="K277" s="246"/>
      <c r="L277" s="246"/>
      <c r="M277" s="246"/>
      <c r="N277" s="240"/>
    </row>
    <row r="278" spans="2:14" ht="18" customHeight="1" x14ac:dyDescent="0.15">
      <c r="B278" s="246"/>
      <c r="C278" s="246"/>
      <c r="D278" s="240"/>
      <c r="E278" s="240"/>
      <c r="F278" s="240"/>
      <c r="G278" s="240"/>
      <c r="H278" s="263"/>
      <c r="I278" s="240"/>
      <c r="J278" s="240"/>
      <c r="K278" s="246"/>
      <c r="L278" s="246"/>
      <c r="M278" s="246"/>
      <c r="N278" s="240"/>
    </row>
    <row r="279" spans="2:14" ht="18" customHeight="1" x14ac:dyDescent="0.15">
      <c r="B279" s="246"/>
      <c r="C279" s="246"/>
      <c r="D279" s="240"/>
      <c r="E279" s="240"/>
      <c r="F279" s="240"/>
      <c r="G279" s="240"/>
      <c r="H279" s="263"/>
      <c r="I279" s="240"/>
      <c r="J279" s="240"/>
      <c r="K279" s="246"/>
      <c r="L279" s="246"/>
      <c r="M279" s="246"/>
      <c r="N279" s="240"/>
    </row>
    <row r="280" spans="2:14" ht="18" customHeight="1" x14ac:dyDescent="0.15">
      <c r="B280" s="246"/>
      <c r="C280" s="246"/>
      <c r="D280" s="240"/>
      <c r="E280" s="240"/>
      <c r="F280" s="240"/>
      <c r="G280" s="240"/>
      <c r="H280" s="263"/>
      <c r="I280" s="240"/>
      <c r="J280" s="240"/>
      <c r="K280" s="246"/>
      <c r="L280" s="246"/>
      <c r="M280" s="246"/>
      <c r="N280" s="240"/>
    </row>
    <row r="281" spans="2:14" ht="18" customHeight="1" x14ac:dyDescent="0.15">
      <c r="B281" s="246"/>
      <c r="C281" s="246"/>
      <c r="D281" s="240"/>
      <c r="E281" s="240"/>
      <c r="F281" s="240"/>
      <c r="G281" s="240"/>
      <c r="H281" s="263"/>
      <c r="I281" s="240"/>
      <c r="J281" s="240"/>
      <c r="K281" s="246"/>
      <c r="L281" s="246"/>
      <c r="M281" s="246"/>
      <c r="N281" s="240"/>
    </row>
    <row r="282" spans="2:14" ht="18" customHeight="1" x14ac:dyDescent="0.15">
      <c r="B282" s="246"/>
      <c r="C282" s="246"/>
      <c r="D282" s="240"/>
      <c r="E282" s="240"/>
      <c r="F282" s="240"/>
      <c r="G282" s="240"/>
      <c r="H282" s="263"/>
      <c r="I282" s="240"/>
      <c r="J282" s="240"/>
      <c r="K282" s="246"/>
      <c r="L282" s="246"/>
      <c r="M282" s="246"/>
      <c r="N282" s="240"/>
    </row>
    <row r="283" spans="2:14" ht="18" customHeight="1" x14ac:dyDescent="0.15">
      <c r="B283" s="246"/>
      <c r="C283" s="246"/>
      <c r="D283" s="240"/>
      <c r="E283" s="240"/>
      <c r="F283" s="240"/>
      <c r="G283" s="240"/>
      <c r="H283" s="263"/>
      <c r="I283" s="240"/>
      <c r="J283" s="240"/>
      <c r="K283" s="246"/>
      <c r="L283" s="246"/>
      <c r="M283" s="246"/>
      <c r="N283" s="240"/>
    </row>
    <row r="284" spans="2:14" ht="18" customHeight="1" x14ac:dyDescent="0.15">
      <c r="B284" s="246"/>
      <c r="C284" s="246"/>
      <c r="D284" s="240"/>
      <c r="E284" s="240"/>
      <c r="F284" s="240"/>
      <c r="G284" s="240"/>
      <c r="H284" s="263"/>
      <c r="I284" s="240"/>
      <c r="J284" s="240"/>
      <c r="K284" s="246"/>
      <c r="L284" s="246"/>
      <c r="M284" s="246"/>
      <c r="N284" s="240"/>
    </row>
    <row r="285" spans="2:14" ht="18" customHeight="1" x14ac:dyDescent="0.15">
      <c r="B285" s="246"/>
      <c r="C285" s="246"/>
      <c r="D285" s="240"/>
      <c r="E285" s="240"/>
      <c r="F285" s="240"/>
      <c r="G285" s="240"/>
      <c r="H285" s="263"/>
      <c r="I285" s="240"/>
      <c r="J285" s="240"/>
      <c r="K285" s="246"/>
      <c r="L285" s="246"/>
      <c r="M285" s="246"/>
      <c r="N285" s="240"/>
    </row>
    <row r="286" spans="2:14" ht="18" customHeight="1" x14ac:dyDescent="0.15">
      <c r="B286" s="246"/>
      <c r="C286" s="246"/>
      <c r="D286" s="240"/>
      <c r="E286" s="240"/>
      <c r="F286" s="240"/>
      <c r="G286" s="240"/>
      <c r="H286" s="263"/>
      <c r="I286" s="240"/>
      <c r="J286" s="240"/>
      <c r="K286" s="246"/>
      <c r="L286" s="246"/>
      <c r="M286" s="246"/>
      <c r="N286" s="240"/>
    </row>
    <row r="287" spans="2:14" ht="18" customHeight="1" x14ac:dyDescent="0.15">
      <c r="B287" s="246"/>
      <c r="C287" s="246"/>
      <c r="D287" s="240"/>
      <c r="E287" s="240"/>
      <c r="F287" s="240"/>
      <c r="G287" s="240"/>
      <c r="H287" s="263"/>
      <c r="I287" s="240"/>
      <c r="J287" s="240"/>
      <c r="K287" s="246"/>
      <c r="L287" s="246"/>
      <c r="M287" s="246"/>
      <c r="N287" s="240"/>
    </row>
    <row r="288" spans="2:14" ht="18" customHeight="1" x14ac:dyDescent="0.15">
      <c r="B288" s="246"/>
      <c r="C288" s="246"/>
      <c r="D288" s="240"/>
      <c r="E288" s="240"/>
      <c r="F288" s="240"/>
      <c r="G288" s="240"/>
      <c r="H288" s="263"/>
      <c r="I288" s="240"/>
      <c r="J288" s="240"/>
      <c r="K288" s="246"/>
      <c r="L288" s="246"/>
      <c r="M288" s="246"/>
      <c r="N288" s="240"/>
    </row>
    <row r="289" spans="2:14" ht="18" customHeight="1" x14ac:dyDescent="0.15">
      <c r="B289" s="246"/>
      <c r="C289" s="246"/>
      <c r="D289" s="240"/>
      <c r="E289" s="240"/>
      <c r="F289" s="240"/>
      <c r="G289" s="240"/>
      <c r="H289" s="263"/>
      <c r="I289" s="240"/>
      <c r="J289" s="240"/>
      <c r="K289" s="246"/>
      <c r="L289" s="246"/>
      <c r="M289" s="246"/>
      <c r="N289" s="240"/>
    </row>
    <row r="290" spans="2:14" ht="18" customHeight="1" x14ac:dyDescent="0.15">
      <c r="B290" s="246"/>
      <c r="C290" s="246"/>
      <c r="D290" s="240"/>
      <c r="E290" s="240"/>
      <c r="F290" s="240"/>
      <c r="G290" s="240"/>
      <c r="H290" s="263"/>
      <c r="I290" s="240"/>
      <c r="J290" s="240"/>
      <c r="K290" s="246"/>
      <c r="L290" s="246"/>
      <c r="M290" s="246"/>
      <c r="N290" s="240"/>
    </row>
    <row r="291" spans="2:14" ht="18" customHeight="1" x14ac:dyDescent="0.15">
      <c r="B291" s="246"/>
      <c r="C291" s="246"/>
      <c r="D291" s="240"/>
      <c r="E291" s="240"/>
      <c r="F291" s="240"/>
      <c r="G291" s="240"/>
      <c r="H291" s="263"/>
      <c r="I291" s="240"/>
      <c r="J291" s="240"/>
      <c r="K291" s="246"/>
      <c r="L291" s="246"/>
      <c r="M291" s="246"/>
      <c r="N291" s="240"/>
    </row>
    <row r="292" spans="2:14" ht="18" customHeight="1" x14ac:dyDescent="0.15">
      <c r="B292" s="246"/>
      <c r="C292" s="246"/>
      <c r="D292" s="240"/>
      <c r="E292" s="240"/>
      <c r="F292" s="240"/>
      <c r="G292" s="240"/>
      <c r="H292" s="263"/>
      <c r="I292" s="240"/>
      <c r="J292" s="240"/>
      <c r="K292" s="246"/>
      <c r="L292" s="246"/>
      <c r="M292" s="246"/>
      <c r="N292" s="240"/>
    </row>
    <row r="293" spans="2:14" ht="18" customHeight="1" x14ac:dyDescent="0.15">
      <c r="B293" s="246"/>
      <c r="C293" s="246"/>
      <c r="D293" s="240"/>
      <c r="E293" s="240"/>
      <c r="F293" s="240"/>
      <c r="G293" s="240"/>
      <c r="H293" s="263"/>
      <c r="I293" s="240"/>
      <c r="J293" s="240"/>
      <c r="K293" s="246"/>
      <c r="L293" s="246"/>
      <c r="M293" s="246"/>
      <c r="N293" s="240"/>
    </row>
    <row r="294" spans="2:14" ht="18" customHeight="1" x14ac:dyDescent="0.15">
      <c r="B294" s="246"/>
      <c r="C294" s="246"/>
      <c r="D294" s="240"/>
      <c r="E294" s="240"/>
      <c r="F294" s="240"/>
      <c r="G294" s="240"/>
      <c r="H294" s="263"/>
      <c r="I294" s="240"/>
      <c r="J294" s="240"/>
      <c r="K294" s="246"/>
      <c r="L294" s="246"/>
      <c r="M294" s="246"/>
      <c r="N294" s="240"/>
    </row>
    <row r="295" spans="2:14" ht="18" customHeight="1" x14ac:dyDescent="0.15">
      <c r="B295" s="246"/>
      <c r="C295" s="246"/>
      <c r="D295" s="240"/>
      <c r="E295" s="240"/>
      <c r="F295" s="240"/>
      <c r="G295" s="240"/>
      <c r="H295" s="263"/>
      <c r="I295" s="240"/>
      <c r="J295" s="240"/>
      <c r="K295" s="246"/>
      <c r="L295" s="246"/>
      <c r="M295" s="246"/>
      <c r="N295" s="240"/>
    </row>
    <row r="296" spans="2:14" ht="18" customHeight="1" x14ac:dyDescent="0.15">
      <c r="B296" s="246"/>
      <c r="C296" s="246"/>
      <c r="D296" s="240"/>
      <c r="E296" s="240"/>
      <c r="F296" s="240"/>
      <c r="G296" s="240"/>
      <c r="H296" s="263"/>
      <c r="I296" s="240"/>
      <c r="J296" s="240"/>
      <c r="K296" s="246"/>
      <c r="L296" s="246"/>
      <c r="M296" s="246"/>
      <c r="N296" s="240"/>
    </row>
    <row r="297" spans="2:14" ht="18" customHeight="1" x14ac:dyDescent="0.15">
      <c r="B297" s="246"/>
      <c r="C297" s="246"/>
      <c r="D297" s="240"/>
      <c r="E297" s="240"/>
      <c r="F297" s="240"/>
      <c r="G297" s="240"/>
      <c r="H297" s="263"/>
      <c r="I297" s="240"/>
      <c r="J297" s="240"/>
      <c r="K297" s="246"/>
      <c r="L297" s="246"/>
      <c r="M297" s="246"/>
      <c r="N297" s="240"/>
    </row>
    <row r="298" spans="2:14" ht="18" customHeight="1" x14ac:dyDescent="0.15">
      <c r="B298" s="246"/>
      <c r="C298" s="246"/>
      <c r="D298" s="240"/>
      <c r="E298" s="240"/>
      <c r="F298" s="240"/>
      <c r="G298" s="240"/>
      <c r="H298" s="263"/>
      <c r="I298" s="240"/>
      <c r="J298" s="240"/>
      <c r="K298" s="246"/>
      <c r="L298" s="246"/>
      <c r="M298" s="246"/>
      <c r="N298" s="240"/>
    </row>
    <row r="299" spans="2:14" ht="18" customHeight="1" x14ac:dyDescent="0.15">
      <c r="B299" s="246"/>
      <c r="C299" s="246"/>
      <c r="D299" s="240"/>
      <c r="E299" s="240"/>
      <c r="F299" s="240"/>
      <c r="G299" s="240"/>
      <c r="H299" s="263"/>
      <c r="I299" s="240"/>
      <c r="J299" s="240"/>
      <c r="K299" s="246"/>
      <c r="L299" s="246"/>
      <c r="M299" s="246"/>
      <c r="N299" s="240"/>
    </row>
    <row r="300" spans="2:14" ht="18" customHeight="1" x14ac:dyDescent="0.15">
      <c r="B300" s="246"/>
      <c r="C300" s="246"/>
      <c r="D300" s="240"/>
      <c r="E300" s="240"/>
      <c r="F300" s="240"/>
      <c r="G300" s="240"/>
      <c r="H300" s="263"/>
      <c r="I300" s="240"/>
      <c r="J300" s="240"/>
      <c r="K300" s="246"/>
      <c r="L300" s="246"/>
      <c r="M300" s="246"/>
      <c r="N300" s="240"/>
    </row>
    <row r="301" spans="2:14" ht="18" customHeight="1" x14ac:dyDescent="0.15">
      <c r="B301" s="246"/>
      <c r="C301" s="246"/>
      <c r="D301" s="240"/>
      <c r="E301" s="240"/>
      <c r="F301" s="240"/>
      <c r="G301" s="240"/>
      <c r="H301" s="263"/>
      <c r="I301" s="240"/>
      <c r="J301" s="240"/>
      <c r="K301" s="246"/>
      <c r="L301" s="246"/>
      <c r="M301" s="246"/>
      <c r="N301" s="240"/>
    </row>
    <row r="302" spans="2:14" ht="18" customHeight="1" x14ac:dyDescent="0.15">
      <c r="B302" s="246"/>
      <c r="C302" s="246"/>
      <c r="D302" s="240"/>
      <c r="E302" s="240"/>
      <c r="F302" s="240"/>
      <c r="G302" s="240"/>
      <c r="H302" s="263"/>
      <c r="I302" s="240"/>
      <c r="J302" s="240"/>
      <c r="K302" s="246"/>
      <c r="L302" s="246"/>
      <c r="M302" s="246"/>
      <c r="N302" s="240"/>
    </row>
    <row r="303" spans="2:14" ht="18" customHeight="1" x14ac:dyDescent="0.15">
      <c r="B303" s="246"/>
      <c r="C303" s="246"/>
      <c r="D303" s="240"/>
      <c r="E303" s="240"/>
      <c r="F303" s="240"/>
      <c r="G303" s="240"/>
      <c r="H303" s="263"/>
      <c r="I303" s="240"/>
      <c r="J303" s="240"/>
      <c r="K303" s="246"/>
      <c r="L303" s="246"/>
      <c r="M303" s="246"/>
      <c r="N303" s="240"/>
    </row>
    <row r="304" spans="2:14" ht="18" customHeight="1" x14ac:dyDescent="0.15">
      <c r="B304" s="246"/>
      <c r="C304" s="246"/>
      <c r="D304" s="240"/>
      <c r="E304" s="240"/>
      <c r="F304" s="240"/>
      <c r="G304" s="240"/>
      <c r="H304" s="263"/>
      <c r="I304" s="240"/>
      <c r="J304" s="240"/>
      <c r="K304" s="246"/>
      <c r="L304" s="246"/>
      <c r="M304" s="246"/>
      <c r="N304" s="240"/>
    </row>
    <row r="305" spans="2:14" ht="18" customHeight="1" x14ac:dyDescent="0.15">
      <c r="B305" s="246"/>
      <c r="C305" s="246"/>
      <c r="D305" s="240"/>
      <c r="E305" s="240"/>
      <c r="F305" s="240"/>
      <c r="G305" s="240"/>
      <c r="H305" s="263"/>
      <c r="I305" s="240"/>
      <c r="J305" s="240"/>
      <c r="K305" s="246"/>
      <c r="L305" s="246"/>
      <c r="M305" s="246"/>
      <c r="N305" s="240"/>
    </row>
    <row r="306" spans="2:14" ht="18" customHeight="1" x14ac:dyDescent="0.15">
      <c r="B306" s="246"/>
      <c r="C306" s="246"/>
      <c r="D306" s="240"/>
      <c r="E306" s="240"/>
      <c r="F306" s="240"/>
      <c r="G306" s="240"/>
      <c r="H306" s="263"/>
      <c r="I306" s="240"/>
      <c r="J306" s="240"/>
      <c r="K306" s="246"/>
      <c r="L306" s="246"/>
      <c r="M306" s="246"/>
      <c r="N306" s="240"/>
    </row>
    <row r="307" spans="2:14" ht="18" customHeight="1" x14ac:dyDescent="0.15">
      <c r="B307" s="246"/>
      <c r="C307" s="246"/>
      <c r="D307" s="240"/>
      <c r="E307" s="240"/>
      <c r="F307" s="240"/>
      <c r="G307" s="240"/>
      <c r="H307" s="263"/>
      <c r="I307" s="240"/>
      <c r="J307" s="240"/>
      <c r="K307" s="246"/>
      <c r="L307" s="246"/>
      <c r="M307" s="246"/>
      <c r="N307" s="240"/>
    </row>
    <row r="308" spans="2:14" ht="18" customHeight="1" x14ac:dyDescent="0.15">
      <c r="B308" s="246"/>
      <c r="C308" s="246"/>
      <c r="D308" s="240"/>
      <c r="E308" s="240"/>
      <c r="F308" s="240"/>
      <c r="G308" s="240"/>
      <c r="H308" s="263"/>
      <c r="I308" s="240"/>
      <c r="J308" s="240"/>
      <c r="K308" s="246"/>
      <c r="L308" s="246"/>
      <c r="M308" s="246"/>
      <c r="N308" s="240"/>
    </row>
    <row r="309" spans="2:14" ht="18" customHeight="1" x14ac:dyDescent="0.15">
      <c r="B309" s="246"/>
      <c r="C309" s="246"/>
      <c r="D309" s="240"/>
      <c r="E309" s="240"/>
      <c r="F309" s="240"/>
      <c r="G309" s="240"/>
      <c r="H309" s="263"/>
      <c r="I309" s="240"/>
      <c r="J309" s="240"/>
      <c r="K309" s="246"/>
      <c r="L309" s="246"/>
      <c r="M309" s="246"/>
      <c r="N309" s="240"/>
    </row>
    <row r="310" spans="2:14" ht="18" customHeight="1" x14ac:dyDescent="0.15">
      <c r="B310" s="246"/>
      <c r="C310" s="246"/>
      <c r="D310" s="240"/>
      <c r="E310" s="240"/>
      <c r="F310" s="240"/>
      <c r="G310" s="240"/>
      <c r="H310" s="263"/>
      <c r="I310" s="240"/>
      <c r="J310" s="240"/>
      <c r="K310" s="246"/>
      <c r="L310" s="246"/>
      <c r="M310" s="246"/>
      <c r="N310" s="240"/>
    </row>
    <row r="311" spans="2:14" ht="18" customHeight="1" x14ac:dyDescent="0.15">
      <c r="B311" s="246"/>
      <c r="C311" s="246"/>
      <c r="D311" s="240"/>
      <c r="E311" s="240"/>
      <c r="F311" s="240"/>
      <c r="G311" s="240"/>
      <c r="H311" s="263"/>
      <c r="I311" s="240"/>
      <c r="J311" s="240"/>
      <c r="K311" s="246"/>
      <c r="L311" s="246"/>
      <c r="M311" s="246"/>
      <c r="N311" s="240"/>
    </row>
    <row r="312" spans="2:14" ht="18" customHeight="1" x14ac:dyDescent="0.15">
      <c r="B312" s="246"/>
      <c r="C312" s="246"/>
      <c r="D312" s="240"/>
      <c r="E312" s="240"/>
      <c r="F312" s="240"/>
      <c r="G312" s="240"/>
      <c r="H312" s="263"/>
      <c r="I312" s="240"/>
      <c r="J312" s="240"/>
      <c r="K312" s="246"/>
      <c r="L312" s="246"/>
      <c r="M312" s="246"/>
      <c r="N312" s="240"/>
    </row>
    <row r="313" spans="2:14" ht="18" customHeight="1" x14ac:dyDescent="0.15">
      <c r="B313" s="246"/>
      <c r="C313" s="246"/>
      <c r="D313" s="240"/>
      <c r="E313" s="240"/>
      <c r="F313" s="240"/>
      <c r="G313" s="240"/>
      <c r="H313" s="263"/>
      <c r="I313" s="240"/>
      <c r="J313" s="240"/>
      <c r="K313" s="246"/>
      <c r="L313" s="246"/>
      <c r="M313" s="246"/>
      <c r="N313" s="240"/>
    </row>
    <row r="314" spans="2:14" ht="18" customHeight="1" x14ac:dyDescent="0.15">
      <c r="B314" s="246"/>
      <c r="C314" s="246"/>
      <c r="D314" s="240"/>
      <c r="E314" s="240"/>
      <c r="F314" s="240"/>
      <c r="G314" s="240"/>
      <c r="H314" s="263"/>
      <c r="I314" s="240"/>
      <c r="J314" s="240"/>
      <c r="K314" s="246"/>
      <c r="L314" s="246"/>
      <c r="M314" s="246"/>
      <c r="N314" s="240"/>
    </row>
    <row r="315" spans="2:14" ht="18" customHeight="1" x14ac:dyDescent="0.15">
      <c r="B315" s="246"/>
      <c r="C315" s="246"/>
      <c r="D315" s="240"/>
      <c r="E315" s="240"/>
      <c r="F315" s="240"/>
      <c r="G315" s="240"/>
      <c r="H315" s="263"/>
      <c r="I315" s="240"/>
      <c r="J315" s="240"/>
      <c r="K315" s="246"/>
      <c r="L315" s="246"/>
      <c r="M315" s="246"/>
      <c r="N315" s="240"/>
    </row>
    <row r="316" spans="2:14" ht="18" customHeight="1" x14ac:dyDescent="0.15">
      <c r="B316" s="246"/>
      <c r="C316" s="246"/>
      <c r="D316" s="240"/>
      <c r="E316" s="240"/>
      <c r="F316" s="240"/>
      <c r="G316" s="240"/>
      <c r="H316" s="263"/>
      <c r="I316" s="240"/>
      <c r="J316" s="240"/>
      <c r="K316" s="246"/>
      <c r="L316" s="246"/>
      <c r="M316" s="246"/>
      <c r="N316" s="240"/>
    </row>
    <row r="317" spans="2:14" ht="18" customHeight="1" x14ac:dyDescent="0.15">
      <c r="B317" s="246"/>
      <c r="C317" s="246"/>
      <c r="D317" s="240"/>
      <c r="E317" s="240"/>
      <c r="F317" s="240"/>
      <c r="G317" s="240"/>
      <c r="H317" s="263"/>
      <c r="I317" s="240"/>
      <c r="J317" s="240"/>
      <c r="K317" s="246"/>
      <c r="L317" s="246"/>
      <c r="M317" s="246"/>
      <c r="N317" s="240"/>
    </row>
    <row r="318" spans="2:14" ht="18" customHeight="1" x14ac:dyDescent="0.15">
      <c r="B318" s="246"/>
      <c r="C318" s="246"/>
      <c r="D318" s="240"/>
      <c r="E318" s="240"/>
      <c r="F318" s="240"/>
      <c r="G318" s="240"/>
      <c r="H318" s="263"/>
      <c r="I318" s="240"/>
      <c r="J318" s="240"/>
      <c r="K318" s="246"/>
      <c r="L318" s="246"/>
      <c r="M318" s="246"/>
      <c r="N318" s="240"/>
    </row>
    <row r="319" spans="2:14" ht="18" customHeight="1" x14ac:dyDescent="0.15">
      <c r="B319" s="246"/>
      <c r="C319" s="246"/>
      <c r="D319" s="240"/>
      <c r="E319" s="240"/>
      <c r="F319" s="240"/>
      <c r="G319" s="240"/>
      <c r="H319" s="263"/>
      <c r="I319" s="240"/>
      <c r="J319" s="240"/>
      <c r="K319" s="246"/>
      <c r="L319" s="246"/>
      <c r="M319" s="246"/>
      <c r="N319" s="240"/>
    </row>
    <row r="320" spans="2:14" ht="18" customHeight="1" x14ac:dyDescent="0.15">
      <c r="B320" s="246"/>
      <c r="C320" s="246"/>
      <c r="D320" s="240"/>
      <c r="E320" s="240"/>
      <c r="F320" s="240"/>
      <c r="G320" s="240"/>
      <c r="H320" s="263"/>
      <c r="I320" s="240"/>
      <c r="J320" s="240"/>
      <c r="K320" s="246"/>
      <c r="L320" s="246"/>
      <c r="M320" s="246"/>
      <c r="N320" s="240"/>
    </row>
    <row r="321" spans="2:14" ht="18" customHeight="1" x14ac:dyDescent="0.15">
      <c r="B321" s="246"/>
      <c r="C321" s="246"/>
      <c r="D321" s="240"/>
      <c r="E321" s="240"/>
      <c r="F321" s="240"/>
      <c r="G321" s="240"/>
      <c r="H321" s="263"/>
      <c r="I321" s="240"/>
      <c r="J321" s="240"/>
      <c r="K321" s="246"/>
      <c r="L321" s="246"/>
      <c r="M321" s="246"/>
      <c r="N321" s="240"/>
    </row>
    <row r="322" spans="2:14" ht="18" customHeight="1" x14ac:dyDescent="0.15">
      <c r="B322" s="246"/>
      <c r="C322" s="246"/>
      <c r="D322" s="240"/>
      <c r="E322" s="240"/>
      <c r="F322" s="240"/>
      <c r="G322" s="240"/>
      <c r="H322" s="263"/>
      <c r="I322" s="240"/>
      <c r="J322" s="240"/>
      <c r="K322" s="246"/>
      <c r="L322" s="246"/>
      <c r="M322" s="246"/>
      <c r="N322" s="240"/>
    </row>
    <row r="323" spans="2:14" ht="18" customHeight="1" x14ac:dyDescent="0.15">
      <c r="B323" s="246"/>
      <c r="C323" s="246"/>
      <c r="D323" s="240"/>
      <c r="E323" s="240"/>
      <c r="F323" s="240"/>
      <c r="G323" s="240"/>
      <c r="H323" s="263"/>
      <c r="I323" s="240"/>
      <c r="J323" s="240"/>
      <c r="K323" s="246"/>
      <c r="L323" s="246"/>
      <c r="M323" s="246"/>
      <c r="N323" s="240"/>
    </row>
    <row r="324" spans="2:14" ht="18" customHeight="1" x14ac:dyDescent="0.15">
      <c r="B324" s="246"/>
      <c r="C324" s="246"/>
      <c r="D324" s="240"/>
      <c r="E324" s="240"/>
      <c r="F324" s="240"/>
      <c r="G324" s="240"/>
      <c r="H324" s="263"/>
      <c r="I324" s="240"/>
      <c r="J324" s="240"/>
      <c r="K324" s="246"/>
      <c r="L324" s="246"/>
      <c r="M324" s="246"/>
      <c r="N324" s="240"/>
    </row>
    <row r="325" spans="2:14" ht="18" customHeight="1" x14ac:dyDescent="0.15">
      <c r="B325" s="246"/>
      <c r="C325" s="246"/>
      <c r="D325" s="240"/>
      <c r="E325" s="240"/>
      <c r="F325" s="240"/>
      <c r="G325" s="240"/>
      <c r="H325" s="263"/>
      <c r="I325" s="240"/>
      <c r="J325" s="240"/>
      <c r="K325" s="246"/>
      <c r="L325" s="246"/>
      <c r="M325" s="246"/>
      <c r="N325" s="240"/>
    </row>
    <row r="326" spans="2:14" ht="18" customHeight="1" x14ac:dyDescent="0.15">
      <c r="B326" s="246"/>
      <c r="C326" s="246"/>
      <c r="D326" s="240"/>
      <c r="E326" s="240"/>
      <c r="F326" s="240"/>
      <c r="G326" s="240"/>
      <c r="H326" s="263"/>
      <c r="I326" s="240"/>
      <c r="J326" s="240"/>
      <c r="K326" s="246"/>
      <c r="L326" s="246"/>
      <c r="M326" s="246"/>
      <c r="N326" s="240"/>
    </row>
    <row r="327" spans="2:14" ht="18" customHeight="1" x14ac:dyDescent="0.15">
      <c r="B327" s="246"/>
      <c r="C327" s="246"/>
      <c r="D327" s="240"/>
      <c r="E327" s="240"/>
      <c r="F327" s="240"/>
      <c r="G327" s="240"/>
      <c r="H327" s="263"/>
      <c r="I327" s="240"/>
      <c r="J327" s="240"/>
      <c r="K327" s="246"/>
      <c r="L327" s="246"/>
      <c r="M327" s="246"/>
      <c r="N327" s="240"/>
    </row>
    <row r="328" spans="2:14" ht="18" customHeight="1" x14ac:dyDescent="0.15">
      <c r="B328" s="246"/>
      <c r="C328" s="246"/>
      <c r="D328" s="240"/>
      <c r="E328" s="240"/>
      <c r="F328" s="240"/>
      <c r="G328" s="240"/>
      <c r="H328" s="263"/>
      <c r="I328" s="240"/>
      <c r="J328" s="240"/>
      <c r="K328" s="246"/>
      <c r="L328" s="246"/>
      <c r="M328" s="246"/>
      <c r="N328" s="240"/>
    </row>
    <row r="329" spans="2:14" ht="18" customHeight="1" x14ac:dyDescent="0.15">
      <c r="B329" s="246"/>
      <c r="C329" s="246"/>
      <c r="D329" s="240"/>
      <c r="E329" s="240"/>
      <c r="F329" s="240"/>
      <c r="G329" s="240"/>
      <c r="H329" s="263"/>
      <c r="I329" s="240"/>
      <c r="J329" s="240"/>
      <c r="K329" s="246"/>
      <c r="L329" s="246"/>
      <c r="M329" s="246"/>
      <c r="N329" s="240"/>
    </row>
    <row r="330" spans="2:14" ht="18" customHeight="1" x14ac:dyDescent="0.15">
      <c r="B330" s="246"/>
      <c r="C330" s="246"/>
      <c r="D330" s="240"/>
      <c r="E330" s="240"/>
      <c r="F330" s="240"/>
      <c r="G330" s="240"/>
      <c r="H330" s="263"/>
      <c r="I330" s="240"/>
      <c r="J330" s="240"/>
      <c r="K330" s="246"/>
      <c r="L330" s="246"/>
      <c r="M330" s="246"/>
      <c r="N330" s="240"/>
    </row>
    <row r="331" spans="2:14" ht="18" customHeight="1" x14ac:dyDescent="0.15">
      <c r="B331" s="246"/>
      <c r="C331" s="246"/>
      <c r="D331" s="240"/>
      <c r="E331" s="240"/>
      <c r="F331" s="240"/>
      <c r="G331" s="240"/>
      <c r="H331" s="263"/>
      <c r="I331" s="240"/>
      <c r="J331" s="240"/>
      <c r="K331" s="246"/>
      <c r="L331" s="246"/>
      <c r="M331" s="246"/>
      <c r="N331" s="240"/>
    </row>
    <row r="332" spans="2:14" ht="18" customHeight="1" x14ac:dyDescent="0.15">
      <c r="B332" s="246"/>
      <c r="C332" s="246"/>
      <c r="D332" s="240"/>
      <c r="E332" s="240"/>
      <c r="F332" s="240"/>
      <c r="G332" s="240"/>
      <c r="H332" s="263"/>
      <c r="I332" s="240"/>
      <c r="J332" s="240"/>
      <c r="K332" s="246"/>
      <c r="L332" s="246"/>
      <c r="M332" s="246"/>
      <c r="N332" s="240"/>
    </row>
    <row r="333" spans="2:14" ht="18" customHeight="1" x14ac:dyDescent="0.15">
      <c r="B333" s="246"/>
      <c r="C333" s="246"/>
      <c r="D333" s="240"/>
      <c r="E333" s="240"/>
      <c r="F333" s="240"/>
      <c r="G333" s="240"/>
      <c r="H333" s="263"/>
      <c r="I333" s="240"/>
      <c r="J333" s="240"/>
      <c r="K333" s="246"/>
      <c r="L333" s="246"/>
      <c r="M333" s="246"/>
      <c r="N333" s="240"/>
    </row>
    <row r="334" spans="2:14" ht="18" customHeight="1" x14ac:dyDescent="0.15">
      <c r="B334" s="246"/>
      <c r="C334" s="246"/>
      <c r="D334" s="240"/>
      <c r="E334" s="240"/>
      <c r="F334" s="240"/>
      <c r="G334" s="240"/>
      <c r="H334" s="263"/>
      <c r="I334" s="240"/>
      <c r="J334" s="240"/>
      <c r="K334" s="246"/>
      <c r="L334" s="246"/>
      <c r="M334" s="246"/>
      <c r="N334" s="240"/>
    </row>
    <row r="335" spans="2:14" ht="18" customHeight="1" x14ac:dyDescent="0.15">
      <c r="B335" s="246"/>
      <c r="C335" s="246"/>
      <c r="D335" s="240"/>
      <c r="E335" s="240"/>
      <c r="F335" s="240"/>
      <c r="G335" s="240"/>
      <c r="H335" s="263"/>
      <c r="I335" s="240"/>
      <c r="J335" s="240"/>
      <c r="K335" s="246"/>
      <c r="L335" s="246"/>
      <c r="M335" s="246"/>
      <c r="N335" s="240"/>
    </row>
    <row r="336" spans="2:14" ht="18" customHeight="1" x14ac:dyDescent="0.15">
      <c r="B336" s="246"/>
      <c r="C336" s="246"/>
      <c r="D336" s="240"/>
      <c r="E336" s="240"/>
      <c r="F336" s="240"/>
      <c r="G336" s="240"/>
      <c r="H336" s="263"/>
      <c r="I336" s="240"/>
      <c r="J336" s="240"/>
      <c r="K336" s="246"/>
      <c r="L336" s="246"/>
      <c r="M336" s="246"/>
      <c r="N336" s="240"/>
    </row>
    <row r="337" spans="2:14" ht="18" customHeight="1" x14ac:dyDescent="0.15">
      <c r="B337" s="246"/>
      <c r="C337" s="246"/>
      <c r="D337" s="240"/>
      <c r="E337" s="240"/>
      <c r="F337" s="240"/>
      <c r="G337" s="240"/>
      <c r="H337" s="263"/>
      <c r="I337" s="240"/>
      <c r="J337" s="240"/>
      <c r="K337" s="246"/>
      <c r="L337" s="246"/>
      <c r="M337" s="246"/>
      <c r="N337" s="240"/>
    </row>
    <row r="338" spans="2:14" ht="18" customHeight="1" x14ac:dyDescent="0.15">
      <c r="B338" s="246"/>
      <c r="C338" s="246"/>
      <c r="D338" s="240"/>
      <c r="E338" s="240"/>
      <c r="F338" s="240"/>
      <c r="G338" s="240"/>
      <c r="H338" s="263"/>
      <c r="I338" s="240"/>
      <c r="J338" s="240"/>
      <c r="K338" s="246"/>
      <c r="L338" s="246"/>
      <c r="M338" s="246"/>
      <c r="N338" s="240"/>
    </row>
    <row r="339" spans="2:14" ht="18" customHeight="1" x14ac:dyDescent="0.15">
      <c r="B339" s="246"/>
      <c r="C339" s="246"/>
      <c r="D339" s="240"/>
      <c r="E339" s="240"/>
      <c r="F339" s="240"/>
      <c r="G339" s="240"/>
      <c r="H339" s="263"/>
      <c r="I339" s="240"/>
      <c r="J339" s="240"/>
      <c r="K339" s="246"/>
      <c r="L339" s="246"/>
      <c r="M339" s="246"/>
      <c r="N339" s="240"/>
    </row>
    <row r="340" spans="2:14" ht="18" customHeight="1" x14ac:dyDescent="0.15">
      <c r="B340" s="246"/>
      <c r="C340" s="246"/>
      <c r="D340" s="240"/>
      <c r="E340" s="240"/>
      <c r="F340" s="240"/>
      <c r="G340" s="240"/>
      <c r="H340" s="263"/>
      <c r="I340" s="240"/>
      <c r="J340" s="240"/>
      <c r="K340" s="246"/>
      <c r="L340" s="246"/>
      <c r="M340" s="246"/>
      <c r="N340" s="240"/>
    </row>
    <row r="341" spans="2:14" ht="18" customHeight="1" x14ac:dyDescent="0.15">
      <c r="B341" s="246"/>
      <c r="C341" s="246"/>
      <c r="D341" s="240"/>
      <c r="E341" s="240"/>
      <c r="F341" s="240"/>
      <c r="G341" s="240"/>
      <c r="H341" s="263"/>
      <c r="I341" s="240"/>
      <c r="J341" s="240"/>
      <c r="K341" s="246"/>
      <c r="L341" s="246"/>
      <c r="M341" s="246"/>
      <c r="N341" s="240"/>
    </row>
    <row r="342" spans="2:14" ht="18" customHeight="1" x14ac:dyDescent="0.15">
      <c r="B342" s="246"/>
      <c r="C342" s="246"/>
      <c r="D342" s="240"/>
      <c r="E342" s="240"/>
      <c r="F342" s="240"/>
      <c r="G342" s="240"/>
      <c r="H342" s="263"/>
      <c r="I342" s="240"/>
      <c r="J342" s="240"/>
      <c r="K342" s="246"/>
      <c r="L342" s="246"/>
      <c r="M342" s="246"/>
      <c r="N342" s="240"/>
    </row>
    <row r="343" spans="2:14" ht="18" customHeight="1" x14ac:dyDescent="0.15">
      <c r="B343" s="246"/>
      <c r="C343" s="246"/>
      <c r="D343" s="240"/>
      <c r="E343" s="240"/>
      <c r="F343" s="240"/>
      <c r="G343" s="240"/>
      <c r="H343" s="263"/>
      <c r="I343" s="240"/>
      <c r="J343" s="240"/>
      <c r="K343" s="246"/>
      <c r="L343" s="246"/>
      <c r="M343" s="246"/>
      <c r="N343" s="240"/>
    </row>
    <row r="344" spans="2:14" ht="18" customHeight="1" x14ac:dyDescent="0.15">
      <c r="B344" s="246"/>
      <c r="C344" s="246"/>
      <c r="D344" s="240"/>
      <c r="E344" s="240"/>
      <c r="F344" s="240"/>
      <c r="G344" s="240"/>
      <c r="H344" s="263"/>
      <c r="I344" s="240"/>
      <c r="J344" s="240"/>
      <c r="K344" s="246"/>
      <c r="L344" s="246"/>
      <c r="M344" s="246"/>
      <c r="N344" s="240"/>
    </row>
    <row r="345" spans="2:14" ht="18" customHeight="1" x14ac:dyDescent="0.15">
      <c r="B345" s="246"/>
      <c r="C345" s="246"/>
      <c r="D345" s="240"/>
      <c r="E345" s="240"/>
      <c r="F345" s="240"/>
      <c r="G345" s="240"/>
      <c r="H345" s="263"/>
      <c r="I345" s="240"/>
      <c r="J345" s="240"/>
      <c r="K345" s="246"/>
      <c r="L345" s="246"/>
      <c r="M345" s="246"/>
      <c r="N345" s="240"/>
    </row>
    <row r="346" spans="2:14" ht="18" customHeight="1" x14ac:dyDescent="0.15">
      <c r="B346" s="246"/>
      <c r="C346" s="246"/>
      <c r="D346" s="240"/>
      <c r="E346" s="240"/>
      <c r="F346" s="240"/>
      <c r="G346" s="240"/>
      <c r="H346" s="263"/>
      <c r="I346" s="240"/>
      <c r="J346" s="240"/>
      <c r="K346" s="246"/>
      <c r="L346" s="246"/>
      <c r="M346" s="246"/>
      <c r="N346" s="240"/>
    </row>
    <row r="347" spans="2:14" ht="18" customHeight="1" x14ac:dyDescent="0.15">
      <c r="B347" s="246"/>
      <c r="C347" s="246"/>
      <c r="D347" s="240"/>
      <c r="E347" s="240"/>
      <c r="F347" s="240"/>
      <c r="G347" s="240"/>
      <c r="H347" s="263"/>
      <c r="I347" s="240"/>
      <c r="J347" s="240"/>
      <c r="K347" s="246"/>
      <c r="L347" s="246"/>
      <c r="M347" s="246"/>
      <c r="N347" s="240"/>
    </row>
    <row r="348" spans="2:14" ht="18" customHeight="1" x14ac:dyDescent="0.15">
      <c r="B348" s="246"/>
      <c r="C348" s="246"/>
      <c r="D348" s="240"/>
      <c r="E348" s="240"/>
      <c r="F348" s="240"/>
      <c r="G348" s="240"/>
      <c r="H348" s="263"/>
      <c r="I348" s="240"/>
      <c r="J348" s="240"/>
      <c r="K348" s="246"/>
      <c r="L348" s="246"/>
      <c r="M348" s="246"/>
      <c r="N348" s="240"/>
    </row>
    <row r="349" spans="2:14" ht="18" customHeight="1" x14ac:dyDescent="0.15">
      <c r="B349" s="246"/>
      <c r="C349" s="246"/>
      <c r="D349" s="240"/>
      <c r="E349" s="240"/>
      <c r="F349" s="240"/>
      <c r="G349" s="240"/>
      <c r="H349" s="263"/>
      <c r="I349" s="240"/>
      <c r="J349" s="240"/>
      <c r="K349" s="246"/>
      <c r="L349" s="246"/>
      <c r="M349" s="246"/>
      <c r="N349" s="240"/>
    </row>
    <row r="350" spans="2:14" ht="18" customHeight="1" x14ac:dyDescent="0.15">
      <c r="B350" s="246"/>
      <c r="C350" s="246"/>
      <c r="D350" s="240"/>
      <c r="E350" s="240"/>
      <c r="F350" s="240"/>
      <c r="G350" s="240"/>
      <c r="H350" s="263"/>
      <c r="I350" s="240"/>
      <c r="J350" s="240"/>
      <c r="K350" s="246"/>
      <c r="L350" s="246"/>
      <c r="M350" s="246"/>
      <c r="N350" s="240"/>
    </row>
    <row r="351" spans="2:14" ht="18" customHeight="1" x14ac:dyDescent="0.15">
      <c r="B351" s="246"/>
      <c r="C351" s="246"/>
      <c r="D351" s="240"/>
      <c r="E351" s="240"/>
      <c r="F351" s="240"/>
      <c r="G351" s="240"/>
      <c r="H351" s="263"/>
      <c r="I351" s="240"/>
      <c r="J351" s="240"/>
      <c r="K351" s="246"/>
      <c r="L351" s="246"/>
      <c r="M351" s="246"/>
      <c r="N351" s="240"/>
    </row>
    <row r="352" spans="2:14" ht="18" customHeight="1" x14ac:dyDescent="0.15">
      <c r="B352" s="246"/>
      <c r="C352" s="246"/>
      <c r="D352" s="240"/>
      <c r="E352" s="240"/>
      <c r="F352" s="240"/>
      <c r="G352" s="240"/>
      <c r="H352" s="263"/>
      <c r="I352" s="240"/>
      <c r="J352" s="240"/>
      <c r="K352" s="246"/>
      <c r="L352" s="246"/>
      <c r="M352" s="246"/>
      <c r="N352" s="240"/>
    </row>
    <row r="353" spans="2:14" ht="18" customHeight="1" x14ac:dyDescent="0.15">
      <c r="B353" s="246"/>
      <c r="C353" s="246"/>
      <c r="D353" s="240"/>
      <c r="E353" s="240"/>
      <c r="F353" s="240"/>
      <c r="G353" s="240"/>
      <c r="H353" s="263"/>
      <c r="I353" s="240"/>
      <c r="J353" s="240"/>
      <c r="K353" s="246"/>
      <c r="L353" s="246"/>
      <c r="M353" s="246"/>
      <c r="N353" s="240"/>
    </row>
    <row r="354" spans="2:14" ht="18" customHeight="1" x14ac:dyDescent="0.15">
      <c r="B354" s="246"/>
      <c r="C354" s="246"/>
      <c r="D354" s="240"/>
      <c r="E354" s="240"/>
      <c r="F354" s="240"/>
      <c r="G354" s="240"/>
      <c r="H354" s="263"/>
      <c r="I354" s="240"/>
      <c r="J354" s="240"/>
      <c r="K354" s="246"/>
      <c r="L354" s="246"/>
      <c r="M354" s="246"/>
      <c r="N354" s="240"/>
    </row>
    <row r="355" spans="2:14" ht="18" customHeight="1" x14ac:dyDescent="0.15">
      <c r="B355" s="246"/>
      <c r="C355" s="246"/>
      <c r="D355" s="240"/>
      <c r="E355" s="240"/>
      <c r="F355" s="240"/>
      <c r="G355" s="240"/>
      <c r="H355" s="263"/>
      <c r="I355" s="240"/>
      <c r="J355" s="240"/>
      <c r="K355" s="246"/>
      <c r="L355" s="246"/>
      <c r="M355" s="246"/>
      <c r="N355" s="240"/>
    </row>
    <row r="356" spans="2:14" ht="18" customHeight="1" x14ac:dyDescent="0.15">
      <c r="B356" s="246"/>
      <c r="C356" s="246"/>
      <c r="D356" s="240"/>
      <c r="E356" s="240"/>
      <c r="F356" s="240"/>
      <c r="G356" s="240"/>
      <c r="H356" s="263"/>
      <c r="I356" s="240"/>
      <c r="J356" s="240"/>
      <c r="K356" s="246"/>
      <c r="L356" s="246"/>
      <c r="M356" s="246"/>
      <c r="N356" s="240"/>
    </row>
    <row r="357" spans="2:14" ht="18" customHeight="1" x14ac:dyDescent="0.15">
      <c r="B357" s="246"/>
      <c r="C357" s="246"/>
      <c r="D357" s="240"/>
      <c r="E357" s="240"/>
      <c r="F357" s="240"/>
      <c r="G357" s="240"/>
      <c r="H357" s="263"/>
      <c r="I357" s="240"/>
      <c r="J357" s="240"/>
      <c r="K357" s="246"/>
      <c r="L357" s="246"/>
      <c r="M357" s="246"/>
      <c r="N357" s="240"/>
    </row>
    <row r="358" spans="2:14" ht="18" customHeight="1" x14ac:dyDescent="0.15">
      <c r="B358" s="246"/>
      <c r="C358" s="246"/>
      <c r="D358" s="240"/>
      <c r="E358" s="240"/>
      <c r="F358" s="240"/>
      <c r="G358" s="240"/>
      <c r="H358" s="263"/>
      <c r="I358" s="240"/>
      <c r="J358" s="240"/>
      <c r="K358" s="246"/>
      <c r="L358" s="246"/>
      <c r="M358" s="246"/>
      <c r="N358" s="240"/>
    </row>
    <row r="359" spans="2:14" ht="18" customHeight="1" x14ac:dyDescent="0.15">
      <c r="B359" s="246"/>
      <c r="C359" s="246"/>
      <c r="D359" s="240"/>
      <c r="E359" s="240"/>
      <c r="F359" s="240"/>
      <c r="G359" s="240"/>
      <c r="H359" s="263"/>
      <c r="I359" s="240"/>
      <c r="J359" s="240"/>
      <c r="K359" s="246"/>
      <c r="L359" s="246"/>
      <c r="M359" s="246"/>
      <c r="N359" s="240"/>
    </row>
    <row r="360" spans="2:14" ht="18" customHeight="1" x14ac:dyDescent="0.15">
      <c r="B360" s="246"/>
      <c r="C360" s="246"/>
      <c r="D360" s="240"/>
      <c r="E360" s="240"/>
      <c r="F360" s="240"/>
      <c r="G360" s="240"/>
      <c r="H360" s="263"/>
      <c r="I360" s="240"/>
      <c r="J360" s="240"/>
      <c r="K360" s="246"/>
      <c r="L360" s="246"/>
      <c r="M360" s="246"/>
      <c r="N360" s="240"/>
    </row>
    <row r="361" spans="2:14" ht="18" customHeight="1" x14ac:dyDescent="0.15">
      <c r="B361" s="246"/>
      <c r="C361" s="246"/>
      <c r="D361" s="240"/>
      <c r="E361" s="240"/>
      <c r="F361" s="240"/>
      <c r="G361" s="240"/>
      <c r="H361" s="263"/>
      <c r="I361" s="240"/>
      <c r="J361" s="240"/>
      <c r="K361" s="246"/>
      <c r="L361" s="246"/>
      <c r="M361" s="246"/>
      <c r="N361" s="240"/>
    </row>
    <row r="362" spans="2:14" ht="18" customHeight="1" x14ac:dyDescent="0.15">
      <c r="B362" s="246"/>
      <c r="C362" s="246"/>
      <c r="D362" s="240"/>
      <c r="E362" s="240"/>
      <c r="F362" s="240"/>
      <c r="G362" s="240"/>
      <c r="H362" s="263"/>
      <c r="I362" s="240"/>
      <c r="J362" s="240"/>
      <c r="K362" s="246"/>
      <c r="L362" s="246"/>
      <c r="M362" s="246"/>
      <c r="N362" s="240"/>
    </row>
    <row r="363" spans="2:14" ht="18" customHeight="1" x14ac:dyDescent="0.15">
      <c r="B363" s="246"/>
      <c r="C363" s="246"/>
      <c r="D363" s="240"/>
      <c r="E363" s="240"/>
      <c r="F363" s="240"/>
      <c r="G363" s="240"/>
      <c r="H363" s="263"/>
      <c r="I363" s="240"/>
      <c r="J363" s="240"/>
      <c r="K363" s="246"/>
      <c r="L363" s="246"/>
      <c r="M363" s="246"/>
      <c r="N363" s="240"/>
    </row>
    <row r="364" spans="2:14" ht="18" customHeight="1" x14ac:dyDescent="0.15">
      <c r="B364" s="246"/>
      <c r="C364" s="246"/>
      <c r="D364" s="240"/>
      <c r="E364" s="240"/>
      <c r="F364" s="240"/>
      <c r="G364" s="240"/>
      <c r="H364" s="263"/>
      <c r="I364" s="240"/>
      <c r="J364" s="240"/>
      <c r="K364" s="246"/>
      <c r="L364" s="246"/>
      <c r="M364" s="246"/>
      <c r="N364" s="240"/>
    </row>
    <row r="365" spans="2:14" ht="18" customHeight="1" x14ac:dyDescent="0.15">
      <c r="B365" s="246"/>
      <c r="C365" s="246"/>
      <c r="D365" s="240"/>
      <c r="E365" s="240"/>
      <c r="F365" s="240"/>
      <c r="G365" s="240"/>
      <c r="H365" s="263"/>
      <c r="I365" s="240"/>
      <c r="J365" s="240"/>
      <c r="K365" s="246"/>
      <c r="L365" s="246"/>
      <c r="M365" s="246"/>
      <c r="N365" s="240"/>
    </row>
    <row r="366" spans="2:14" ht="18" customHeight="1" x14ac:dyDescent="0.15">
      <c r="B366" s="246"/>
      <c r="C366" s="246"/>
      <c r="D366" s="240"/>
      <c r="E366" s="240"/>
      <c r="F366" s="240"/>
      <c r="G366" s="240"/>
      <c r="H366" s="263"/>
      <c r="I366" s="240"/>
      <c r="J366" s="240"/>
      <c r="K366" s="246"/>
      <c r="L366" s="246"/>
      <c r="M366" s="246"/>
      <c r="N366" s="240"/>
    </row>
    <row r="367" spans="2:14" ht="18" customHeight="1" x14ac:dyDescent="0.15">
      <c r="B367" s="246"/>
      <c r="C367" s="246"/>
      <c r="D367" s="240"/>
      <c r="E367" s="240"/>
      <c r="F367" s="240"/>
      <c r="G367" s="240"/>
      <c r="H367" s="263"/>
      <c r="I367" s="240"/>
      <c r="J367" s="240"/>
      <c r="K367" s="246"/>
      <c r="L367" s="246"/>
      <c r="M367" s="246"/>
      <c r="N367" s="240"/>
    </row>
    <row r="368" spans="2:14" ht="18" customHeight="1" x14ac:dyDescent="0.15">
      <c r="B368" s="246"/>
      <c r="C368" s="246"/>
      <c r="D368" s="240"/>
      <c r="E368" s="240"/>
      <c r="F368" s="240"/>
      <c r="G368" s="240"/>
      <c r="H368" s="263"/>
      <c r="I368" s="240"/>
      <c r="J368" s="240"/>
      <c r="K368" s="246"/>
      <c r="L368" s="246"/>
      <c r="M368" s="246"/>
      <c r="N368" s="240"/>
    </row>
    <row r="369" spans="2:14" ht="18" customHeight="1" x14ac:dyDescent="0.15">
      <c r="B369" s="246"/>
      <c r="C369" s="246"/>
      <c r="D369" s="240"/>
      <c r="E369" s="240"/>
      <c r="F369" s="240"/>
      <c r="G369" s="240"/>
      <c r="H369" s="263"/>
      <c r="I369" s="240"/>
      <c r="J369" s="240"/>
      <c r="K369" s="246"/>
      <c r="L369" s="246"/>
      <c r="M369" s="246"/>
      <c r="N369" s="240"/>
    </row>
    <row r="370" spans="2:14" ht="18" customHeight="1" x14ac:dyDescent="0.15">
      <c r="B370" s="246"/>
      <c r="C370" s="246"/>
      <c r="D370" s="240"/>
      <c r="E370" s="240"/>
      <c r="F370" s="240"/>
      <c r="G370" s="240"/>
      <c r="H370" s="263"/>
      <c r="I370" s="240"/>
      <c r="J370" s="240"/>
      <c r="K370" s="246"/>
      <c r="L370" s="246"/>
      <c r="M370" s="246"/>
      <c r="N370" s="240"/>
    </row>
    <row r="371" spans="2:14" ht="18" customHeight="1" x14ac:dyDescent="0.15">
      <c r="B371" s="246"/>
      <c r="C371" s="246"/>
      <c r="D371" s="240"/>
      <c r="E371" s="240"/>
      <c r="F371" s="240"/>
      <c r="G371" s="240"/>
      <c r="H371" s="263"/>
      <c r="I371" s="240"/>
      <c r="J371" s="240"/>
      <c r="K371" s="246"/>
      <c r="L371" s="246"/>
      <c r="M371" s="246"/>
      <c r="N371" s="240"/>
    </row>
    <row r="372" spans="2:14" ht="18" customHeight="1" x14ac:dyDescent="0.15">
      <c r="B372" s="246"/>
      <c r="C372" s="246"/>
      <c r="D372" s="240"/>
      <c r="E372" s="240"/>
      <c r="F372" s="240"/>
      <c r="G372" s="240"/>
      <c r="H372" s="263"/>
      <c r="I372" s="240"/>
      <c r="J372" s="240"/>
      <c r="K372" s="246"/>
      <c r="L372" s="246"/>
      <c r="M372" s="246"/>
      <c r="N372" s="240"/>
    </row>
    <row r="373" spans="2:14" ht="18" customHeight="1" x14ac:dyDescent="0.15">
      <c r="B373" s="246"/>
      <c r="C373" s="246"/>
      <c r="D373" s="240"/>
      <c r="E373" s="240"/>
      <c r="F373" s="240"/>
      <c r="G373" s="240"/>
      <c r="H373" s="263"/>
      <c r="I373" s="240"/>
      <c r="J373" s="240"/>
      <c r="K373" s="246"/>
      <c r="L373" s="246"/>
      <c r="M373" s="246"/>
      <c r="N373" s="240"/>
    </row>
    <row r="374" spans="2:14" ht="18" customHeight="1" x14ac:dyDescent="0.15">
      <c r="B374" s="246"/>
      <c r="C374" s="246"/>
      <c r="D374" s="240"/>
      <c r="E374" s="240"/>
      <c r="F374" s="240"/>
      <c r="G374" s="240"/>
      <c r="H374" s="263"/>
      <c r="I374" s="240"/>
      <c r="J374" s="240"/>
      <c r="K374" s="246"/>
      <c r="L374" s="246"/>
      <c r="M374" s="246"/>
      <c r="N374" s="240"/>
    </row>
    <row r="375" spans="2:14" ht="18" customHeight="1" x14ac:dyDescent="0.15">
      <c r="B375" s="246"/>
      <c r="C375" s="246"/>
      <c r="D375" s="240"/>
      <c r="E375" s="240"/>
      <c r="F375" s="240"/>
      <c r="G375" s="240"/>
      <c r="H375" s="263"/>
      <c r="I375" s="240"/>
      <c r="J375" s="240"/>
      <c r="K375" s="246"/>
      <c r="L375" s="246"/>
      <c r="M375" s="246"/>
      <c r="N375" s="240"/>
    </row>
    <row r="376" spans="2:14" ht="18" customHeight="1" x14ac:dyDescent="0.15">
      <c r="B376" s="246"/>
      <c r="C376" s="246"/>
      <c r="D376" s="240"/>
      <c r="E376" s="240"/>
      <c r="F376" s="240"/>
      <c r="G376" s="240"/>
      <c r="H376" s="263"/>
      <c r="I376" s="240"/>
      <c r="J376" s="240"/>
      <c r="K376" s="246"/>
      <c r="L376" s="246"/>
      <c r="M376" s="246"/>
      <c r="N376" s="240"/>
    </row>
    <row r="377" spans="2:14" ht="18" customHeight="1" x14ac:dyDescent="0.15">
      <c r="B377" s="246"/>
      <c r="C377" s="246"/>
      <c r="D377" s="240"/>
      <c r="E377" s="240"/>
      <c r="F377" s="240"/>
      <c r="G377" s="240"/>
      <c r="H377" s="263"/>
      <c r="I377" s="240"/>
      <c r="J377" s="240"/>
      <c r="K377" s="246"/>
      <c r="L377" s="246"/>
      <c r="M377" s="246"/>
      <c r="N377" s="240"/>
    </row>
    <row r="378" spans="2:14" ht="18" customHeight="1" x14ac:dyDescent="0.15">
      <c r="B378" s="246"/>
      <c r="C378" s="246"/>
      <c r="D378" s="240"/>
      <c r="E378" s="240"/>
      <c r="F378" s="240"/>
      <c r="G378" s="240"/>
      <c r="H378" s="263"/>
      <c r="I378" s="240"/>
      <c r="J378" s="240"/>
      <c r="K378" s="246"/>
      <c r="L378" s="246"/>
      <c r="M378" s="246"/>
      <c r="N378" s="240"/>
    </row>
    <row r="379" spans="2:14" ht="18" customHeight="1" x14ac:dyDescent="0.15">
      <c r="B379" s="246"/>
      <c r="C379" s="246"/>
      <c r="D379" s="240"/>
      <c r="E379" s="240"/>
      <c r="F379" s="240"/>
      <c r="G379" s="240"/>
      <c r="H379" s="263"/>
      <c r="I379" s="240"/>
      <c r="J379" s="240"/>
      <c r="K379" s="246"/>
      <c r="L379" s="246"/>
      <c r="M379" s="246"/>
      <c r="N379" s="240"/>
    </row>
    <row r="380" spans="2:14" ht="18" customHeight="1" x14ac:dyDescent="0.15">
      <c r="B380" s="246"/>
      <c r="C380" s="246"/>
      <c r="D380" s="240"/>
      <c r="E380" s="240"/>
      <c r="F380" s="240"/>
      <c r="G380" s="240"/>
      <c r="H380" s="263"/>
      <c r="I380" s="240"/>
      <c r="J380" s="240"/>
      <c r="K380" s="246"/>
      <c r="L380" s="246"/>
      <c r="M380" s="246"/>
      <c r="N380" s="240"/>
    </row>
    <row r="381" spans="2:14" ht="18" customHeight="1" x14ac:dyDescent="0.15">
      <c r="B381" s="246"/>
      <c r="C381" s="246"/>
      <c r="D381" s="240"/>
      <c r="E381" s="240"/>
      <c r="F381" s="240"/>
      <c r="G381" s="240"/>
      <c r="H381" s="263"/>
      <c r="I381" s="240"/>
      <c r="J381" s="240"/>
      <c r="K381" s="246"/>
      <c r="L381" s="246"/>
      <c r="M381" s="246"/>
      <c r="N381" s="240"/>
    </row>
    <row r="382" spans="2:14" ht="18" customHeight="1" x14ac:dyDescent="0.15">
      <c r="B382" s="246"/>
      <c r="C382" s="246"/>
      <c r="D382" s="240"/>
      <c r="E382" s="240"/>
      <c r="F382" s="240"/>
      <c r="G382" s="240"/>
      <c r="H382" s="263"/>
      <c r="I382" s="240"/>
      <c r="J382" s="240"/>
      <c r="K382" s="246"/>
      <c r="L382" s="246"/>
      <c r="M382" s="246"/>
      <c r="N382" s="240"/>
    </row>
    <row r="383" spans="2:14" ht="18" customHeight="1" x14ac:dyDescent="0.15">
      <c r="B383" s="246"/>
      <c r="C383" s="246"/>
      <c r="D383" s="240"/>
      <c r="E383" s="240"/>
      <c r="F383" s="240"/>
      <c r="G383" s="240"/>
      <c r="H383" s="263"/>
      <c r="I383" s="240"/>
      <c r="J383" s="240"/>
      <c r="K383" s="246"/>
      <c r="L383" s="246"/>
      <c r="M383" s="246"/>
      <c r="N383" s="240"/>
    </row>
    <row r="384" spans="2:14" ht="18" customHeight="1" x14ac:dyDescent="0.15">
      <c r="B384" s="246"/>
      <c r="C384" s="246"/>
      <c r="D384" s="240"/>
      <c r="E384" s="240"/>
      <c r="F384" s="240"/>
      <c r="G384" s="240"/>
      <c r="H384" s="263"/>
      <c r="I384" s="240"/>
      <c r="J384" s="240"/>
      <c r="K384" s="246"/>
      <c r="L384" s="246"/>
      <c r="M384" s="246"/>
      <c r="N384" s="240"/>
    </row>
    <row r="385" spans="2:14" ht="18" customHeight="1" x14ac:dyDescent="0.15">
      <c r="B385" s="246"/>
      <c r="C385" s="246"/>
      <c r="D385" s="240"/>
      <c r="E385" s="240"/>
      <c r="F385" s="240"/>
      <c r="G385" s="240"/>
      <c r="H385" s="263"/>
      <c r="I385" s="240"/>
      <c r="J385" s="240"/>
      <c r="K385" s="246"/>
      <c r="L385" s="246"/>
      <c r="M385" s="246"/>
      <c r="N385" s="240"/>
    </row>
    <row r="386" spans="2:14" ht="18" customHeight="1" x14ac:dyDescent="0.15">
      <c r="B386" s="246"/>
      <c r="C386" s="246"/>
      <c r="D386" s="240"/>
      <c r="E386" s="240"/>
      <c r="F386" s="240"/>
      <c r="G386" s="240"/>
      <c r="H386" s="263"/>
      <c r="I386" s="240"/>
      <c r="J386" s="240"/>
      <c r="K386" s="246"/>
      <c r="L386" s="246"/>
      <c r="M386" s="246"/>
      <c r="N386" s="240"/>
    </row>
    <row r="387" spans="2:14" ht="18" customHeight="1" x14ac:dyDescent="0.15">
      <c r="B387" s="246"/>
      <c r="C387" s="246"/>
      <c r="D387" s="240"/>
      <c r="E387" s="240"/>
      <c r="F387" s="240"/>
      <c r="G387" s="240"/>
      <c r="H387" s="263"/>
      <c r="I387" s="240"/>
      <c r="J387" s="240"/>
      <c r="K387" s="246"/>
      <c r="L387" s="246"/>
      <c r="M387" s="246"/>
      <c r="N387" s="240"/>
    </row>
    <row r="388" spans="2:14" ht="18" customHeight="1" x14ac:dyDescent="0.15">
      <c r="B388" s="246"/>
      <c r="C388" s="246"/>
      <c r="D388" s="240"/>
      <c r="E388" s="240"/>
      <c r="F388" s="240"/>
      <c r="G388" s="240"/>
      <c r="H388" s="263"/>
      <c r="I388" s="240"/>
      <c r="J388" s="240"/>
      <c r="K388" s="246"/>
      <c r="L388" s="246"/>
      <c r="M388" s="246"/>
      <c r="N388" s="240"/>
    </row>
    <row r="389" spans="2:14" ht="18" customHeight="1" x14ac:dyDescent="0.15">
      <c r="B389" s="246"/>
      <c r="C389" s="246"/>
      <c r="D389" s="240"/>
      <c r="E389" s="240"/>
      <c r="F389" s="240"/>
      <c r="G389" s="240"/>
      <c r="H389" s="263"/>
      <c r="I389" s="240"/>
      <c r="J389" s="240"/>
      <c r="K389" s="246"/>
      <c r="L389" s="246"/>
      <c r="M389" s="246"/>
      <c r="N389" s="240"/>
    </row>
    <row r="390" spans="2:14" ht="18" customHeight="1" x14ac:dyDescent="0.15">
      <c r="B390" s="246"/>
      <c r="C390" s="246"/>
      <c r="D390" s="240"/>
      <c r="E390" s="240"/>
      <c r="F390" s="240"/>
      <c r="G390" s="240"/>
      <c r="H390" s="263"/>
      <c r="I390" s="240"/>
      <c r="J390" s="240"/>
      <c r="K390" s="246"/>
      <c r="L390" s="246"/>
      <c r="M390" s="246"/>
      <c r="N390" s="240"/>
    </row>
    <row r="391" spans="2:14" ht="18" customHeight="1" x14ac:dyDescent="0.15">
      <c r="B391" s="246"/>
      <c r="C391" s="246"/>
      <c r="D391" s="240"/>
      <c r="E391" s="240"/>
      <c r="F391" s="240"/>
      <c r="G391" s="240"/>
      <c r="H391" s="263"/>
      <c r="I391" s="240"/>
      <c r="J391" s="240"/>
      <c r="K391" s="246"/>
      <c r="L391" s="246"/>
      <c r="M391" s="246"/>
      <c r="N391" s="240"/>
    </row>
    <row r="392" spans="2:14" ht="18" customHeight="1" x14ac:dyDescent="0.15">
      <c r="B392" s="246"/>
      <c r="C392" s="246"/>
      <c r="D392" s="240"/>
      <c r="E392" s="240"/>
      <c r="F392" s="240"/>
      <c r="G392" s="240"/>
      <c r="H392" s="263"/>
      <c r="I392" s="240"/>
      <c r="J392" s="240"/>
      <c r="K392" s="246"/>
      <c r="L392" s="246"/>
      <c r="M392" s="246"/>
      <c r="N392" s="240"/>
    </row>
    <row r="393" spans="2:14" ht="18" customHeight="1" x14ac:dyDescent="0.15">
      <c r="B393" s="246"/>
      <c r="C393" s="246"/>
      <c r="D393" s="240"/>
      <c r="E393" s="240"/>
      <c r="F393" s="240"/>
      <c r="G393" s="240"/>
      <c r="H393" s="263"/>
      <c r="I393" s="240"/>
      <c r="J393" s="240"/>
      <c r="K393" s="246"/>
      <c r="L393" s="246"/>
      <c r="M393" s="246"/>
      <c r="N393" s="240"/>
    </row>
    <row r="394" spans="2:14" ht="18" customHeight="1" x14ac:dyDescent="0.15">
      <c r="B394" s="246"/>
      <c r="C394" s="246"/>
      <c r="D394" s="240"/>
      <c r="E394" s="240"/>
      <c r="F394" s="240"/>
      <c r="G394" s="240"/>
      <c r="H394" s="263"/>
      <c r="I394" s="240"/>
      <c r="J394" s="240"/>
      <c r="K394" s="246"/>
      <c r="L394" s="246"/>
      <c r="M394" s="246"/>
      <c r="N394" s="240"/>
    </row>
    <row r="395" spans="2:14" ht="18" customHeight="1" x14ac:dyDescent="0.15">
      <c r="B395" s="246"/>
      <c r="C395" s="246"/>
      <c r="D395" s="240"/>
      <c r="E395" s="240"/>
      <c r="F395" s="240"/>
      <c r="G395" s="240"/>
      <c r="H395" s="263"/>
      <c r="I395" s="240"/>
      <c r="J395" s="240"/>
      <c r="K395" s="246"/>
      <c r="L395" s="246"/>
      <c r="M395" s="246"/>
      <c r="N395" s="240"/>
    </row>
    <row r="396" spans="2:14" ht="18" customHeight="1" x14ac:dyDescent="0.15">
      <c r="B396" s="246"/>
      <c r="C396" s="246"/>
      <c r="D396" s="240"/>
      <c r="E396" s="240"/>
      <c r="F396" s="240"/>
      <c r="G396" s="240"/>
      <c r="H396" s="263"/>
      <c r="I396" s="240"/>
      <c r="J396" s="240"/>
      <c r="K396" s="246"/>
      <c r="L396" s="246"/>
      <c r="M396" s="246"/>
      <c r="N396" s="240"/>
    </row>
    <row r="397" spans="2:14" ht="18" customHeight="1" x14ac:dyDescent="0.15">
      <c r="B397" s="246"/>
      <c r="C397" s="246"/>
      <c r="D397" s="240"/>
      <c r="E397" s="240"/>
      <c r="F397" s="240"/>
      <c r="G397" s="240"/>
      <c r="H397" s="263"/>
      <c r="I397" s="240"/>
      <c r="J397" s="240"/>
      <c r="K397" s="246"/>
      <c r="L397" s="246"/>
      <c r="M397" s="246"/>
      <c r="N397" s="240"/>
    </row>
    <row r="398" spans="2:14" ht="18" customHeight="1" x14ac:dyDescent="0.15">
      <c r="B398" s="246"/>
      <c r="C398" s="246"/>
      <c r="D398" s="240"/>
      <c r="E398" s="240"/>
      <c r="F398" s="240"/>
      <c r="G398" s="240"/>
      <c r="H398" s="263"/>
      <c r="I398" s="240"/>
      <c r="J398" s="240"/>
      <c r="K398" s="246"/>
      <c r="L398" s="246"/>
      <c r="M398" s="246"/>
      <c r="N398" s="240"/>
    </row>
    <row r="399" spans="2:14" ht="18" customHeight="1" x14ac:dyDescent="0.15">
      <c r="B399" s="246"/>
      <c r="C399" s="246"/>
      <c r="D399" s="240"/>
      <c r="E399" s="240"/>
      <c r="F399" s="240"/>
      <c r="G399" s="240"/>
      <c r="H399" s="263"/>
      <c r="I399" s="240"/>
      <c r="J399" s="240"/>
      <c r="K399" s="246"/>
      <c r="L399" s="246"/>
      <c r="M399" s="246"/>
      <c r="N399" s="240"/>
    </row>
    <row r="400" spans="2:14" ht="18" customHeight="1" x14ac:dyDescent="0.15">
      <c r="B400" s="246"/>
      <c r="C400" s="246"/>
      <c r="D400" s="240"/>
      <c r="E400" s="240"/>
      <c r="F400" s="240"/>
      <c r="G400" s="240"/>
      <c r="H400" s="263"/>
      <c r="I400" s="240"/>
      <c r="J400" s="240"/>
      <c r="K400" s="246"/>
      <c r="L400" s="246"/>
      <c r="M400" s="246"/>
      <c r="N400" s="240"/>
    </row>
    <row r="401" spans="2:14" ht="18" customHeight="1" x14ac:dyDescent="0.15">
      <c r="B401" s="246"/>
      <c r="C401" s="246"/>
      <c r="D401" s="240"/>
      <c r="E401" s="240"/>
      <c r="F401" s="240"/>
      <c r="G401" s="240"/>
      <c r="H401" s="263"/>
      <c r="I401" s="240"/>
      <c r="J401" s="240"/>
      <c r="K401" s="246"/>
      <c r="L401" s="246"/>
      <c r="M401" s="246"/>
      <c r="N401" s="240"/>
    </row>
    <row r="402" spans="2:14" ht="18" customHeight="1" x14ac:dyDescent="0.15">
      <c r="B402" s="246"/>
      <c r="C402" s="246"/>
      <c r="D402" s="240"/>
      <c r="E402" s="240"/>
      <c r="F402" s="240"/>
      <c r="G402" s="240"/>
      <c r="H402" s="263"/>
      <c r="I402" s="240"/>
      <c r="J402" s="240"/>
      <c r="K402" s="246"/>
      <c r="L402" s="246"/>
      <c r="M402" s="246"/>
      <c r="N402" s="240"/>
    </row>
    <row r="403" spans="2:14" ht="18" customHeight="1" x14ac:dyDescent="0.15">
      <c r="B403" s="246"/>
      <c r="C403" s="246"/>
      <c r="D403" s="240"/>
      <c r="E403" s="240"/>
      <c r="F403" s="240"/>
      <c r="G403" s="240"/>
      <c r="H403" s="263"/>
      <c r="I403" s="240"/>
      <c r="J403" s="240"/>
      <c r="K403" s="246"/>
      <c r="L403" s="246"/>
      <c r="M403" s="246"/>
      <c r="N403" s="240"/>
    </row>
    <row r="404" spans="2:14" ht="18" customHeight="1" x14ac:dyDescent="0.15">
      <c r="B404" s="246"/>
      <c r="C404" s="246"/>
      <c r="D404" s="240"/>
      <c r="E404" s="240"/>
      <c r="F404" s="240"/>
      <c r="G404" s="240"/>
      <c r="H404" s="263"/>
      <c r="I404" s="240"/>
      <c r="J404" s="240"/>
      <c r="K404" s="246"/>
      <c r="L404" s="246"/>
      <c r="M404" s="246"/>
      <c r="N404" s="240"/>
    </row>
    <row r="405" spans="2:14" ht="18" customHeight="1" x14ac:dyDescent="0.15">
      <c r="B405" s="246"/>
      <c r="C405" s="246"/>
      <c r="D405" s="240"/>
      <c r="E405" s="240"/>
      <c r="F405" s="240"/>
      <c r="G405" s="240"/>
      <c r="H405" s="263"/>
      <c r="I405" s="240"/>
      <c r="J405" s="240"/>
      <c r="K405" s="246"/>
      <c r="L405" s="246"/>
      <c r="M405" s="246"/>
      <c r="N405" s="240"/>
    </row>
    <row r="406" spans="2:14" ht="18" customHeight="1" x14ac:dyDescent="0.15">
      <c r="B406" s="246"/>
      <c r="C406" s="246"/>
      <c r="D406" s="240"/>
      <c r="E406" s="240"/>
      <c r="F406" s="240"/>
      <c r="G406" s="240"/>
      <c r="H406" s="263"/>
      <c r="I406" s="240"/>
      <c r="J406" s="240"/>
      <c r="K406" s="246"/>
      <c r="L406" s="246"/>
      <c r="M406" s="246"/>
      <c r="N406" s="240"/>
    </row>
    <row r="407" spans="2:14" ht="18" customHeight="1" x14ac:dyDescent="0.15">
      <c r="B407" s="246"/>
      <c r="C407" s="246"/>
      <c r="D407" s="240"/>
      <c r="E407" s="240"/>
      <c r="F407" s="240"/>
      <c r="G407" s="240"/>
      <c r="H407" s="263"/>
      <c r="I407" s="240"/>
      <c r="J407" s="240"/>
      <c r="K407" s="246"/>
      <c r="L407" s="246"/>
      <c r="M407" s="246"/>
      <c r="N407" s="240"/>
    </row>
    <row r="408" spans="2:14" ht="18" customHeight="1" x14ac:dyDescent="0.15">
      <c r="B408" s="246"/>
      <c r="C408" s="246"/>
      <c r="D408" s="240"/>
      <c r="E408" s="240"/>
      <c r="F408" s="240"/>
      <c r="G408" s="240"/>
      <c r="H408" s="263"/>
      <c r="I408" s="240"/>
      <c r="J408" s="240"/>
      <c r="K408" s="246"/>
      <c r="L408" s="246"/>
      <c r="M408" s="246"/>
      <c r="N408" s="240"/>
    </row>
    <row r="409" spans="2:14" ht="18" customHeight="1" x14ac:dyDescent="0.15">
      <c r="B409" s="246"/>
      <c r="C409" s="246"/>
      <c r="D409" s="240"/>
      <c r="E409" s="240"/>
      <c r="F409" s="240"/>
      <c r="G409" s="240"/>
      <c r="H409" s="263"/>
      <c r="I409" s="240"/>
      <c r="J409" s="240"/>
      <c r="K409" s="246"/>
      <c r="L409" s="246"/>
      <c r="M409" s="246"/>
      <c r="N409" s="240"/>
    </row>
    <row r="410" spans="2:14" ht="18" customHeight="1" x14ac:dyDescent="0.15">
      <c r="B410" s="246"/>
      <c r="C410" s="246"/>
      <c r="D410" s="240"/>
      <c r="E410" s="240"/>
      <c r="F410" s="240"/>
      <c r="G410" s="240"/>
      <c r="H410" s="263"/>
      <c r="I410" s="240"/>
      <c r="J410" s="240"/>
      <c r="K410" s="246"/>
      <c r="L410" s="246"/>
      <c r="M410" s="246"/>
      <c r="N410" s="240"/>
    </row>
    <row r="411" spans="2:14" ht="18" customHeight="1" x14ac:dyDescent="0.15">
      <c r="B411" s="246"/>
      <c r="C411" s="246"/>
      <c r="D411" s="240"/>
      <c r="E411" s="240"/>
      <c r="F411" s="240"/>
      <c r="G411" s="240"/>
      <c r="H411" s="263"/>
      <c r="I411" s="240"/>
      <c r="J411" s="240"/>
      <c r="K411" s="246"/>
      <c r="L411" s="246"/>
      <c r="M411" s="246"/>
      <c r="N411" s="240"/>
    </row>
    <row r="412" spans="2:14" ht="18" customHeight="1" x14ac:dyDescent="0.15">
      <c r="B412" s="246"/>
      <c r="C412" s="246"/>
      <c r="D412" s="240"/>
      <c r="E412" s="240"/>
      <c r="F412" s="240"/>
      <c r="G412" s="240"/>
      <c r="H412" s="263"/>
      <c r="I412" s="240"/>
      <c r="J412" s="240"/>
      <c r="K412" s="246"/>
      <c r="L412" s="246"/>
      <c r="M412" s="246"/>
      <c r="N412" s="240"/>
    </row>
    <row r="413" spans="2:14" ht="18" customHeight="1" x14ac:dyDescent="0.15">
      <c r="B413" s="246"/>
      <c r="C413" s="246"/>
      <c r="D413" s="240"/>
      <c r="E413" s="240"/>
      <c r="F413" s="240"/>
      <c r="G413" s="240"/>
      <c r="H413" s="263"/>
      <c r="I413" s="240"/>
      <c r="J413" s="240"/>
      <c r="K413" s="246"/>
      <c r="L413" s="246"/>
      <c r="M413" s="246"/>
      <c r="N413" s="240"/>
    </row>
    <row r="414" spans="2:14" ht="18" customHeight="1" x14ac:dyDescent="0.15">
      <c r="B414" s="246"/>
      <c r="C414" s="246"/>
      <c r="D414" s="240"/>
      <c r="E414" s="240"/>
      <c r="F414" s="240"/>
      <c r="G414" s="240"/>
      <c r="H414" s="263"/>
      <c r="I414" s="240"/>
      <c r="J414" s="240"/>
      <c r="K414" s="246"/>
      <c r="L414" s="246"/>
      <c r="M414" s="246"/>
      <c r="N414" s="240"/>
    </row>
    <row r="415" spans="2:14" ht="18" customHeight="1" x14ac:dyDescent="0.15">
      <c r="B415" s="246"/>
      <c r="C415" s="246"/>
      <c r="D415" s="240"/>
      <c r="E415" s="240"/>
      <c r="F415" s="240"/>
      <c r="G415" s="240"/>
      <c r="H415" s="263"/>
      <c r="I415" s="240"/>
      <c r="J415" s="240"/>
      <c r="K415" s="246"/>
      <c r="L415" s="246"/>
      <c r="M415" s="246"/>
      <c r="N415" s="240"/>
    </row>
    <row r="416" spans="2:14" ht="18" customHeight="1" x14ac:dyDescent="0.15">
      <c r="B416" s="246"/>
      <c r="C416" s="246"/>
      <c r="D416" s="240"/>
      <c r="E416" s="240"/>
      <c r="F416" s="240"/>
      <c r="G416" s="240"/>
      <c r="H416" s="263"/>
      <c r="I416" s="240"/>
      <c r="J416" s="240"/>
      <c r="K416" s="246"/>
      <c r="L416" s="246"/>
      <c r="M416" s="246"/>
      <c r="N416" s="240"/>
    </row>
    <row r="417" spans="2:14" ht="18" customHeight="1" x14ac:dyDescent="0.15">
      <c r="B417" s="246"/>
      <c r="C417" s="246"/>
      <c r="D417" s="240"/>
      <c r="E417" s="240"/>
      <c r="F417" s="240"/>
      <c r="G417" s="240"/>
      <c r="H417" s="263"/>
      <c r="I417" s="240"/>
      <c r="J417" s="240"/>
      <c r="K417" s="246"/>
      <c r="L417" s="246"/>
      <c r="M417" s="246"/>
      <c r="N417" s="240"/>
    </row>
    <row r="418" spans="2:14" ht="18" customHeight="1" x14ac:dyDescent="0.15">
      <c r="B418" s="246"/>
      <c r="C418" s="246"/>
      <c r="D418" s="240"/>
      <c r="E418" s="240"/>
      <c r="F418" s="240"/>
      <c r="G418" s="240"/>
      <c r="H418" s="263"/>
      <c r="I418" s="240"/>
      <c r="J418" s="240"/>
      <c r="K418" s="246"/>
      <c r="L418" s="246"/>
      <c r="M418" s="246"/>
      <c r="N418" s="240"/>
    </row>
    <row r="419" spans="2:14" ht="18" customHeight="1" x14ac:dyDescent="0.15">
      <c r="B419" s="246"/>
      <c r="C419" s="246"/>
      <c r="D419" s="240"/>
      <c r="E419" s="240"/>
      <c r="F419" s="240"/>
      <c r="G419" s="240"/>
      <c r="H419" s="263"/>
      <c r="I419" s="240"/>
      <c r="J419" s="240"/>
      <c r="K419" s="246"/>
      <c r="L419" s="246"/>
      <c r="M419" s="246"/>
      <c r="N419" s="240"/>
    </row>
    <row r="420" spans="2:14" ht="18" customHeight="1" x14ac:dyDescent="0.15">
      <c r="B420" s="246"/>
      <c r="C420" s="246"/>
      <c r="D420" s="240"/>
      <c r="E420" s="240"/>
      <c r="F420" s="240"/>
      <c r="G420" s="240"/>
      <c r="H420" s="263"/>
      <c r="I420" s="240"/>
      <c r="J420" s="240"/>
      <c r="K420" s="246"/>
      <c r="L420" s="246"/>
      <c r="M420" s="246"/>
      <c r="N420" s="240"/>
    </row>
    <row r="421" spans="2:14" ht="18" customHeight="1" x14ac:dyDescent="0.15">
      <c r="B421" s="246"/>
      <c r="C421" s="246"/>
      <c r="D421" s="240"/>
      <c r="E421" s="240"/>
      <c r="F421" s="240"/>
      <c r="G421" s="240"/>
      <c r="H421" s="263"/>
      <c r="I421" s="240"/>
      <c r="J421" s="240"/>
      <c r="K421" s="246"/>
      <c r="L421" s="246"/>
      <c r="M421" s="246"/>
      <c r="N421" s="240"/>
    </row>
    <row r="422" spans="2:14" ht="18" customHeight="1" x14ac:dyDescent="0.15">
      <c r="B422" s="246"/>
      <c r="C422" s="246"/>
      <c r="D422" s="240"/>
      <c r="E422" s="240"/>
      <c r="F422" s="240"/>
      <c r="G422" s="240"/>
      <c r="H422" s="263"/>
      <c r="I422" s="240"/>
      <c r="J422" s="240"/>
      <c r="K422" s="246"/>
      <c r="L422" s="246"/>
      <c r="M422" s="246"/>
      <c r="N422" s="240"/>
    </row>
    <row r="423" spans="2:14" ht="18" customHeight="1" x14ac:dyDescent="0.15">
      <c r="B423" s="246"/>
      <c r="C423" s="246"/>
      <c r="D423" s="240"/>
      <c r="E423" s="240"/>
      <c r="F423" s="240"/>
      <c r="G423" s="240"/>
      <c r="H423" s="263"/>
      <c r="I423" s="240"/>
      <c r="J423" s="240"/>
      <c r="K423" s="246"/>
      <c r="L423" s="246"/>
      <c r="M423" s="246"/>
      <c r="N423" s="240"/>
    </row>
    <row r="424" spans="2:14" ht="18" customHeight="1" x14ac:dyDescent="0.15">
      <c r="B424" s="246"/>
      <c r="C424" s="246"/>
      <c r="D424" s="240"/>
      <c r="E424" s="240"/>
      <c r="F424" s="240"/>
      <c r="G424" s="240"/>
      <c r="H424" s="263"/>
      <c r="I424" s="240"/>
      <c r="J424" s="240"/>
      <c r="K424" s="246"/>
      <c r="L424" s="246"/>
      <c r="M424" s="246"/>
      <c r="N424" s="240"/>
    </row>
    <row r="425" spans="2:14" ht="18" customHeight="1" x14ac:dyDescent="0.15">
      <c r="B425" s="246"/>
      <c r="C425" s="246"/>
      <c r="D425" s="240"/>
      <c r="E425" s="240"/>
      <c r="F425" s="240"/>
      <c r="G425" s="240"/>
      <c r="H425" s="263"/>
      <c r="I425" s="240"/>
      <c r="J425" s="240"/>
      <c r="K425" s="246"/>
      <c r="L425" s="246"/>
      <c r="M425" s="246"/>
      <c r="N425" s="240"/>
    </row>
    <row r="426" spans="2:14" ht="18" customHeight="1" x14ac:dyDescent="0.15">
      <c r="B426" s="246"/>
      <c r="C426" s="246"/>
      <c r="D426" s="240"/>
      <c r="E426" s="240"/>
      <c r="F426" s="240"/>
      <c r="G426" s="240"/>
      <c r="H426" s="263"/>
      <c r="I426" s="240"/>
      <c r="J426" s="240"/>
      <c r="K426" s="246"/>
      <c r="L426" s="246"/>
      <c r="M426" s="246"/>
      <c r="N426" s="240"/>
    </row>
    <row r="427" spans="2:14" ht="18" customHeight="1" x14ac:dyDescent="0.15">
      <c r="B427" s="246"/>
      <c r="C427" s="246"/>
      <c r="D427" s="240"/>
      <c r="E427" s="240"/>
      <c r="F427" s="240"/>
      <c r="G427" s="240"/>
      <c r="H427" s="263"/>
      <c r="I427" s="240"/>
      <c r="J427" s="240"/>
      <c r="K427" s="246"/>
      <c r="L427" s="246"/>
      <c r="M427" s="246"/>
      <c r="N427" s="240"/>
    </row>
    <row r="428" spans="2:14" ht="18" customHeight="1" x14ac:dyDescent="0.15">
      <c r="B428" s="246"/>
      <c r="C428" s="246"/>
      <c r="D428" s="240"/>
      <c r="E428" s="240"/>
      <c r="F428" s="240"/>
      <c r="G428" s="240"/>
      <c r="H428" s="263"/>
      <c r="I428" s="240"/>
      <c r="J428" s="240"/>
      <c r="K428" s="246"/>
      <c r="L428" s="246"/>
      <c r="M428" s="246"/>
      <c r="N428" s="240"/>
    </row>
    <row r="429" spans="2:14" ht="18" customHeight="1" x14ac:dyDescent="0.15">
      <c r="B429" s="246"/>
      <c r="C429" s="246"/>
      <c r="D429" s="240"/>
      <c r="E429" s="240"/>
      <c r="F429" s="240"/>
      <c r="G429" s="240"/>
      <c r="H429" s="263"/>
      <c r="I429" s="240"/>
      <c r="J429" s="240"/>
      <c r="K429" s="246"/>
      <c r="L429" s="246"/>
      <c r="M429" s="246"/>
      <c r="N429" s="240"/>
    </row>
    <row r="430" spans="2:14" ht="18" customHeight="1" x14ac:dyDescent="0.15">
      <c r="B430" s="246"/>
      <c r="C430" s="246"/>
      <c r="D430" s="240"/>
      <c r="E430" s="240"/>
      <c r="F430" s="240"/>
      <c r="G430" s="240"/>
      <c r="H430" s="263"/>
      <c r="I430" s="240"/>
      <c r="J430" s="240"/>
      <c r="K430" s="246"/>
      <c r="L430" s="246"/>
      <c r="M430" s="246"/>
      <c r="N430" s="240"/>
    </row>
    <row r="431" spans="2:14" ht="18" customHeight="1" x14ac:dyDescent="0.15">
      <c r="B431" s="246"/>
      <c r="C431" s="246"/>
      <c r="D431" s="240"/>
      <c r="E431" s="240"/>
      <c r="F431" s="240"/>
      <c r="G431" s="240"/>
      <c r="H431" s="263"/>
      <c r="I431" s="240"/>
      <c r="J431" s="240"/>
      <c r="K431" s="246"/>
      <c r="L431" s="246"/>
      <c r="M431" s="246"/>
      <c r="N431" s="240"/>
    </row>
    <row r="432" spans="2:14" ht="18" customHeight="1" x14ac:dyDescent="0.15">
      <c r="B432" s="246"/>
      <c r="C432" s="246"/>
      <c r="D432" s="240"/>
      <c r="E432" s="240"/>
      <c r="F432" s="240"/>
      <c r="G432" s="240"/>
      <c r="H432" s="263"/>
      <c r="I432" s="240"/>
      <c r="J432" s="240"/>
      <c r="K432" s="246"/>
      <c r="L432" s="246"/>
      <c r="M432" s="246"/>
      <c r="N432" s="240"/>
    </row>
    <row r="433" spans="2:14" ht="18" customHeight="1" x14ac:dyDescent="0.15">
      <c r="B433" s="246"/>
      <c r="C433" s="246"/>
      <c r="D433" s="240"/>
      <c r="E433" s="240"/>
      <c r="F433" s="240"/>
      <c r="G433" s="240"/>
      <c r="H433" s="263"/>
      <c r="I433" s="240"/>
      <c r="J433" s="240"/>
      <c r="K433" s="246"/>
      <c r="L433" s="246"/>
      <c r="M433" s="246"/>
      <c r="N433" s="240"/>
    </row>
    <row r="434" spans="2:14" ht="18" customHeight="1" x14ac:dyDescent="0.15">
      <c r="B434" s="246"/>
      <c r="C434" s="246"/>
      <c r="D434" s="240"/>
      <c r="E434" s="240"/>
      <c r="F434" s="240"/>
      <c r="G434" s="240"/>
      <c r="H434" s="263"/>
      <c r="I434" s="240"/>
      <c r="J434" s="240"/>
      <c r="K434" s="246"/>
      <c r="L434" s="246"/>
      <c r="M434" s="246"/>
      <c r="N434" s="240"/>
    </row>
    <row r="435" spans="2:14" ht="18" customHeight="1" x14ac:dyDescent="0.15">
      <c r="B435" s="246"/>
      <c r="C435" s="246"/>
      <c r="D435" s="240"/>
      <c r="E435" s="240"/>
      <c r="F435" s="240"/>
      <c r="G435" s="240"/>
      <c r="H435" s="263"/>
      <c r="I435" s="240"/>
      <c r="J435" s="240"/>
      <c r="K435" s="246"/>
      <c r="L435" s="246"/>
      <c r="M435" s="246"/>
      <c r="N435" s="240"/>
    </row>
    <row r="436" spans="2:14" ht="18" customHeight="1" x14ac:dyDescent="0.15">
      <c r="B436" s="246"/>
      <c r="C436" s="246"/>
      <c r="D436" s="240"/>
      <c r="E436" s="240"/>
      <c r="F436" s="240"/>
      <c r="G436" s="240"/>
      <c r="H436" s="263"/>
      <c r="I436" s="240"/>
      <c r="J436" s="240"/>
      <c r="K436" s="246"/>
      <c r="L436" s="246"/>
      <c r="M436" s="246"/>
      <c r="N436" s="240"/>
    </row>
    <row r="437" spans="2:14" ht="18" customHeight="1" x14ac:dyDescent="0.15">
      <c r="B437" s="246"/>
      <c r="C437" s="246"/>
      <c r="D437" s="240"/>
      <c r="E437" s="240"/>
      <c r="F437" s="240"/>
      <c r="G437" s="240"/>
      <c r="H437" s="263"/>
      <c r="I437" s="240"/>
      <c r="J437" s="240"/>
      <c r="K437" s="246"/>
      <c r="L437" s="246"/>
      <c r="M437" s="246"/>
      <c r="N437" s="240"/>
    </row>
    <row r="438" spans="2:14" ht="18" customHeight="1" x14ac:dyDescent="0.15">
      <c r="B438" s="246"/>
      <c r="C438" s="246"/>
      <c r="D438" s="240"/>
      <c r="E438" s="240"/>
      <c r="F438" s="240"/>
      <c r="G438" s="240"/>
      <c r="H438" s="263"/>
      <c r="I438" s="240"/>
      <c r="J438" s="240"/>
      <c r="K438" s="246"/>
      <c r="L438" s="246"/>
      <c r="M438" s="246"/>
      <c r="N438" s="240"/>
    </row>
    <row r="439" spans="2:14" ht="18" customHeight="1" x14ac:dyDescent="0.15">
      <c r="B439" s="246"/>
      <c r="C439" s="246"/>
      <c r="D439" s="240"/>
      <c r="E439" s="240"/>
      <c r="F439" s="240"/>
      <c r="G439" s="240"/>
      <c r="H439" s="263"/>
      <c r="I439" s="240"/>
      <c r="J439" s="240"/>
      <c r="K439" s="246"/>
      <c r="L439" s="246"/>
      <c r="M439" s="246"/>
      <c r="N439" s="240"/>
    </row>
    <row r="440" spans="2:14" ht="18" customHeight="1" x14ac:dyDescent="0.15">
      <c r="B440" s="246"/>
      <c r="C440" s="246"/>
      <c r="D440" s="240"/>
      <c r="E440" s="240"/>
      <c r="F440" s="240"/>
      <c r="G440" s="240"/>
      <c r="H440" s="263"/>
      <c r="I440" s="240"/>
      <c r="J440" s="240"/>
      <c r="K440" s="246"/>
      <c r="L440" s="246"/>
      <c r="M440" s="246"/>
      <c r="N440" s="240"/>
    </row>
    <row r="441" spans="2:14" ht="18" customHeight="1" x14ac:dyDescent="0.15">
      <c r="B441" s="246"/>
      <c r="C441" s="246"/>
      <c r="D441" s="240"/>
      <c r="E441" s="240"/>
      <c r="F441" s="240"/>
      <c r="G441" s="240"/>
      <c r="H441" s="263"/>
      <c r="I441" s="240"/>
      <c r="J441" s="240"/>
      <c r="K441" s="246"/>
      <c r="L441" s="246"/>
      <c r="M441" s="246"/>
      <c r="N441" s="240"/>
    </row>
    <row r="442" spans="2:14" ht="18" customHeight="1" x14ac:dyDescent="0.15">
      <c r="B442" s="246"/>
      <c r="C442" s="246"/>
      <c r="D442" s="240"/>
      <c r="E442" s="240"/>
      <c r="F442" s="240"/>
      <c r="G442" s="240"/>
      <c r="H442" s="263"/>
      <c r="I442" s="240"/>
      <c r="J442" s="240"/>
      <c r="K442" s="246"/>
      <c r="L442" s="246"/>
      <c r="M442" s="246"/>
      <c r="N442" s="240"/>
    </row>
    <row r="443" spans="2:14" ht="18" customHeight="1" x14ac:dyDescent="0.15">
      <c r="B443" s="246"/>
      <c r="C443" s="246"/>
      <c r="D443" s="240"/>
      <c r="E443" s="240"/>
      <c r="F443" s="240"/>
      <c r="G443" s="240"/>
      <c r="H443" s="263"/>
      <c r="I443" s="240"/>
      <c r="J443" s="240"/>
      <c r="K443" s="246"/>
      <c r="L443" s="246"/>
      <c r="M443" s="246"/>
      <c r="N443" s="240"/>
    </row>
    <row r="444" spans="2:14" ht="18" customHeight="1" x14ac:dyDescent="0.15">
      <c r="B444" s="246"/>
      <c r="C444" s="246"/>
      <c r="D444" s="240"/>
      <c r="E444" s="240"/>
      <c r="F444" s="240"/>
      <c r="G444" s="240"/>
      <c r="H444" s="263"/>
      <c r="I444" s="240"/>
      <c r="J444" s="240"/>
      <c r="K444" s="246"/>
      <c r="L444" s="246"/>
      <c r="M444" s="246"/>
      <c r="N444" s="240"/>
    </row>
    <row r="445" spans="2:14" ht="18" customHeight="1" x14ac:dyDescent="0.15">
      <c r="B445" s="246"/>
      <c r="C445" s="246"/>
      <c r="D445" s="240"/>
      <c r="E445" s="240"/>
      <c r="F445" s="240"/>
      <c r="G445" s="240"/>
      <c r="H445" s="263"/>
      <c r="I445" s="240"/>
      <c r="J445" s="240"/>
      <c r="K445" s="246"/>
      <c r="L445" s="246"/>
      <c r="M445" s="246"/>
      <c r="N445" s="240"/>
    </row>
    <row r="446" spans="2:14" ht="18" customHeight="1" x14ac:dyDescent="0.15">
      <c r="B446" s="246"/>
      <c r="C446" s="246"/>
      <c r="D446" s="240"/>
      <c r="E446" s="240"/>
      <c r="F446" s="240"/>
      <c r="G446" s="240"/>
      <c r="H446" s="263"/>
      <c r="I446" s="240"/>
      <c r="J446" s="240"/>
      <c r="K446" s="246"/>
      <c r="L446" s="246"/>
      <c r="M446" s="246"/>
      <c r="N446" s="240"/>
    </row>
    <row r="447" spans="2:14" ht="18" customHeight="1" x14ac:dyDescent="0.15">
      <c r="B447" s="246"/>
      <c r="C447" s="246"/>
      <c r="D447" s="240"/>
      <c r="E447" s="240"/>
      <c r="F447" s="240"/>
      <c r="G447" s="240"/>
      <c r="H447" s="263"/>
      <c r="I447" s="240"/>
      <c r="J447" s="240"/>
      <c r="K447" s="246"/>
      <c r="L447" s="246"/>
      <c r="M447" s="246"/>
      <c r="N447" s="240"/>
    </row>
    <row r="448" spans="2:14" ht="18" customHeight="1" x14ac:dyDescent="0.15">
      <c r="B448" s="246"/>
      <c r="C448" s="246"/>
      <c r="D448" s="240"/>
      <c r="E448" s="240"/>
      <c r="F448" s="240"/>
      <c r="G448" s="240"/>
      <c r="H448" s="263"/>
      <c r="I448" s="240"/>
      <c r="J448" s="240"/>
      <c r="K448" s="246"/>
      <c r="L448" s="246"/>
      <c r="M448" s="246"/>
      <c r="N448" s="240"/>
    </row>
    <row r="449" spans="2:14" ht="18" customHeight="1" x14ac:dyDescent="0.15">
      <c r="B449" s="246"/>
      <c r="C449" s="246"/>
      <c r="D449" s="240"/>
      <c r="E449" s="240"/>
      <c r="F449" s="240"/>
      <c r="G449" s="240"/>
      <c r="H449" s="263"/>
      <c r="I449" s="240"/>
      <c r="J449" s="240"/>
      <c r="K449" s="246"/>
      <c r="L449" s="246"/>
      <c r="M449" s="246"/>
      <c r="N449" s="240"/>
    </row>
    <row r="450" spans="2:14" ht="18" customHeight="1" x14ac:dyDescent="0.15">
      <c r="B450" s="246"/>
      <c r="C450" s="246"/>
      <c r="D450" s="240"/>
      <c r="E450" s="240"/>
      <c r="F450" s="240"/>
      <c r="G450" s="240"/>
      <c r="H450" s="263"/>
      <c r="I450" s="240"/>
      <c r="J450" s="240"/>
      <c r="K450" s="246"/>
      <c r="L450" s="246"/>
      <c r="M450" s="246"/>
      <c r="N450" s="240"/>
    </row>
    <row r="451" spans="2:14" ht="18" customHeight="1" x14ac:dyDescent="0.15">
      <c r="B451" s="246"/>
      <c r="C451" s="246"/>
      <c r="D451" s="240"/>
      <c r="E451" s="240"/>
      <c r="F451" s="240"/>
      <c r="G451" s="240"/>
      <c r="H451" s="263"/>
      <c r="I451" s="240"/>
      <c r="J451" s="240"/>
      <c r="K451" s="246"/>
      <c r="L451" s="246"/>
      <c r="M451" s="246"/>
      <c r="N451" s="240"/>
    </row>
    <row r="452" spans="2:14" ht="18" customHeight="1" x14ac:dyDescent="0.15">
      <c r="B452" s="246"/>
      <c r="C452" s="246"/>
      <c r="D452" s="240"/>
      <c r="E452" s="240"/>
      <c r="F452" s="240"/>
      <c r="G452" s="240"/>
      <c r="H452" s="263"/>
      <c r="I452" s="240"/>
      <c r="J452" s="240"/>
      <c r="K452" s="246"/>
      <c r="L452" s="246"/>
      <c r="M452" s="246"/>
      <c r="N452" s="240"/>
    </row>
    <row r="453" spans="2:14" ht="18" customHeight="1" x14ac:dyDescent="0.15">
      <c r="B453" s="246"/>
      <c r="C453" s="246"/>
      <c r="D453" s="240"/>
      <c r="E453" s="240"/>
      <c r="F453" s="240"/>
      <c r="G453" s="240"/>
      <c r="H453" s="263"/>
      <c r="I453" s="240"/>
      <c r="J453" s="240"/>
      <c r="K453" s="246"/>
      <c r="L453" s="246"/>
      <c r="M453" s="246"/>
      <c r="N453" s="240"/>
    </row>
    <row r="454" spans="2:14" ht="18" customHeight="1" x14ac:dyDescent="0.15">
      <c r="B454" s="246"/>
      <c r="C454" s="246"/>
      <c r="D454" s="240"/>
      <c r="E454" s="240"/>
      <c r="F454" s="240"/>
      <c r="G454" s="240"/>
      <c r="H454" s="263"/>
      <c r="I454" s="240"/>
      <c r="J454" s="240"/>
      <c r="K454" s="246"/>
      <c r="L454" s="246"/>
      <c r="M454" s="246"/>
      <c r="N454" s="240"/>
    </row>
    <row r="455" spans="2:14" ht="18" customHeight="1" x14ac:dyDescent="0.15">
      <c r="B455" s="246"/>
      <c r="C455" s="246"/>
      <c r="D455" s="240"/>
      <c r="E455" s="240"/>
      <c r="F455" s="240"/>
      <c r="G455" s="240"/>
      <c r="H455" s="263"/>
      <c r="I455" s="240"/>
      <c r="J455" s="240"/>
      <c r="K455" s="246"/>
      <c r="L455" s="246"/>
      <c r="M455" s="246"/>
      <c r="N455" s="240"/>
    </row>
    <row r="456" spans="2:14" ht="18" customHeight="1" x14ac:dyDescent="0.15">
      <c r="B456" s="246"/>
      <c r="C456" s="246"/>
      <c r="D456" s="240"/>
      <c r="E456" s="240"/>
      <c r="F456" s="240"/>
      <c r="G456" s="240"/>
      <c r="H456" s="263"/>
      <c r="I456" s="240"/>
      <c r="J456" s="240"/>
      <c r="K456" s="246"/>
      <c r="L456" s="246"/>
      <c r="M456" s="246"/>
      <c r="N456" s="240"/>
    </row>
    <row r="457" spans="2:14" ht="18" customHeight="1" x14ac:dyDescent="0.15">
      <c r="B457" s="246"/>
      <c r="C457" s="246"/>
      <c r="D457" s="240"/>
      <c r="E457" s="240"/>
      <c r="F457" s="240"/>
      <c r="G457" s="240"/>
      <c r="H457" s="263"/>
      <c r="I457" s="240"/>
      <c r="J457" s="240"/>
      <c r="K457" s="246"/>
      <c r="L457" s="246"/>
      <c r="M457" s="246"/>
      <c r="N457" s="240"/>
    </row>
    <row r="458" spans="2:14" ht="18" customHeight="1" x14ac:dyDescent="0.15">
      <c r="B458" s="246"/>
      <c r="C458" s="246"/>
      <c r="D458" s="240"/>
      <c r="E458" s="240"/>
      <c r="F458" s="240"/>
      <c r="G458" s="240"/>
      <c r="H458" s="263"/>
      <c r="I458" s="240"/>
      <c r="J458" s="240"/>
      <c r="K458" s="246"/>
      <c r="L458" s="246"/>
      <c r="M458" s="246"/>
      <c r="N458" s="240"/>
    </row>
    <row r="459" spans="2:14" ht="18" customHeight="1" x14ac:dyDescent="0.15">
      <c r="B459" s="246"/>
      <c r="C459" s="246"/>
      <c r="D459" s="240"/>
      <c r="E459" s="240"/>
      <c r="F459" s="240"/>
      <c r="G459" s="240"/>
      <c r="H459" s="263"/>
      <c r="I459" s="240"/>
      <c r="J459" s="240"/>
      <c r="K459" s="246"/>
      <c r="L459" s="246"/>
      <c r="M459" s="246"/>
      <c r="N459" s="240"/>
    </row>
    <row r="460" spans="2:14" ht="18" customHeight="1" x14ac:dyDescent="0.15">
      <c r="B460" s="246"/>
      <c r="C460" s="246"/>
      <c r="D460" s="240"/>
      <c r="E460" s="240"/>
      <c r="F460" s="240"/>
      <c r="G460" s="240"/>
      <c r="H460" s="263"/>
      <c r="I460" s="240"/>
      <c r="J460" s="240"/>
      <c r="K460" s="246"/>
      <c r="L460" s="246"/>
      <c r="M460" s="246"/>
      <c r="N460" s="240"/>
    </row>
    <row r="461" spans="2:14" ht="18" customHeight="1" x14ac:dyDescent="0.15">
      <c r="B461" s="246"/>
      <c r="C461" s="246"/>
      <c r="D461" s="240"/>
      <c r="E461" s="240"/>
      <c r="F461" s="240"/>
      <c r="G461" s="240"/>
      <c r="H461" s="263"/>
      <c r="I461" s="240"/>
      <c r="J461" s="240"/>
      <c r="K461" s="246"/>
      <c r="L461" s="246"/>
      <c r="M461" s="246"/>
      <c r="N461" s="240"/>
    </row>
    <row r="462" spans="2:14" ht="18" customHeight="1" x14ac:dyDescent="0.15">
      <c r="B462" s="246"/>
      <c r="C462" s="246"/>
      <c r="D462" s="240"/>
      <c r="E462" s="240"/>
      <c r="F462" s="240"/>
      <c r="G462" s="240"/>
      <c r="H462" s="263"/>
      <c r="I462" s="240"/>
      <c r="J462" s="240"/>
      <c r="K462" s="246"/>
      <c r="L462" s="246"/>
      <c r="M462" s="246"/>
      <c r="N462" s="240"/>
    </row>
    <row r="463" spans="2:14" ht="18" customHeight="1" x14ac:dyDescent="0.15">
      <c r="B463" s="246"/>
      <c r="C463" s="246"/>
      <c r="D463" s="240"/>
      <c r="E463" s="240"/>
      <c r="F463" s="240"/>
      <c r="G463" s="240"/>
      <c r="H463" s="263"/>
      <c r="I463" s="240"/>
      <c r="J463" s="240"/>
      <c r="K463" s="246"/>
      <c r="L463" s="246"/>
      <c r="M463" s="246"/>
      <c r="N463" s="240"/>
    </row>
    <row r="464" spans="2:14" ht="18" customHeight="1" x14ac:dyDescent="0.15">
      <c r="B464" s="246"/>
      <c r="C464" s="246"/>
      <c r="D464" s="240"/>
      <c r="E464" s="240"/>
      <c r="F464" s="240"/>
      <c r="G464" s="240"/>
      <c r="H464" s="263"/>
      <c r="I464" s="240"/>
      <c r="J464" s="240"/>
      <c r="K464" s="246"/>
      <c r="L464" s="246"/>
      <c r="M464" s="246"/>
      <c r="N464" s="240"/>
    </row>
    <row r="465" spans="2:14" ht="18" customHeight="1" x14ac:dyDescent="0.15">
      <c r="B465" s="246"/>
      <c r="C465" s="246"/>
      <c r="D465" s="240"/>
      <c r="E465" s="240"/>
      <c r="F465" s="240"/>
      <c r="G465" s="240"/>
      <c r="H465" s="263"/>
      <c r="I465" s="240"/>
      <c r="J465" s="240"/>
      <c r="K465" s="246"/>
      <c r="L465" s="246"/>
      <c r="M465" s="246"/>
      <c r="N465" s="240"/>
    </row>
    <row r="466" spans="2:14" ht="18" customHeight="1" x14ac:dyDescent="0.15">
      <c r="B466" s="246"/>
      <c r="C466" s="246"/>
      <c r="D466" s="240"/>
      <c r="E466" s="240"/>
      <c r="F466" s="240"/>
      <c r="G466" s="240"/>
      <c r="H466" s="263"/>
      <c r="I466" s="240"/>
      <c r="J466" s="240"/>
      <c r="K466" s="246"/>
      <c r="L466" s="246"/>
      <c r="M466" s="246"/>
      <c r="N466" s="240"/>
    </row>
    <row r="467" spans="2:14" ht="18" customHeight="1" x14ac:dyDescent="0.15">
      <c r="B467" s="246"/>
      <c r="C467" s="246"/>
      <c r="D467" s="240"/>
      <c r="E467" s="240"/>
      <c r="F467" s="240"/>
      <c r="G467" s="240"/>
      <c r="H467" s="263"/>
      <c r="I467" s="240"/>
      <c r="J467" s="240"/>
      <c r="K467" s="246"/>
      <c r="L467" s="246"/>
      <c r="M467" s="246"/>
      <c r="N467" s="240"/>
    </row>
    <row r="468" spans="2:14" ht="18" customHeight="1" x14ac:dyDescent="0.15">
      <c r="B468" s="246"/>
      <c r="C468" s="246"/>
      <c r="D468" s="240"/>
      <c r="E468" s="240"/>
      <c r="F468" s="240"/>
      <c r="G468" s="240"/>
      <c r="H468" s="263"/>
      <c r="I468" s="240"/>
      <c r="J468" s="240"/>
      <c r="K468" s="246"/>
      <c r="L468" s="246"/>
      <c r="M468" s="246"/>
      <c r="N468" s="240"/>
    </row>
    <row r="469" spans="2:14" ht="18" customHeight="1" x14ac:dyDescent="0.15">
      <c r="B469" s="246"/>
      <c r="C469" s="246"/>
      <c r="D469" s="240"/>
      <c r="E469" s="240"/>
      <c r="F469" s="240"/>
      <c r="G469" s="240"/>
      <c r="H469" s="263"/>
      <c r="I469" s="240"/>
      <c r="J469" s="240"/>
      <c r="K469" s="246"/>
      <c r="L469" s="246"/>
      <c r="M469" s="246"/>
      <c r="N469" s="240"/>
    </row>
    <row r="470" spans="2:14" ht="18" customHeight="1" x14ac:dyDescent="0.15">
      <c r="B470" s="246"/>
      <c r="C470" s="246"/>
      <c r="D470" s="240"/>
      <c r="E470" s="240"/>
      <c r="F470" s="240"/>
      <c r="G470" s="240"/>
      <c r="H470" s="263"/>
      <c r="I470" s="240"/>
      <c r="J470" s="240"/>
      <c r="K470" s="246"/>
      <c r="L470" s="246"/>
      <c r="M470" s="246"/>
      <c r="N470" s="240"/>
    </row>
    <row r="471" spans="2:14" ht="18" customHeight="1" x14ac:dyDescent="0.15">
      <c r="B471" s="246"/>
      <c r="C471" s="246"/>
      <c r="D471" s="240"/>
      <c r="E471" s="240"/>
      <c r="F471" s="240"/>
      <c r="G471" s="240"/>
      <c r="H471" s="263"/>
      <c r="I471" s="240"/>
      <c r="J471" s="240"/>
      <c r="K471" s="246"/>
      <c r="L471" s="246"/>
      <c r="M471" s="246"/>
      <c r="N471" s="240"/>
    </row>
    <row r="472" spans="2:14" ht="18" customHeight="1" x14ac:dyDescent="0.15">
      <c r="B472" s="246"/>
      <c r="C472" s="246"/>
      <c r="D472" s="240"/>
      <c r="E472" s="240"/>
      <c r="F472" s="240"/>
      <c r="G472" s="240"/>
      <c r="H472" s="263"/>
      <c r="I472" s="240"/>
      <c r="J472" s="240"/>
      <c r="K472" s="246"/>
      <c r="L472" s="246"/>
      <c r="M472" s="246"/>
      <c r="N472" s="240"/>
    </row>
    <row r="473" spans="2:14" ht="18" customHeight="1" x14ac:dyDescent="0.15">
      <c r="B473" s="246"/>
      <c r="C473" s="246"/>
      <c r="D473" s="240"/>
      <c r="E473" s="240"/>
      <c r="F473" s="240"/>
      <c r="G473" s="240"/>
      <c r="H473" s="263"/>
      <c r="I473" s="240"/>
      <c r="J473" s="240"/>
      <c r="K473" s="246"/>
      <c r="L473" s="246"/>
      <c r="M473" s="246"/>
      <c r="N473" s="240"/>
    </row>
    <row r="474" spans="2:14" ht="18" customHeight="1" x14ac:dyDescent="0.15">
      <c r="B474" s="246"/>
      <c r="C474" s="246"/>
      <c r="D474" s="240"/>
      <c r="E474" s="240"/>
      <c r="F474" s="240"/>
      <c r="G474" s="240"/>
      <c r="H474" s="263"/>
      <c r="I474" s="240"/>
      <c r="J474" s="240"/>
      <c r="K474" s="246"/>
      <c r="L474" s="246"/>
      <c r="M474" s="246"/>
      <c r="N474" s="240"/>
    </row>
    <row r="475" spans="2:14" ht="18" customHeight="1" x14ac:dyDescent="0.15">
      <c r="B475" s="246"/>
      <c r="C475" s="246"/>
      <c r="D475" s="240"/>
      <c r="E475" s="240"/>
      <c r="F475" s="240"/>
      <c r="G475" s="240"/>
      <c r="H475" s="263"/>
      <c r="I475" s="240"/>
      <c r="J475" s="240"/>
      <c r="K475" s="246"/>
      <c r="L475" s="246"/>
      <c r="M475" s="246"/>
      <c r="N475" s="240"/>
    </row>
    <row r="476" spans="2:14" ht="18" customHeight="1" x14ac:dyDescent="0.15">
      <c r="B476" s="246"/>
      <c r="C476" s="246"/>
      <c r="D476" s="240"/>
      <c r="E476" s="240"/>
      <c r="F476" s="240"/>
      <c r="G476" s="240"/>
      <c r="H476" s="263"/>
      <c r="I476" s="240"/>
      <c r="J476" s="240"/>
      <c r="K476" s="246"/>
      <c r="L476" s="246"/>
      <c r="M476" s="246"/>
      <c r="N476" s="240"/>
    </row>
    <row r="477" spans="2:14" ht="18" customHeight="1" x14ac:dyDescent="0.15">
      <c r="B477" s="246"/>
      <c r="C477" s="246"/>
      <c r="D477" s="240"/>
      <c r="E477" s="240"/>
      <c r="F477" s="240"/>
      <c r="G477" s="240"/>
      <c r="H477" s="263"/>
      <c r="I477" s="240"/>
      <c r="J477" s="240"/>
      <c r="K477" s="246"/>
      <c r="L477" s="246"/>
      <c r="M477" s="246"/>
      <c r="N477" s="240"/>
    </row>
    <row r="478" spans="2:14" ht="18" customHeight="1" x14ac:dyDescent="0.15">
      <c r="B478" s="246"/>
      <c r="C478" s="246"/>
      <c r="D478" s="240"/>
      <c r="E478" s="240"/>
      <c r="F478" s="240"/>
      <c r="G478" s="240"/>
      <c r="H478" s="263"/>
      <c r="I478" s="240"/>
      <c r="J478" s="240"/>
      <c r="K478" s="246"/>
      <c r="L478" s="246"/>
      <c r="M478" s="246"/>
      <c r="N478" s="240"/>
    </row>
    <row r="479" spans="2:14" ht="18" customHeight="1" x14ac:dyDescent="0.15">
      <c r="B479" s="246"/>
      <c r="C479" s="246"/>
      <c r="D479" s="240"/>
      <c r="E479" s="240"/>
      <c r="F479" s="240"/>
      <c r="G479" s="240"/>
      <c r="H479" s="263"/>
      <c r="I479" s="240"/>
      <c r="J479" s="240"/>
      <c r="K479" s="246"/>
      <c r="L479" s="246"/>
      <c r="M479" s="246"/>
      <c r="N479" s="240"/>
    </row>
    <row r="480" spans="2:14" ht="18" customHeight="1" x14ac:dyDescent="0.15">
      <c r="B480" s="246"/>
      <c r="C480" s="246"/>
      <c r="D480" s="240"/>
      <c r="E480" s="240"/>
      <c r="F480" s="240"/>
      <c r="G480" s="240"/>
      <c r="H480" s="263"/>
      <c r="I480" s="240"/>
      <c r="J480" s="240"/>
      <c r="K480" s="246"/>
      <c r="L480" s="246"/>
      <c r="M480" s="246"/>
      <c r="N480" s="240"/>
    </row>
    <row r="481" spans="2:14" ht="18" customHeight="1" x14ac:dyDescent="0.15">
      <c r="B481" s="246"/>
      <c r="C481" s="246"/>
      <c r="D481" s="240"/>
      <c r="E481" s="240"/>
      <c r="F481" s="240"/>
      <c r="G481" s="240"/>
      <c r="H481" s="263"/>
      <c r="I481" s="240"/>
      <c r="J481" s="240"/>
      <c r="K481" s="246"/>
      <c r="L481" s="246"/>
      <c r="M481" s="246"/>
      <c r="N481" s="240"/>
    </row>
    <row r="482" spans="2:14" ht="18" customHeight="1" x14ac:dyDescent="0.15">
      <c r="B482" s="246"/>
      <c r="C482" s="246"/>
      <c r="D482" s="240"/>
      <c r="E482" s="240"/>
      <c r="F482" s="240"/>
      <c r="G482" s="240"/>
      <c r="H482" s="263"/>
      <c r="I482" s="240"/>
      <c r="J482" s="240"/>
      <c r="K482" s="246"/>
      <c r="L482" s="246"/>
      <c r="M482" s="246"/>
      <c r="N482" s="240"/>
    </row>
    <row r="483" spans="2:14" ht="18" customHeight="1" x14ac:dyDescent="0.15">
      <c r="B483" s="246"/>
      <c r="C483" s="246"/>
      <c r="D483" s="240"/>
      <c r="E483" s="240"/>
      <c r="F483" s="240"/>
      <c r="G483" s="240"/>
      <c r="H483" s="263"/>
      <c r="I483" s="240"/>
      <c r="J483" s="240"/>
      <c r="K483" s="246"/>
      <c r="L483" s="246"/>
      <c r="M483" s="246"/>
      <c r="N483" s="240"/>
    </row>
    <row r="484" spans="2:14" ht="18" customHeight="1" x14ac:dyDescent="0.15">
      <c r="B484" s="246"/>
      <c r="C484" s="246"/>
      <c r="D484" s="240"/>
      <c r="E484" s="240"/>
      <c r="F484" s="240"/>
      <c r="G484" s="240"/>
      <c r="H484" s="263"/>
      <c r="I484" s="240"/>
      <c r="J484" s="240"/>
      <c r="K484" s="246"/>
      <c r="L484" s="246"/>
      <c r="M484" s="246"/>
      <c r="N484" s="240"/>
    </row>
    <row r="485" spans="2:14" ht="18" customHeight="1" x14ac:dyDescent="0.15">
      <c r="B485" s="246"/>
      <c r="C485" s="246"/>
      <c r="D485" s="240"/>
      <c r="E485" s="240"/>
      <c r="F485" s="240"/>
      <c r="G485" s="240"/>
      <c r="H485" s="263"/>
      <c r="I485" s="240"/>
      <c r="J485" s="240"/>
      <c r="K485" s="246"/>
      <c r="L485" s="246"/>
      <c r="M485" s="246"/>
      <c r="N485" s="240"/>
    </row>
    <row r="486" spans="2:14" ht="18" customHeight="1" x14ac:dyDescent="0.15">
      <c r="B486" s="246"/>
      <c r="C486" s="246"/>
      <c r="D486" s="240"/>
      <c r="E486" s="240"/>
      <c r="F486" s="240"/>
      <c r="G486" s="240"/>
      <c r="H486" s="263"/>
      <c r="I486" s="240"/>
      <c r="J486" s="240"/>
      <c r="K486" s="246"/>
      <c r="L486" s="246"/>
      <c r="M486" s="246"/>
      <c r="N486" s="240"/>
    </row>
    <row r="487" spans="2:14" ht="18" customHeight="1" x14ac:dyDescent="0.15">
      <c r="B487" s="246"/>
      <c r="C487" s="246"/>
      <c r="D487" s="240"/>
      <c r="E487" s="240"/>
      <c r="F487" s="240"/>
      <c r="G487" s="240"/>
      <c r="H487" s="263"/>
      <c r="I487" s="240"/>
      <c r="J487" s="240"/>
      <c r="K487" s="246"/>
      <c r="L487" s="246"/>
      <c r="M487" s="246"/>
      <c r="N487" s="240"/>
    </row>
    <row r="488" spans="2:14" ht="18" customHeight="1" x14ac:dyDescent="0.15">
      <c r="B488" s="246"/>
      <c r="C488" s="246"/>
      <c r="D488" s="240"/>
      <c r="E488" s="240"/>
      <c r="F488" s="240"/>
      <c r="G488" s="240"/>
      <c r="H488" s="263"/>
      <c r="I488" s="240"/>
      <c r="J488" s="240"/>
      <c r="K488" s="246"/>
      <c r="L488" s="246"/>
      <c r="M488" s="246"/>
      <c r="N488" s="240"/>
    </row>
    <row r="489" spans="2:14" ht="18" customHeight="1" x14ac:dyDescent="0.15">
      <c r="B489" s="246"/>
      <c r="C489" s="246"/>
      <c r="D489" s="240"/>
      <c r="E489" s="240"/>
      <c r="F489" s="240"/>
      <c r="G489" s="240"/>
      <c r="H489" s="263"/>
      <c r="I489" s="240"/>
      <c r="J489" s="240"/>
      <c r="K489" s="246"/>
      <c r="L489" s="246"/>
      <c r="M489" s="246"/>
      <c r="N489" s="240"/>
    </row>
    <row r="490" spans="2:14" ht="18" customHeight="1" x14ac:dyDescent="0.15">
      <c r="B490" s="246"/>
      <c r="C490" s="246"/>
      <c r="D490" s="240"/>
      <c r="E490" s="240"/>
      <c r="F490" s="240"/>
      <c r="G490" s="240"/>
      <c r="H490" s="263"/>
      <c r="I490" s="240"/>
      <c r="J490" s="240"/>
      <c r="K490" s="246"/>
      <c r="L490" s="246"/>
      <c r="M490" s="246"/>
      <c r="N490" s="240"/>
    </row>
    <row r="491" spans="2:14" ht="18" customHeight="1" x14ac:dyDescent="0.15">
      <c r="B491" s="246"/>
      <c r="C491" s="246"/>
      <c r="D491" s="240"/>
      <c r="E491" s="240"/>
      <c r="F491" s="240"/>
      <c r="G491" s="240"/>
      <c r="H491" s="263"/>
      <c r="I491" s="240"/>
      <c r="J491" s="240"/>
      <c r="K491" s="246"/>
      <c r="L491" s="246"/>
      <c r="M491" s="246"/>
      <c r="N491" s="240"/>
    </row>
    <row r="492" spans="2:14" ht="18" customHeight="1" x14ac:dyDescent="0.15">
      <c r="B492" s="246"/>
      <c r="C492" s="246"/>
      <c r="D492" s="240"/>
      <c r="E492" s="240"/>
      <c r="F492" s="240"/>
      <c r="G492" s="240"/>
      <c r="H492" s="263"/>
      <c r="I492" s="240"/>
      <c r="J492" s="240"/>
      <c r="K492" s="246"/>
      <c r="L492" s="246"/>
      <c r="M492" s="246"/>
      <c r="N492" s="240"/>
    </row>
    <row r="493" spans="2:14" ht="18" customHeight="1" x14ac:dyDescent="0.15">
      <c r="B493" s="246"/>
      <c r="C493" s="246"/>
      <c r="D493" s="240"/>
      <c r="E493" s="240"/>
      <c r="F493" s="240"/>
      <c r="G493" s="240"/>
      <c r="H493" s="263"/>
      <c r="I493" s="240"/>
      <c r="J493" s="240"/>
      <c r="K493" s="246"/>
      <c r="L493" s="246"/>
      <c r="M493" s="246"/>
      <c r="N493" s="240"/>
    </row>
    <row r="494" spans="2:14" ht="18" customHeight="1" x14ac:dyDescent="0.15">
      <c r="B494" s="246"/>
      <c r="C494" s="246"/>
      <c r="D494" s="240"/>
      <c r="E494" s="240"/>
      <c r="F494" s="240"/>
      <c r="G494" s="240"/>
      <c r="H494" s="263"/>
      <c r="I494" s="240"/>
      <c r="J494" s="240"/>
      <c r="K494" s="246"/>
      <c r="L494" s="246"/>
      <c r="M494" s="246"/>
      <c r="N494" s="240"/>
    </row>
    <row r="495" spans="2:14" ht="18" customHeight="1" x14ac:dyDescent="0.15">
      <c r="B495" s="246"/>
      <c r="C495" s="246"/>
      <c r="D495" s="240"/>
      <c r="E495" s="240"/>
      <c r="F495" s="240"/>
      <c r="G495" s="240"/>
      <c r="H495" s="263"/>
      <c r="I495" s="240"/>
      <c r="J495" s="240"/>
      <c r="K495" s="246"/>
      <c r="L495" s="246"/>
      <c r="M495" s="246"/>
      <c r="N495" s="240"/>
    </row>
    <row r="496" spans="2:14" ht="18" customHeight="1" x14ac:dyDescent="0.15">
      <c r="B496" s="246"/>
      <c r="C496" s="246"/>
      <c r="D496" s="240"/>
      <c r="E496" s="240"/>
      <c r="F496" s="240"/>
      <c r="G496" s="240"/>
      <c r="H496" s="263"/>
      <c r="I496" s="240"/>
      <c r="J496" s="240"/>
      <c r="K496" s="246"/>
      <c r="L496" s="246"/>
      <c r="M496" s="246"/>
      <c r="N496" s="240"/>
    </row>
    <row r="497" spans="2:14" ht="18" customHeight="1" x14ac:dyDescent="0.15">
      <c r="B497" s="246"/>
      <c r="C497" s="246"/>
      <c r="D497" s="240"/>
      <c r="E497" s="240"/>
      <c r="F497" s="240"/>
      <c r="G497" s="240"/>
      <c r="H497" s="263"/>
      <c r="I497" s="240"/>
      <c r="J497" s="240"/>
      <c r="K497" s="246"/>
      <c r="L497" s="246"/>
      <c r="M497" s="246"/>
      <c r="N497" s="240"/>
    </row>
    <row r="498" spans="2:14" ht="18" customHeight="1" x14ac:dyDescent="0.15">
      <c r="B498" s="246"/>
      <c r="C498" s="246"/>
      <c r="D498" s="240"/>
      <c r="E498" s="240"/>
      <c r="F498" s="240"/>
      <c r="G498" s="240"/>
      <c r="H498" s="263"/>
      <c r="I498" s="240"/>
      <c r="J498" s="240"/>
      <c r="K498" s="246"/>
      <c r="L498" s="246"/>
      <c r="M498" s="246"/>
      <c r="N498" s="240"/>
    </row>
    <row r="499" spans="2:14" ht="18" customHeight="1" x14ac:dyDescent="0.15">
      <c r="B499" s="246"/>
      <c r="C499" s="246"/>
      <c r="D499" s="240"/>
      <c r="E499" s="240"/>
      <c r="F499" s="240"/>
      <c r="G499" s="240"/>
      <c r="H499" s="263"/>
      <c r="I499" s="240"/>
      <c r="J499" s="240"/>
      <c r="K499" s="246"/>
      <c r="L499" s="246"/>
      <c r="M499" s="246"/>
      <c r="N499" s="240"/>
    </row>
    <row r="500" spans="2:14" ht="18" customHeight="1" x14ac:dyDescent="0.15">
      <c r="B500" s="246"/>
      <c r="C500" s="246"/>
      <c r="D500" s="240"/>
      <c r="E500" s="240"/>
      <c r="F500" s="240"/>
      <c r="G500" s="240"/>
      <c r="H500" s="263"/>
      <c r="I500" s="240"/>
      <c r="J500" s="240"/>
      <c r="K500" s="246"/>
      <c r="L500" s="246"/>
      <c r="M500" s="246"/>
      <c r="N500" s="240"/>
    </row>
    <row r="501" spans="2:14" ht="18" customHeight="1" x14ac:dyDescent="0.15">
      <c r="B501" s="246"/>
      <c r="C501" s="246"/>
      <c r="D501" s="240"/>
      <c r="E501" s="240"/>
      <c r="F501" s="240"/>
      <c r="G501" s="240"/>
      <c r="H501" s="263"/>
      <c r="I501" s="240"/>
      <c r="J501" s="240"/>
      <c r="K501" s="246"/>
      <c r="L501" s="246"/>
      <c r="M501" s="246"/>
      <c r="N501" s="240"/>
    </row>
    <row r="502" spans="2:14" ht="18" customHeight="1" x14ac:dyDescent="0.15">
      <c r="B502" s="246"/>
      <c r="C502" s="246"/>
      <c r="D502" s="240"/>
      <c r="E502" s="240"/>
      <c r="F502" s="240"/>
      <c r="G502" s="240"/>
      <c r="H502" s="263"/>
      <c r="I502" s="240"/>
      <c r="J502" s="240"/>
      <c r="K502" s="246"/>
      <c r="L502" s="246"/>
      <c r="M502" s="246"/>
      <c r="N502" s="240"/>
    </row>
    <row r="503" spans="2:14" ht="18" customHeight="1" x14ac:dyDescent="0.15">
      <c r="B503" s="246"/>
      <c r="C503" s="246"/>
      <c r="D503" s="240"/>
      <c r="E503" s="240"/>
      <c r="F503" s="240"/>
      <c r="G503" s="240"/>
      <c r="H503" s="263"/>
      <c r="I503" s="240"/>
      <c r="J503" s="240"/>
      <c r="K503" s="246"/>
      <c r="L503" s="246"/>
      <c r="M503" s="246"/>
      <c r="N503" s="240"/>
    </row>
    <row r="504" spans="2:14" ht="18" customHeight="1" x14ac:dyDescent="0.15">
      <c r="B504" s="246"/>
      <c r="C504" s="246"/>
      <c r="D504" s="240"/>
      <c r="E504" s="240"/>
      <c r="F504" s="240"/>
      <c r="G504" s="240"/>
      <c r="H504" s="263"/>
      <c r="I504" s="240"/>
      <c r="J504" s="240"/>
      <c r="K504" s="246"/>
      <c r="L504" s="246"/>
      <c r="M504" s="246"/>
      <c r="N504" s="240"/>
    </row>
    <row r="505" spans="2:14" ht="18" customHeight="1" x14ac:dyDescent="0.15">
      <c r="B505" s="246"/>
      <c r="C505" s="246"/>
      <c r="D505" s="240"/>
      <c r="E505" s="240"/>
      <c r="F505" s="240"/>
      <c r="G505" s="240"/>
      <c r="H505" s="263"/>
      <c r="I505" s="240"/>
      <c r="J505" s="240"/>
      <c r="K505" s="246"/>
      <c r="L505" s="246"/>
      <c r="M505" s="246"/>
      <c r="N505" s="240"/>
    </row>
    <row r="506" spans="2:14" ht="18" customHeight="1" x14ac:dyDescent="0.15">
      <c r="B506" s="246"/>
      <c r="C506" s="246"/>
      <c r="D506" s="240"/>
      <c r="E506" s="240"/>
      <c r="F506" s="240"/>
      <c r="G506" s="240"/>
      <c r="H506" s="263"/>
      <c r="I506" s="240"/>
      <c r="J506" s="240"/>
      <c r="K506" s="246"/>
      <c r="L506" s="246"/>
      <c r="M506" s="246"/>
      <c r="N506" s="240"/>
    </row>
    <row r="507" spans="2:14" ht="18" customHeight="1" x14ac:dyDescent="0.15">
      <c r="B507" s="246"/>
      <c r="C507" s="246"/>
      <c r="D507" s="240"/>
      <c r="E507" s="240"/>
      <c r="F507" s="240"/>
      <c r="G507" s="240"/>
      <c r="H507" s="263"/>
      <c r="I507" s="240"/>
      <c r="J507" s="240"/>
      <c r="K507" s="246"/>
      <c r="L507" s="246"/>
      <c r="M507" s="246"/>
      <c r="N507" s="240"/>
    </row>
    <row r="508" spans="2:14" ht="18" customHeight="1" x14ac:dyDescent="0.15">
      <c r="B508" s="246"/>
      <c r="C508" s="246"/>
      <c r="D508" s="240"/>
      <c r="E508" s="240"/>
      <c r="F508" s="240"/>
      <c r="G508" s="240"/>
      <c r="H508" s="263"/>
      <c r="I508" s="240"/>
      <c r="J508" s="240"/>
      <c r="K508" s="246"/>
      <c r="L508" s="246"/>
      <c r="M508" s="246"/>
      <c r="N508" s="240"/>
    </row>
    <row r="509" spans="2:14" ht="18" customHeight="1" x14ac:dyDescent="0.15">
      <c r="B509" s="246"/>
      <c r="C509" s="246"/>
      <c r="D509" s="240"/>
      <c r="E509" s="240"/>
      <c r="F509" s="240"/>
      <c r="G509" s="240"/>
      <c r="H509" s="263"/>
      <c r="I509" s="240"/>
      <c r="J509" s="240"/>
      <c r="K509" s="246"/>
      <c r="L509" s="246"/>
      <c r="M509" s="246"/>
      <c r="N509" s="240"/>
    </row>
    <row r="510" spans="2:14" ht="18" customHeight="1" x14ac:dyDescent="0.15">
      <c r="B510" s="246"/>
      <c r="C510" s="246"/>
      <c r="D510" s="240"/>
      <c r="E510" s="240"/>
      <c r="F510" s="240"/>
      <c r="G510" s="240"/>
      <c r="H510" s="263"/>
      <c r="I510" s="240"/>
      <c r="J510" s="240"/>
      <c r="K510" s="246"/>
      <c r="L510" s="246"/>
      <c r="M510" s="246"/>
      <c r="N510" s="240"/>
    </row>
    <row r="511" spans="2:14" ht="18" customHeight="1" x14ac:dyDescent="0.15">
      <c r="B511" s="246"/>
      <c r="C511" s="246"/>
      <c r="D511" s="240"/>
      <c r="E511" s="240"/>
      <c r="F511" s="240"/>
      <c r="G511" s="240"/>
      <c r="H511" s="263"/>
      <c r="I511" s="240"/>
      <c r="J511" s="240"/>
      <c r="K511" s="246"/>
      <c r="L511" s="246"/>
      <c r="M511" s="246"/>
      <c r="N511" s="240"/>
    </row>
    <row r="512" spans="2:14" ht="18" customHeight="1" x14ac:dyDescent="0.15">
      <c r="B512" s="246"/>
      <c r="C512" s="246"/>
      <c r="D512" s="240"/>
      <c r="E512" s="240"/>
      <c r="F512" s="240"/>
      <c r="G512" s="240"/>
      <c r="H512" s="263"/>
      <c r="I512" s="240"/>
      <c r="J512" s="240"/>
      <c r="K512" s="246"/>
      <c r="L512" s="246"/>
      <c r="M512" s="246"/>
      <c r="N512" s="240"/>
    </row>
    <row r="513" spans="2:14" ht="18" customHeight="1" x14ac:dyDescent="0.15">
      <c r="B513" s="246"/>
      <c r="C513" s="246"/>
      <c r="D513" s="240"/>
      <c r="E513" s="240"/>
      <c r="F513" s="240"/>
      <c r="G513" s="240"/>
      <c r="H513" s="263"/>
      <c r="I513" s="240"/>
      <c r="J513" s="240"/>
      <c r="K513" s="246"/>
      <c r="L513" s="246"/>
      <c r="M513" s="246"/>
      <c r="N513" s="240"/>
    </row>
    <row r="514" spans="2:14" ht="18" customHeight="1" x14ac:dyDescent="0.15">
      <c r="B514" s="246"/>
      <c r="C514" s="246"/>
      <c r="D514" s="240"/>
      <c r="E514" s="240"/>
      <c r="F514" s="240"/>
      <c r="G514" s="240"/>
      <c r="H514" s="263"/>
      <c r="I514" s="240"/>
      <c r="J514" s="240"/>
      <c r="K514" s="246"/>
      <c r="L514" s="246"/>
      <c r="M514" s="246"/>
      <c r="N514" s="240"/>
    </row>
    <row r="515" spans="2:14" ht="18" customHeight="1" x14ac:dyDescent="0.15">
      <c r="B515" s="246"/>
      <c r="C515" s="246"/>
      <c r="D515" s="240"/>
      <c r="E515" s="240"/>
      <c r="F515" s="240"/>
      <c r="G515" s="240"/>
      <c r="H515" s="263"/>
      <c r="I515" s="240"/>
      <c r="J515" s="240"/>
      <c r="K515" s="246"/>
      <c r="L515" s="246"/>
      <c r="M515" s="246"/>
      <c r="N515" s="240"/>
    </row>
    <row r="516" spans="2:14" ht="18" customHeight="1" x14ac:dyDescent="0.15">
      <c r="B516" s="246"/>
      <c r="C516" s="246"/>
      <c r="D516" s="240"/>
      <c r="E516" s="240"/>
      <c r="F516" s="240"/>
      <c r="G516" s="240"/>
      <c r="H516" s="263"/>
      <c r="I516" s="240"/>
      <c r="J516" s="240"/>
      <c r="K516" s="246"/>
      <c r="L516" s="246"/>
      <c r="M516" s="246"/>
      <c r="N516" s="240"/>
    </row>
    <row r="517" spans="2:14" ht="18" customHeight="1" x14ac:dyDescent="0.15">
      <c r="B517" s="246"/>
      <c r="C517" s="246"/>
      <c r="D517" s="240"/>
      <c r="E517" s="240"/>
      <c r="F517" s="240"/>
      <c r="G517" s="240"/>
      <c r="H517" s="263"/>
      <c r="I517" s="240"/>
      <c r="J517" s="240"/>
      <c r="K517" s="246"/>
      <c r="L517" s="246"/>
      <c r="M517" s="246"/>
      <c r="N517" s="240"/>
    </row>
    <row r="518" spans="2:14" ht="18" customHeight="1" x14ac:dyDescent="0.15">
      <c r="B518" s="246"/>
      <c r="C518" s="246"/>
      <c r="D518" s="240"/>
      <c r="E518" s="240"/>
      <c r="F518" s="240"/>
      <c r="G518" s="240"/>
      <c r="H518" s="263"/>
      <c r="I518" s="240"/>
      <c r="J518" s="240"/>
      <c r="K518" s="246"/>
      <c r="L518" s="246"/>
      <c r="M518" s="246"/>
      <c r="N518" s="240"/>
    </row>
    <row r="519" spans="2:14" ht="18" customHeight="1" x14ac:dyDescent="0.15">
      <c r="B519" s="246"/>
      <c r="C519" s="246"/>
      <c r="D519" s="240"/>
      <c r="E519" s="240"/>
      <c r="F519" s="240"/>
      <c r="G519" s="240"/>
      <c r="H519" s="263"/>
      <c r="I519" s="240"/>
      <c r="J519" s="240"/>
      <c r="K519" s="246"/>
      <c r="L519" s="246"/>
      <c r="M519" s="246"/>
      <c r="N519" s="240"/>
    </row>
  </sheetData>
  <sheetProtection algorithmName="SHA-512" hashValue="SXLMg/Kkj9bSSatBwC0HLXxVnNpnkMN17aka33Hwgd8yusrb95bzs9XHJ4PncJOYYKuA+PdU5tWRKfELOJDZtA==" saltValue="QWmfgRNAeKdspbuMFaaW0w==" spinCount="100000" sheet="1" scenarios="1" formatCells="0" formatColumns="0" formatRows="0" insertColumns="0" insertRows="0" deleteColumns="0" deleteRows="0" sort="0" autoFilter="0" pivotTables="0"/>
  <protectedRanges>
    <protectedRange sqref="B1:XFD2 B14:F26 Q3:XFD26 B3:G13 H3:O26 G14:G25 B27:XFD1048576" name="Range1"/>
    <protectedRange sqref="P14:P26 G26" name="Range1_1"/>
  </protectedRanges>
  <conditionalFormatting sqref="C29:C46 C27">
    <cfRule type="expression" dxfId="313" priority="794">
      <formula>MATCH($C$27,$C$29:$C$46,0)</formula>
    </cfRule>
  </conditionalFormatting>
  <dataValidations count="8">
    <dataValidation type="list" allowBlank="1" showInputMessage="1" showErrorMessage="1" sqref="E27 E29:E46" xr:uid="{691D3E39-A59A-401F-8C2A-B74E0B3196AE}">
      <formula1>"THU, CHI"</formula1>
    </dataValidation>
    <dataValidation type="list" allowBlank="1" showInputMessage="1" showErrorMessage="1" sqref="I27" xr:uid="{6E7C4119-01D1-43BA-BA6E-97060F64699A}">
      <formula1>MaTaiKhoan</formula1>
    </dataValidation>
    <dataValidation type="list" allowBlank="1" showInputMessage="1" showErrorMessage="1" sqref="F27 F29:F46" xr:uid="{DB1C6876-A521-45FF-B4DB-B2F543075A2C}">
      <formula1>NoiDungGDKD</formula1>
    </dataValidation>
    <dataValidation type="list" allowBlank="1" showInputMessage="1" showErrorMessage="1" sqref="G27" xr:uid="{38343B69-0B62-4A12-BBE7-49A13D51735F}">
      <formula1>$G$14:$G$26</formula1>
    </dataValidation>
    <dataValidation type="list" allowBlank="1" showInputMessage="1" showErrorMessage="1" sqref="H27" xr:uid="{2C960755-2CFD-4955-840A-8C82941778B5}">
      <formula1>_xlfn.ANCHORARRAY($P$27)</formula1>
    </dataValidation>
    <dataValidation type="list" allowBlank="1" showInputMessage="1" showErrorMessage="1" sqref="G29:G46" xr:uid="{A2138740-E561-4820-B757-C7E9B4FE127F}">
      <formula1>$G$14:$G$25</formula1>
    </dataValidation>
    <dataValidation type="list" errorStyle="warning" allowBlank="1" showInputMessage="1" sqref="H29:H46" xr:uid="{0C427107-9B71-4A30-BD23-D08FDBBAB6D1}">
      <formula1>_xlfn.ANCHORARRAY($P$27)</formula1>
    </dataValidation>
    <dataValidation type="list" errorStyle="warning" allowBlank="1" showInputMessage="1" sqref="I29:I46" xr:uid="{7BEB1D2D-B353-41A2-84CA-8F9C9EE6535D}">
      <formula1>MaTaiKhoan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3" r:id="rId4" name="Button 5">
              <controlPr defaultSize="0" print="0" autoFill="0" autoPict="0" macro="[0]!CopyToTable">
                <anchor moveWithCells="1">
                  <from>
                    <xdr:col>13</xdr:col>
                    <xdr:colOff>714375</xdr:colOff>
                    <xdr:row>12</xdr:row>
                    <xdr:rowOff>200025</xdr:rowOff>
                  </from>
                  <to>
                    <xdr:col>14</xdr:col>
                    <xdr:colOff>19050</xdr:colOff>
                    <xdr:row>27</xdr:row>
                    <xdr:rowOff>0</xdr:rowOff>
                  </to>
                </anchor>
              </controlPr>
            </control>
          </mc:Choice>
        </mc:AlternateContent>
        <mc:AlternateContent xmlns:mc="http://schemas.openxmlformats.org/markup-compatibility/2006">
          <mc:Choice Requires="x14">
            <control shapeId="73735" r:id="rId5" name="Option Button 7">
              <controlPr defaultSize="0" autoFill="0" autoLine="0" autoPict="0" macro="[0]!DoiDonViHienThi">
                <anchor moveWithCells="1">
                  <from>
                    <xdr:col>3</xdr:col>
                    <xdr:colOff>361950</xdr:colOff>
                    <xdr:row>0</xdr:row>
                    <xdr:rowOff>152400</xdr:rowOff>
                  </from>
                  <to>
                    <xdr:col>4</xdr:col>
                    <xdr:colOff>276225</xdr:colOff>
                    <xdr:row>1</xdr:row>
                    <xdr:rowOff>57150</xdr:rowOff>
                  </to>
                </anchor>
              </controlPr>
            </control>
          </mc:Choice>
        </mc:AlternateContent>
        <mc:AlternateContent xmlns:mc="http://schemas.openxmlformats.org/markup-compatibility/2006">
          <mc:Choice Requires="x14">
            <control shapeId="73736" r:id="rId6" name="Option Button 8">
              <controlPr defaultSize="0" autoFill="0" autoLine="0" autoPict="0" macro="[0]!DoiDonViHienThi">
                <anchor moveWithCells="1">
                  <from>
                    <xdr:col>4</xdr:col>
                    <xdr:colOff>152400</xdr:colOff>
                    <xdr:row>0</xdr:row>
                    <xdr:rowOff>152400</xdr:rowOff>
                  </from>
                  <to>
                    <xdr:col>5</xdr:col>
                    <xdr:colOff>123825</xdr:colOff>
                    <xdr:row>1</xdr:row>
                    <xdr:rowOff>57150</xdr:rowOff>
                  </to>
                </anchor>
              </controlPr>
            </control>
          </mc:Choice>
        </mc:AlternateContent>
        <mc:AlternateContent xmlns:mc="http://schemas.openxmlformats.org/markup-compatibility/2006">
          <mc:Choice Requires="x14">
            <control shapeId="73737" r:id="rId7" name="Option Button 9">
              <controlPr defaultSize="0" autoFill="0" autoLine="0" autoPict="0" macro="[0]!DoiDonViHienThi">
                <anchor moveWithCells="1">
                  <from>
                    <xdr:col>5</xdr:col>
                    <xdr:colOff>0</xdr:colOff>
                    <xdr:row>0</xdr:row>
                    <xdr:rowOff>152400</xdr:rowOff>
                  </from>
                  <to>
                    <xdr:col>5</xdr:col>
                    <xdr:colOff>590550</xdr:colOff>
                    <xdr:row>1</xdr:row>
                    <xdr:rowOff>57150</xdr:rowOff>
                  </to>
                </anchor>
              </controlPr>
            </control>
          </mc:Choice>
        </mc:AlternateContent>
        <mc:AlternateContent xmlns:mc="http://schemas.openxmlformats.org/markup-compatibility/2006">
          <mc:Choice Requires="x14">
            <control shapeId="73738" r:id="rId8" name="Option Button 10">
              <controlPr defaultSize="0" autoFill="0" autoLine="0" autoPict="0" macro="[0]!DoiDonViHienThi">
                <anchor moveWithCells="1">
                  <from>
                    <xdr:col>5</xdr:col>
                    <xdr:colOff>476250</xdr:colOff>
                    <xdr:row>0</xdr:row>
                    <xdr:rowOff>152400</xdr:rowOff>
                  </from>
                  <to>
                    <xdr:col>5</xdr:col>
                    <xdr:colOff>828675</xdr:colOff>
                    <xdr:row>1</xdr:row>
                    <xdr:rowOff>57150</xdr:rowOff>
                  </to>
                </anchor>
              </controlPr>
            </control>
          </mc:Choice>
        </mc:AlternateContent>
        <mc:AlternateContent xmlns:mc="http://schemas.openxmlformats.org/markup-compatibility/2006">
          <mc:Choice Requires="x14">
            <control shapeId="73739" r:id="rId9" name="Group Box 11">
              <controlPr defaultSize="0" autoFill="0" autoPict="0">
                <anchor moveWithCells="1">
                  <from>
                    <xdr:col>3</xdr:col>
                    <xdr:colOff>247650</xdr:colOff>
                    <xdr:row>0</xdr:row>
                    <xdr:rowOff>104775</xdr:rowOff>
                  </from>
                  <to>
                    <xdr:col>5</xdr:col>
                    <xdr:colOff>942975</xdr:colOff>
                    <xdr:row>1</xdr:row>
                    <xdr:rowOff>95250</xdr:rowOff>
                  </to>
                </anchor>
              </controlPr>
            </control>
          </mc:Choice>
        </mc:AlternateContent>
        <mc:AlternateContent xmlns:mc="http://schemas.openxmlformats.org/markup-compatibility/2006">
          <mc:Choice Requires="x14">
            <control shapeId="73740" r:id="rId10" name="Group Box 12">
              <controlPr defaultSize="0" autoFill="0" autoPict="0">
                <anchor moveWithCells="1">
                  <from>
                    <xdr:col>1</xdr:col>
                    <xdr:colOff>114300</xdr:colOff>
                    <xdr:row>0</xdr:row>
                    <xdr:rowOff>104775</xdr:rowOff>
                  </from>
                  <to>
                    <xdr:col>3</xdr:col>
                    <xdr:colOff>200025</xdr:colOff>
                    <xdr:row>1</xdr:row>
                    <xdr:rowOff>95250</xdr:rowOff>
                  </to>
                </anchor>
              </controlPr>
            </control>
          </mc:Choice>
        </mc:AlternateContent>
        <mc:AlternateContent xmlns:mc="http://schemas.openxmlformats.org/markup-compatibility/2006">
          <mc:Choice Requires="x14">
            <control shapeId="73741" r:id="rId11" name="Button 13">
              <controlPr defaultSize="0" autoFill="0" autoPict="0" macro="[0]!NhanNghin">
                <anchor moveWithCells="1">
                  <from>
                    <xdr:col>1</xdr:col>
                    <xdr:colOff>200025</xdr:colOff>
                    <xdr:row>0</xdr:row>
                    <xdr:rowOff>200025</xdr:rowOff>
                  </from>
                  <to>
                    <xdr:col>2</xdr:col>
                    <xdr:colOff>257175</xdr:colOff>
                    <xdr:row>1</xdr:row>
                    <xdr:rowOff>0</xdr:rowOff>
                  </to>
                </anchor>
              </controlPr>
            </control>
          </mc:Choice>
        </mc:AlternateContent>
        <mc:AlternateContent xmlns:mc="http://schemas.openxmlformats.org/markup-compatibility/2006">
          <mc:Choice Requires="x14">
            <control shapeId="73742" r:id="rId12" name="Button 14">
              <controlPr defaultSize="0" autoFill="0" autoPict="0" macro="[0]!NhanTrieu">
                <anchor moveWithCells="1">
                  <from>
                    <xdr:col>2</xdr:col>
                    <xdr:colOff>304800</xdr:colOff>
                    <xdr:row>0</xdr:row>
                    <xdr:rowOff>200025</xdr:rowOff>
                  </from>
                  <to>
                    <xdr:col>2</xdr:col>
                    <xdr:colOff>771525</xdr:colOff>
                    <xdr:row>1</xdr:row>
                    <xdr:rowOff>0</xdr:rowOff>
                  </to>
                </anchor>
              </controlPr>
            </control>
          </mc:Choice>
        </mc:AlternateContent>
        <mc:AlternateContent xmlns:mc="http://schemas.openxmlformats.org/markup-compatibility/2006">
          <mc:Choice Requires="x14">
            <control shapeId="73743" r:id="rId13" name="Button 15">
              <controlPr defaultSize="0" autoFill="0" autoPict="0" macro="[0]!NhanTy">
                <anchor moveWithCells="1">
                  <from>
                    <xdr:col>2</xdr:col>
                    <xdr:colOff>819150</xdr:colOff>
                    <xdr:row>0</xdr:row>
                    <xdr:rowOff>200025</xdr:rowOff>
                  </from>
                  <to>
                    <xdr:col>3</xdr:col>
                    <xdr:colOff>123825</xdr:colOff>
                    <xdr:row>1</xdr:row>
                    <xdr:rowOff>0</xdr:rowOff>
                  </to>
                </anchor>
              </controlPr>
            </control>
          </mc:Choice>
        </mc:AlternateContent>
        <mc:AlternateContent xmlns:mc="http://schemas.openxmlformats.org/markup-compatibility/2006">
          <mc:Choice Requires="x14">
            <control shapeId="73744" r:id="rId14" name="Button 16">
              <controlPr defaultSize="0" print="0" autoFill="0" autoPict="0" macro="[0]!AddRow">
                <anchor moveWithCells="1">
                  <from>
                    <xdr:col>5</xdr:col>
                    <xdr:colOff>1228725</xdr:colOff>
                    <xdr:row>0</xdr:row>
                    <xdr:rowOff>152400</xdr:rowOff>
                  </from>
                  <to>
                    <xdr:col>5</xdr:col>
                    <xdr:colOff>1704975</xdr:colOff>
                    <xdr:row>1</xdr:row>
                    <xdr:rowOff>38100</xdr:rowOff>
                  </to>
                </anchor>
              </controlPr>
            </control>
          </mc:Choice>
        </mc:AlternateContent>
        <mc:AlternateContent xmlns:mc="http://schemas.openxmlformats.org/markup-compatibility/2006">
          <mc:Choice Requires="x14">
            <control shapeId="73745" r:id="rId15" name="Button 17">
              <controlPr defaultSize="0" print="0" autoFill="0" autoPict="0" macro="[0]!DeleteRow">
                <anchor moveWithCells="1">
                  <from>
                    <xdr:col>5</xdr:col>
                    <xdr:colOff>1743075</xdr:colOff>
                    <xdr:row>0</xdr:row>
                    <xdr:rowOff>152400</xdr:rowOff>
                  </from>
                  <to>
                    <xdr:col>5</xdr:col>
                    <xdr:colOff>2219325</xdr:colOff>
                    <xdr:row>1</xdr:row>
                    <xdr:rowOff>38100</xdr:rowOff>
                  </to>
                </anchor>
              </controlPr>
            </control>
          </mc:Choice>
        </mc:AlternateContent>
        <mc:AlternateContent xmlns:mc="http://schemas.openxmlformats.org/markup-compatibility/2006">
          <mc:Choice Requires="x14">
            <control shapeId="73746" r:id="rId16" name="Button 18">
              <controlPr defaultSize="0" print="0" autoFill="0" autoPict="0" macro="[0]!AddColumn">
                <anchor moveWithCells="1">
                  <from>
                    <xdr:col>13</xdr:col>
                    <xdr:colOff>47625</xdr:colOff>
                    <xdr:row>0</xdr:row>
                    <xdr:rowOff>133350</xdr:rowOff>
                  </from>
                  <to>
                    <xdr:col>13</xdr:col>
                    <xdr:colOff>561975</xdr:colOff>
                    <xdr:row>1</xdr:row>
                    <xdr:rowOff>19050</xdr:rowOff>
                  </to>
                </anchor>
              </controlPr>
            </control>
          </mc:Choice>
        </mc:AlternateContent>
        <mc:AlternateContent xmlns:mc="http://schemas.openxmlformats.org/markup-compatibility/2006">
          <mc:Choice Requires="x14">
            <control shapeId="73747" r:id="rId17" name="Button 19">
              <controlPr defaultSize="0" print="0" autoFill="0" autoPict="0" macro="[0]!DeleteColumn">
                <anchor moveWithCells="1">
                  <from>
                    <xdr:col>13</xdr:col>
                    <xdr:colOff>600075</xdr:colOff>
                    <xdr:row>0</xdr:row>
                    <xdr:rowOff>133350</xdr:rowOff>
                  </from>
                  <to>
                    <xdr:col>13</xdr:col>
                    <xdr:colOff>1143000</xdr:colOff>
                    <xdr:row>1</xdr:row>
                    <xdr:rowOff>19050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274746E1-CE1B-4F0C-A1EA-6AC48E774CDD}">
            <xm:f>Security!$A$1="NO VBA"</xm:f>
            <x14:dxf>
              <font>
                <color theme="0"/>
              </font>
              <border>
                <vertical/>
                <horizontal/>
              </border>
            </x14:dxf>
          </x14:cfRule>
          <xm:sqref>A1:XFD26 A28:M28 A27:C27 E27:XFD27 B47:N1048576 A29:A1048576 O28:XFD1048576 B46:C46 B44:D45 E44:N46 D29:D46 B29:N43</xm:sqref>
        </x14:conditionalFormatting>
        <x14:conditionalFormatting xmlns:xm="http://schemas.microsoft.com/office/excel/2006/main">
          <x14:cfRule type="expression" priority="5" id="{9DAC5F7E-5B7C-4429-91C7-9140CCF634E9}">
            <xm:f>Security!$A$1="NO VBA"</xm:f>
            <x14:dxf>
              <font>
                <color theme="0"/>
              </font>
              <border>
                <vertical/>
                <horizontal/>
              </border>
            </x14:dxf>
          </x14:cfRule>
          <xm:sqref>N28</xm:sqref>
        </x14:conditionalFormatting>
        <x14:conditionalFormatting xmlns:xm="http://schemas.microsoft.com/office/excel/2006/main">
          <x14:cfRule type="expression" priority="2" id="{23BEFBDB-8263-44BB-B558-EE99651F3DF0}">
            <xm:f>Security!$A$1="NO VBA"</xm:f>
            <x14:dxf>
              <font>
                <color theme="0"/>
              </font>
              <border>
                <vertical/>
                <horizontal/>
              </border>
            </x14:dxf>
          </x14:cfRule>
          <xm:sqref>D27</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14201-90C4-4DA6-87E3-BAA69FE75149}">
  <sheetPr codeName="Sheet30">
    <tabColor theme="7"/>
    <outlinePr summaryBelow="0"/>
  </sheetPr>
  <dimension ref="B1:X17"/>
  <sheetViews>
    <sheetView showGridLines="0" workbookViewId="0">
      <selection activeCell="C27" sqref="C27"/>
    </sheetView>
  </sheetViews>
  <sheetFormatPr defaultRowHeight="18" customHeight="1" outlineLevelRow="1" outlineLevelCol="1" x14ac:dyDescent="0.15"/>
  <cols>
    <col min="1" max="1" width="9.625" style="7" customWidth="1"/>
    <col min="2" max="2" width="5.375" style="28" bestFit="1" customWidth="1"/>
    <col min="3" max="3" width="15.875" style="28" bestFit="1" customWidth="1"/>
    <col min="4" max="4" width="8.875" style="7" bestFit="1" customWidth="1"/>
    <col min="5" max="5" width="8.125" style="7" bestFit="1" customWidth="1"/>
    <col min="6" max="6" width="28.25" style="7" bestFit="1" customWidth="1"/>
    <col min="7" max="7" width="13.25" style="7" customWidth="1"/>
    <col min="8" max="8" width="7.625" style="44" bestFit="1" customWidth="1"/>
    <col min="9" max="9" width="7.125" style="7" bestFit="1" customWidth="1"/>
    <col min="10" max="10" width="15.75" style="7" customWidth="1"/>
    <col min="11" max="11" width="12.375" style="7" customWidth="1" outlineLevel="1"/>
    <col min="12" max="12" width="6.75" style="7" bestFit="1" customWidth="1"/>
    <col min="13" max="16384" width="9" style="7"/>
  </cols>
  <sheetData>
    <row r="1" spans="2:24" s="46" customFormat="1" ht="27" customHeight="1" x14ac:dyDescent="0.3">
      <c r="B1" s="299">
        <v>0</v>
      </c>
      <c r="C1" s="299">
        <f t="shared" ref="C1:K1" si="0">+B1+1</f>
        <v>1</v>
      </c>
      <c r="D1" s="299">
        <f t="shared" si="0"/>
        <v>2</v>
      </c>
      <c r="E1" s="299">
        <f t="shared" si="0"/>
        <v>3</v>
      </c>
      <c r="F1" s="299">
        <f t="shared" si="0"/>
        <v>4</v>
      </c>
      <c r="G1" s="299">
        <f t="shared" si="0"/>
        <v>5</v>
      </c>
      <c r="H1" s="299">
        <f t="shared" si="0"/>
        <v>6</v>
      </c>
      <c r="I1" s="299">
        <f t="shared" si="0"/>
        <v>7</v>
      </c>
      <c r="J1" s="299">
        <f t="shared" si="0"/>
        <v>8</v>
      </c>
      <c r="K1" s="299">
        <f t="shared" si="0"/>
        <v>9</v>
      </c>
      <c r="L1" s="299"/>
      <c r="M1" s="299"/>
      <c r="N1" s="299"/>
      <c r="O1" s="299"/>
      <c r="P1" s="299"/>
      <c r="Q1" s="299"/>
    </row>
    <row r="2" spans="2:24" s="21" customFormat="1" ht="18" customHeight="1" collapsed="1" x14ac:dyDescent="0.3">
      <c r="B2" s="246"/>
      <c r="C2" s="246"/>
      <c r="D2" s="247"/>
      <c r="E2" s="247"/>
      <c r="F2" s="247"/>
      <c r="G2" s="247"/>
      <c r="H2" s="247"/>
      <c r="I2" s="247"/>
      <c r="J2" s="247"/>
      <c r="K2" s="247"/>
      <c r="L2" s="247"/>
      <c r="M2" s="247"/>
      <c r="N2" s="247"/>
      <c r="O2" s="247"/>
      <c r="P2" s="247"/>
      <c r="Q2" s="247"/>
    </row>
    <row r="3" spans="2:24" s="21" customFormat="1" ht="18" hidden="1" customHeight="1" outlineLevel="1" collapsed="1" x14ac:dyDescent="0.3">
      <c r="B3" s="246"/>
      <c r="C3" s="246"/>
      <c r="D3" s="247"/>
      <c r="E3" s="7" t="s">
        <v>638</v>
      </c>
      <c r="F3" s="7" t="s">
        <v>777</v>
      </c>
      <c r="G3" s="240"/>
      <c r="H3" s="247"/>
      <c r="I3" s="247"/>
      <c r="J3" s="247"/>
      <c r="K3" s="247"/>
      <c r="L3" s="247"/>
      <c r="M3" s="247"/>
      <c r="N3" s="247"/>
      <c r="O3" s="247"/>
      <c r="P3" s="247"/>
      <c r="Q3" s="247"/>
    </row>
    <row r="4" spans="2:24" s="21" customFormat="1" ht="18" hidden="1" customHeight="1" outlineLevel="1" x14ac:dyDescent="0.3">
      <c r="B4" s="246"/>
      <c r="C4" s="246"/>
      <c r="D4" s="247"/>
      <c r="E4" s="240">
        <f t="shared" ref="E4:E12" si="1">IFERROR(E3+1,1)</f>
        <v>1</v>
      </c>
      <c r="F4" s="7" t="s">
        <v>417</v>
      </c>
      <c r="G4" s="240"/>
      <c r="H4" s="247"/>
      <c r="I4" s="247"/>
      <c r="J4" s="247"/>
      <c r="K4" s="247"/>
      <c r="L4" s="247"/>
      <c r="M4" s="247"/>
      <c r="N4" s="247"/>
      <c r="O4" s="247"/>
      <c r="P4" s="247"/>
      <c r="Q4" s="247"/>
    </row>
    <row r="5" spans="2:24" s="21" customFormat="1" ht="18" hidden="1" customHeight="1" outlineLevel="1" x14ac:dyDescent="0.3">
      <c r="B5" s="246"/>
      <c r="C5" s="246"/>
      <c r="D5" s="247"/>
      <c r="E5" s="240">
        <f t="shared" si="1"/>
        <v>2</v>
      </c>
      <c r="F5" s="7" t="s">
        <v>418</v>
      </c>
      <c r="G5" s="240"/>
      <c r="H5" s="247"/>
      <c r="I5" s="247"/>
      <c r="J5" s="247"/>
      <c r="K5" s="247"/>
      <c r="L5" s="247"/>
      <c r="M5" s="247"/>
      <c r="N5" s="247"/>
      <c r="O5" s="247"/>
      <c r="P5" s="247"/>
      <c r="Q5" s="247"/>
    </row>
    <row r="6" spans="2:24" s="21" customFormat="1" ht="18" hidden="1" customHeight="1" outlineLevel="1" x14ac:dyDescent="0.3">
      <c r="B6" s="246"/>
      <c r="C6" s="246"/>
      <c r="D6" s="247"/>
      <c r="E6" s="240">
        <f t="shared" si="1"/>
        <v>3</v>
      </c>
      <c r="F6" s="7" t="s">
        <v>419</v>
      </c>
      <c r="G6" s="240"/>
      <c r="H6" s="247"/>
      <c r="I6" s="247"/>
      <c r="J6" s="247"/>
      <c r="K6" s="247"/>
      <c r="L6" s="247"/>
      <c r="M6" s="247"/>
      <c r="N6" s="247"/>
      <c r="O6" s="247"/>
      <c r="P6" s="247"/>
      <c r="Q6" s="247"/>
    </row>
    <row r="7" spans="2:24" s="21" customFormat="1" ht="18" hidden="1" customHeight="1" outlineLevel="1" x14ac:dyDescent="0.3">
      <c r="B7" s="246"/>
      <c r="C7" s="246"/>
      <c r="D7" s="247"/>
      <c r="E7" s="240">
        <f t="shared" si="1"/>
        <v>4</v>
      </c>
      <c r="F7" s="7" t="s">
        <v>421</v>
      </c>
      <c r="G7" s="240"/>
      <c r="H7" s="247"/>
      <c r="I7" s="247"/>
      <c r="J7" s="247"/>
      <c r="K7" s="247"/>
      <c r="L7" s="247"/>
      <c r="M7" s="247"/>
      <c r="N7" s="247"/>
      <c r="O7" s="247"/>
      <c r="P7" s="247"/>
      <c r="Q7" s="247"/>
    </row>
    <row r="8" spans="2:24" s="21" customFormat="1" ht="18" hidden="1" customHeight="1" outlineLevel="1" x14ac:dyDescent="0.3">
      <c r="B8" s="246"/>
      <c r="C8" s="246"/>
      <c r="D8" s="247"/>
      <c r="E8" s="240">
        <f t="shared" si="1"/>
        <v>5</v>
      </c>
      <c r="F8" s="7" t="s">
        <v>424</v>
      </c>
      <c r="G8" s="240"/>
      <c r="H8" s="247"/>
      <c r="I8" s="247"/>
      <c r="J8" s="247"/>
      <c r="K8" s="247"/>
      <c r="L8" s="247"/>
      <c r="M8" s="247"/>
      <c r="N8" s="247"/>
      <c r="O8" s="247"/>
      <c r="P8" s="247"/>
      <c r="Q8" s="247"/>
    </row>
    <row r="9" spans="2:24" s="21" customFormat="1" ht="18" hidden="1" customHeight="1" outlineLevel="1" x14ac:dyDescent="0.3">
      <c r="B9" s="246"/>
      <c r="C9" s="246"/>
      <c r="D9" s="247"/>
      <c r="E9" s="240">
        <f t="shared" si="1"/>
        <v>6</v>
      </c>
      <c r="F9" s="7" t="s">
        <v>426</v>
      </c>
      <c r="G9" s="240"/>
      <c r="H9" s="247"/>
      <c r="I9" s="247"/>
      <c r="J9" s="247"/>
      <c r="K9" s="247"/>
      <c r="L9" s="247"/>
      <c r="M9" s="247"/>
      <c r="N9" s="247"/>
      <c r="O9" s="247"/>
      <c r="P9" s="247"/>
      <c r="Q9" s="247"/>
    </row>
    <row r="10" spans="2:24" s="21" customFormat="1" ht="18" hidden="1" customHeight="1" outlineLevel="1" x14ac:dyDescent="0.3">
      <c r="B10" s="246"/>
      <c r="C10" s="246"/>
      <c r="D10" s="247"/>
      <c r="E10" s="240">
        <f t="shared" si="1"/>
        <v>7</v>
      </c>
      <c r="F10" s="7" t="s">
        <v>428</v>
      </c>
      <c r="G10" s="240"/>
      <c r="H10" s="247"/>
      <c r="I10" s="247"/>
      <c r="J10" s="247"/>
      <c r="K10" s="247"/>
      <c r="L10" s="247"/>
      <c r="M10" s="247"/>
      <c r="N10" s="247"/>
      <c r="O10" s="247"/>
      <c r="P10" s="247"/>
      <c r="Q10" s="247"/>
    </row>
    <row r="11" spans="2:24" s="21" customFormat="1" ht="18" hidden="1" customHeight="1" outlineLevel="1" x14ac:dyDescent="0.3">
      <c r="B11" s="246"/>
      <c r="C11" s="246"/>
      <c r="D11" s="247"/>
      <c r="E11" s="240">
        <f t="shared" si="1"/>
        <v>8</v>
      </c>
      <c r="F11" s="7" t="s">
        <v>430</v>
      </c>
      <c r="G11" s="240"/>
      <c r="H11" s="247"/>
      <c r="I11" s="247"/>
      <c r="J11" s="247"/>
      <c r="K11" s="247"/>
      <c r="L11" s="247"/>
      <c r="M11" s="247"/>
      <c r="N11" s="247"/>
      <c r="O11" s="247"/>
      <c r="P11" s="247"/>
      <c r="Q11" s="247"/>
    </row>
    <row r="12" spans="2:24" s="21" customFormat="1" ht="18" hidden="1" customHeight="1" outlineLevel="1" x14ac:dyDescent="0.3">
      <c r="B12" s="246"/>
      <c r="C12" s="246"/>
      <c r="D12" s="247"/>
      <c r="E12" s="240">
        <f t="shared" si="1"/>
        <v>9</v>
      </c>
      <c r="F12" s="7" t="s">
        <v>414</v>
      </c>
      <c r="G12" s="240"/>
      <c r="H12" s="247"/>
      <c r="I12" s="247"/>
      <c r="J12" s="247"/>
      <c r="K12" s="247"/>
      <c r="L12" s="247"/>
      <c r="M12" s="247"/>
      <c r="N12" s="247"/>
      <c r="O12" s="247"/>
      <c r="P12" s="247"/>
      <c r="Q12" s="247"/>
    </row>
    <row r="13" spans="2:24" s="21" customFormat="1" ht="18" hidden="1" customHeight="1" outlineLevel="1" x14ac:dyDescent="0.3">
      <c r="B13" s="246"/>
      <c r="C13" s="246"/>
      <c r="D13" s="247"/>
      <c r="E13" s="7" t="s">
        <v>280</v>
      </c>
      <c r="F13" s="240"/>
      <c r="G13" s="240"/>
      <c r="H13" s="247"/>
      <c r="I13" s="247"/>
      <c r="J13" s="247"/>
      <c r="K13" s="247"/>
      <c r="L13" s="247"/>
      <c r="M13" s="247"/>
      <c r="N13" s="247"/>
      <c r="O13" s="247"/>
      <c r="P13" s="247"/>
      <c r="Q13" s="247"/>
    </row>
    <row r="14" spans="2:24" s="21" customFormat="1" ht="18" customHeight="1" x14ac:dyDescent="0.3">
      <c r="B14" s="246"/>
      <c r="C14" s="246"/>
      <c r="D14" s="247"/>
      <c r="E14" s="240"/>
      <c r="F14" s="240"/>
      <c r="G14" s="240"/>
      <c r="H14" s="247"/>
      <c r="I14" s="247"/>
      <c r="J14" s="247"/>
      <c r="K14" s="247"/>
      <c r="L14" s="247"/>
      <c r="M14" s="247"/>
      <c r="N14" s="247"/>
      <c r="O14" s="247"/>
      <c r="P14" s="247"/>
      <c r="Q14" s="247"/>
    </row>
    <row r="15" spans="2:24" s="21" customFormat="1" ht="18" customHeight="1" x14ac:dyDescent="0.3">
      <c r="B15" s="248">
        <v>1</v>
      </c>
      <c r="C15" s="51" t="str">
        <f>CONCATENATE(E15,"-",H15,"-",MOD(YEAR(D15),100)*10000+MONTH(D15)*100+DAY(D15),"-",B15)</f>
        <v>--100-1</v>
      </c>
      <c r="D15" s="393"/>
      <c r="E15" s="249"/>
      <c r="F15" s="249"/>
      <c r="G15" s="249"/>
      <c r="H15" s="243"/>
      <c r="I15" s="249"/>
      <c r="J15" s="391"/>
      <c r="K15" s="266">
        <f>IFERROR(
VLOOKUP(H15,Table_VayNo[],COUNTA(Table_VayNo[[#Headers],[Mã khoản vay]:[Kết thúc trả gốc]]),0),
IFERROR(
VLOOKUP(H15,Table_DauTu[],COUNTA(Table_DauTu[[#Headers],[Mã khoản đầu tư]:[Kỳ đáo hạn]]),0),
0))</f>
        <v>0</v>
      </c>
      <c r="L15" s="245"/>
      <c r="M15" s="247" cm="1">
        <f t="array" aca="1" ref="M15:X15" ca="1" xml:space="preserve">
IF(ISBLANK(G15),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IF(G15="Khách hàng",TRANSPOSE(_xlfn._xlws.SORT(Table_KhachHang[Mã KH])),
IF(G15="NSNN", TRANSPOSE(_xlfn._xlws.SORT(Table_NopNS_NganSach[Loại thuế])),
TRANSPOSE(_xlfn._xlws.SORT(_xlfn._xlws.FILTER(Table_NhaCungCap[Mã Đối tác],Table_NhaCungCap[Loại đối tác]=G15,""
))))))</f>
        <v>0</v>
      </c>
      <c r="N15" s="247">
        <f ca="1"/>
        <v>0</v>
      </c>
      <c r="O15" s="247" t="str">
        <f ca="1"/>
        <v>TS1</v>
      </c>
      <c r="P15" s="247" t="str">
        <f ca="1"/>
        <v>TS2</v>
      </c>
      <c r="Q15" s="247" t="str">
        <f ca="1"/>
        <v>TS3</v>
      </c>
      <c r="R15" s="21" t="str">
        <f ca="1"/>
        <v>TS4</v>
      </c>
      <c r="S15" s="21" t="str">
        <f ca="1"/>
        <v>TS5</v>
      </c>
      <c r="T15" s="21" t="str">
        <f ca="1"/>
        <v>TS6</v>
      </c>
      <c r="U15" s="21" t="str">
        <f ca="1"/>
        <v>VAY1</v>
      </c>
      <c r="V15" s="21" t="str">
        <f ca="1"/>
        <v>VAY2</v>
      </c>
      <c r="W15" s="21" t="str">
        <f ca="1"/>
        <v>VAY3</v>
      </c>
      <c r="X15" s="21" t="str">
        <f ca="1"/>
        <v>VAY4</v>
      </c>
    </row>
    <row r="16" spans="2:24" ht="18" customHeight="1" x14ac:dyDescent="0.3">
      <c r="B16" s="7" t="s">
        <v>638</v>
      </c>
      <c r="C16" s="7" t="s">
        <v>769</v>
      </c>
      <c r="D16" s="7" t="s">
        <v>770</v>
      </c>
      <c r="E16" s="7" t="s">
        <v>771</v>
      </c>
      <c r="F16" s="7" t="s">
        <v>767</v>
      </c>
      <c r="G16" s="46" t="s">
        <v>556</v>
      </c>
      <c r="H16" s="7" t="s">
        <v>551</v>
      </c>
      <c r="I16" s="7" t="s">
        <v>772</v>
      </c>
      <c r="J16" s="7" t="s">
        <v>773</v>
      </c>
      <c r="K16" s="7" t="s">
        <v>778</v>
      </c>
      <c r="L16" s="7" t="s">
        <v>873</v>
      </c>
      <c r="M16" s="240"/>
      <c r="N16" s="240"/>
      <c r="O16" s="240"/>
      <c r="P16" s="240"/>
      <c r="Q16" s="240"/>
    </row>
    <row r="17" spans="2:17" ht="18" customHeight="1" x14ac:dyDescent="0.3">
      <c r="B17" s="248">
        <v>1</v>
      </c>
      <c r="C17" s="51" t="str">
        <f>CONCATENATE(E17,"-",H17,"-",MOD(YEAR(D17),100)*10000+MONTH(D17)*100+DAY(D17),"-",B17)</f>
        <v>--100-1</v>
      </c>
      <c r="D17" s="392"/>
      <c r="E17" s="249"/>
      <c r="F17" s="249"/>
      <c r="G17" s="249"/>
      <c r="H17" s="243"/>
      <c r="I17" s="249"/>
      <c r="J17" s="390"/>
      <c r="K17" s="267">
        <f>IFERROR(
VLOOKUP(Table_ThuChiTC[[#This Row],[Đối tác]],Table_VayNo[],COUNTA(Table_VayNo[[#Headers],[Mã khoản vay]:[Kết thúc trả gốc]]),0),
IFERROR(
VLOOKUP(Table_ThuChiTC[[#This Row],[Đối tác]],Table_DauTu[],COUNTA(Table_DauTu[[#Headers],[Mã khoản đầu tư]:[Kỳ đáo hạn]]),0),
0))</f>
        <v>0</v>
      </c>
      <c r="L17" s="245"/>
      <c r="M17" s="240"/>
      <c r="N17" s="240"/>
      <c r="O17" s="240"/>
      <c r="P17" s="240"/>
      <c r="Q17" s="240"/>
    </row>
  </sheetData>
  <sheetProtection algorithmName="SHA-512" hashValue="gs3NgoD9XQ6oBmd2Bza2QoqTMY6McUK6EtCNHsIGWmQB50lRPL6XdTKMK7yDA9htMhSQr83A3HFcKMJ0f0SF9A==" saltValue="ZxXVzgmQ3onnPcLHnASguQ==" spinCount="100000" sheet="1" scenarios="1" formatCells="0" formatColumns="0" formatRows="0" insertColumns="0" insertRows="0" deleteColumns="0" deleteRows="0" sort="0" autoFilter="0" pivotTables="0"/>
  <protectedRanges>
    <protectedRange sqref="F4:G11 E4:E12 E3:G3 E13:G15 E16:F16 B3:D16 A1:XFD2 B17:F17 H3:XFD17 B18:E1048576 G18:XFD1048576 F18:F27 F29:F1048576" name="Range1"/>
    <protectedRange sqref="G16:G17" name="Range1_1"/>
  </protectedRanges>
  <phoneticPr fontId="14" type="noConversion"/>
  <conditionalFormatting sqref="C15 C17">
    <cfRule type="expression" dxfId="290" priority="304">
      <formula>MATCH($C$15,$C$17:$C$17,0)</formula>
    </cfRule>
  </conditionalFormatting>
  <dataValidations count="6">
    <dataValidation type="list" allowBlank="1" showInputMessage="1" showErrorMessage="1" sqref="F15 F17" xr:uid="{7BD14260-CE8A-431D-AA13-AD390F78D5B5}">
      <formula1>NoiDungGDTC</formula1>
    </dataValidation>
    <dataValidation type="list" allowBlank="1" showInputMessage="1" showErrorMessage="1" sqref="I15" xr:uid="{77763F36-75D3-4CEF-A9C0-23C00DB57646}">
      <formula1>MaTaiKhoan</formula1>
    </dataValidation>
    <dataValidation type="list" allowBlank="1" showInputMessage="1" showErrorMessage="1" sqref="E15 E17" xr:uid="{59E0E294-86FB-40FE-9F58-31EBFD02AB2C}">
      <formula1>"THU, CHI"</formula1>
    </dataValidation>
    <dataValidation type="list" errorStyle="warning" allowBlank="1" showInputMessage="1" showErrorMessage="1" sqref="H15" xr:uid="{0B38104B-588A-410D-B1C2-685C88F12DA2}">
      <formula1>_xlfn.ANCHORARRAY($M$15)</formula1>
    </dataValidation>
    <dataValidation type="list" errorStyle="warning" allowBlank="1" showInputMessage="1" sqref="I17" xr:uid="{140E447E-3498-4837-87CE-7AE010FF3D57}">
      <formula1>MaTaiKhoan</formula1>
    </dataValidation>
    <dataValidation type="list" errorStyle="warning" allowBlank="1" showInputMessage="1" sqref="H17" xr:uid="{682C8A14-4A8B-464E-B608-311EC84A47AC}">
      <formula1>_xlfn.ANCHORARRAY($M$15)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9" r:id="rId4" name="Option Button 7">
              <controlPr defaultSize="0" autoFill="0" autoLine="0" autoPict="0" macro="[0]!DoiDonViHienThi">
                <anchor moveWithCells="1">
                  <from>
                    <xdr:col>3</xdr:col>
                    <xdr:colOff>257175</xdr:colOff>
                    <xdr:row>0</xdr:row>
                    <xdr:rowOff>152400</xdr:rowOff>
                  </from>
                  <to>
                    <xdr:col>4</xdr:col>
                    <xdr:colOff>171450</xdr:colOff>
                    <xdr:row>1</xdr:row>
                    <xdr:rowOff>85725</xdr:rowOff>
                  </to>
                </anchor>
              </controlPr>
            </control>
          </mc:Choice>
        </mc:AlternateContent>
        <mc:AlternateContent xmlns:mc="http://schemas.openxmlformats.org/markup-compatibility/2006">
          <mc:Choice Requires="x14">
            <control shapeId="74760" r:id="rId5" name="Option Button 8">
              <controlPr defaultSize="0" autoFill="0" autoLine="0" autoPict="0" macro="[0]!DoiDonViHienThi">
                <anchor moveWithCells="1">
                  <from>
                    <xdr:col>4</xdr:col>
                    <xdr:colOff>47625</xdr:colOff>
                    <xdr:row>0</xdr:row>
                    <xdr:rowOff>152400</xdr:rowOff>
                  </from>
                  <to>
                    <xdr:col>5</xdr:col>
                    <xdr:colOff>19050</xdr:colOff>
                    <xdr:row>1</xdr:row>
                    <xdr:rowOff>85725</xdr:rowOff>
                  </to>
                </anchor>
              </controlPr>
            </control>
          </mc:Choice>
        </mc:AlternateContent>
        <mc:AlternateContent xmlns:mc="http://schemas.openxmlformats.org/markup-compatibility/2006">
          <mc:Choice Requires="x14">
            <control shapeId="74761" r:id="rId6" name="Option Button 9">
              <controlPr defaultSize="0" autoFill="0" autoLine="0" autoPict="0" macro="[0]!DoiDonViHienThi">
                <anchor moveWithCells="1">
                  <from>
                    <xdr:col>4</xdr:col>
                    <xdr:colOff>514350</xdr:colOff>
                    <xdr:row>0</xdr:row>
                    <xdr:rowOff>152400</xdr:rowOff>
                  </from>
                  <to>
                    <xdr:col>5</xdr:col>
                    <xdr:colOff>485775</xdr:colOff>
                    <xdr:row>1</xdr:row>
                    <xdr:rowOff>85725</xdr:rowOff>
                  </to>
                </anchor>
              </controlPr>
            </control>
          </mc:Choice>
        </mc:AlternateContent>
        <mc:AlternateContent xmlns:mc="http://schemas.openxmlformats.org/markup-compatibility/2006">
          <mc:Choice Requires="x14">
            <control shapeId="74762" r:id="rId7" name="Option Button 10">
              <controlPr defaultSize="0" autoFill="0" autoLine="0" autoPict="0" macro="[0]!DoiDonViHienThi">
                <anchor moveWithCells="1">
                  <from>
                    <xdr:col>5</xdr:col>
                    <xdr:colOff>371475</xdr:colOff>
                    <xdr:row>0</xdr:row>
                    <xdr:rowOff>152400</xdr:rowOff>
                  </from>
                  <to>
                    <xdr:col>5</xdr:col>
                    <xdr:colOff>723900</xdr:colOff>
                    <xdr:row>1</xdr:row>
                    <xdr:rowOff>85725</xdr:rowOff>
                  </to>
                </anchor>
              </controlPr>
            </control>
          </mc:Choice>
        </mc:AlternateContent>
        <mc:AlternateContent xmlns:mc="http://schemas.openxmlformats.org/markup-compatibility/2006">
          <mc:Choice Requires="x14">
            <control shapeId="74763" r:id="rId8" name="Group Box 11">
              <controlPr defaultSize="0" autoFill="0" autoPict="0">
                <anchor moveWithCells="1">
                  <from>
                    <xdr:col>3</xdr:col>
                    <xdr:colOff>142875</xdr:colOff>
                    <xdr:row>0</xdr:row>
                    <xdr:rowOff>104775</xdr:rowOff>
                  </from>
                  <to>
                    <xdr:col>5</xdr:col>
                    <xdr:colOff>838200</xdr:colOff>
                    <xdr:row>1</xdr:row>
                    <xdr:rowOff>123825</xdr:rowOff>
                  </to>
                </anchor>
              </controlPr>
            </control>
          </mc:Choice>
        </mc:AlternateContent>
        <mc:AlternateContent xmlns:mc="http://schemas.openxmlformats.org/markup-compatibility/2006">
          <mc:Choice Requires="x14">
            <control shapeId="74764" r:id="rId9" name="Group Box 12">
              <controlPr defaultSize="0" autoFill="0" autoPict="0">
                <anchor moveWithCells="1">
                  <from>
                    <xdr:col>1</xdr:col>
                    <xdr:colOff>57150</xdr:colOff>
                    <xdr:row>0</xdr:row>
                    <xdr:rowOff>104775</xdr:rowOff>
                  </from>
                  <to>
                    <xdr:col>3</xdr:col>
                    <xdr:colOff>95250</xdr:colOff>
                    <xdr:row>1</xdr:row>
                    <xdr:rowOff>123825</xdr:rowOff>
                  </to>
                </anchor>
              </controlPr>
            </control>
          </mc:Choice>
        </mc:AlternateContent>
        <mc:AlternateContent xmlns:mc="http://schemas.openxmlformats.org/markup-compatibility/2006">
          <mc:Choice Requires="x14">
            <control shapeId="74765" r:id="rId10" name="Button 13">
              <controlPr defaultSize="0" autoFill="0" autoPict="0" macro="[0]!NhanNghin">
                <anchor moveWithCells="1">
                  <from>
                    <xdr:col>1</xdr:col>
                    <xdr:colOff>142875</xdr:colOff>
                    <xdr:row>0</xdr:row>
                    <xdr:rowOff>200025</xdr:rowOff>
                  </from>
                  <to>
                    <xdr:col>2</xdr:col>
                    <xdr:colOff>200025</xdr:colOff>
                    <xdr:row>1</xdr:row>
                    <xdr:rowOff>28575</xdr:rowOff>
                  </to>
                </anchor>
              </controlPr>
            </control>
          </mc:Choice>
        </mc:AlternateContent>
        <mc:AlternateContent xmlns:mc="http://schemas.openxmlformats.org/markup-compatibility/2006">
          <mc:Choice Requires="x14">
            <control shapeId="74766" r:id="rId11" name="Button 14">
              <controlPr defaultSize="0" autoFill="0" autoPict="0" macro="[0]!NhanTrieu">
                <anchor moveWithCells="1">
                  <from>
                    <xdr:col>2</xdr:col>
                    <xdr:colOff>247650</xdr:colOff>
                    <xdr:row>0</xdr:row>
                    <xdr:rowOff>200025</xdr:rowOff>
                  </from>
                  <to>
                    <xdr:col>2</xdr:col>
                    <xdr:colOff>714375</xdr:colOff>
                    <xdr:row>1</xdr:row>
                    <xdr:rowOff>28575</xdr:rowOff>
                  </to>
                </anchor>
              </controlPr>
            </control>
          </mc:Choice>
        </mc:AlternateContent>
        <mc:AlternateContent xmlns:mc="http://schemas.openxmlformats.org/markup-compatibility/2006">
          <mc:Choice Requires="x14">
            <control shapeId="74767" r:id="rId12" name="Button 15">
              <controlPr defaultSize="0" autoFill="0" autoPict="0" macro="[0]!NhanTy">
                <anchor moveWithCells="1">
                  <from>
                    <xdr:col>2</xdr:col>
                    <xdr:colOff>762000</xdr:colOff>
                    <xdr:row>0</xdr:row>
                    <xdr:rowOff>200025</xdr:rowOff>
                  </from>
                  <to>
                    <xdr:col>3</xdr:col>
                    <xdr:colOff>19050</xdr:colOff>
                    <xdr:row>1</xdr:row>
                    <xdr:rowOff>28575</xdr:rowOff>
                  </to>
                </anchor>
              </controlPr>
            </control>
          </mc:Choice>
        </mc:AlternateContent>
        <mc:AlternateContent xmlns:mc="http://schemas.openxmlformats.org/markup-compatibility/2006">
          <mc:Choice Requires="x14">
            <control shapeId="74758" r:id="rId13" name="Button 6">
              <controlPr defaultSize="0" print="0" autoFill="0" autoPict="0" macro="[0]!CopyToTable">
                <anchor moveWithCells="1">
                  <from>
                    <xdr:col>11</xdr:col>
                    <xdr:colOff>66675</xdr:colOff>
                    <xdr:row>13</xdr:row>
                    <xdr:rowOff>200025</xdr:rowOff>
                  </from>
                  <to>
                    <xdr:col>12</xdr:col>
                    <xdr:colOff>95250</xdr:colOff>
                    <xdr:row>15</xdr:row>
                    <xdr:rowOff>0</xdr:rowOff>
                  </to>
                </anchor>
              </controlPr>
            </control>
          </mc:Choice>
        </mc:AlternateContent>
        <mc:AlternateContent xmlns:mc="http://schemas.openxmlformats.org/markup-compatibility/2006">
          <mc:Choice Requires="x14">
            <control shapeId="74768" r:id="rId14" name="Button 16">
              <controlPr defaultSize="0" print="0" autoFill="0" autoPict="0" macro="[0]!AddRow">
                <anchor moveWithCells="1">
                  <from>
                    <xdr:col>6</xdr:col>
                    <xdr:colOff>0</xdr:colOff>
                    <xdr:row>0</xdr:row>
                    <xdr:rowOff>0</xdr:rowOff>
                  </from>
                  <to>
                    <xdr:col>6</xdr:col>
                    <xdr:colOff>476250</xdr:colOff>
                    <xdr:row>0</xdr:row>
                    <xdr:rowOff>257175</xdr:rowOff>
                  </to>
                </anchor>
              </controlPr>
            </control>
          </mc:Choice>
        </mc:AlternateContent>
        <mc:AlternateContent xmlns:mc="http://schemas.openxmlformats.org/markup-compatibility/2006">
          <mc:Choice Requires="x14">
            <control shapeId="74769" r:id="rId15" name="Button 17">
              <controlPr defaultSize="0" print="0" autoFill="0" autoPict="0" macro="[0]!DeleteRow">
                <anchor moveWithCells="1">
                  <from>
                    <xdr:col>6</xdr:col>
                    <xdr:colOff>514350</xdr:colOff>
                    <xdr:row>0</xdr:row>
                    <xdr:rowOff>0</xdr:rowOff>
                  </from>
                  <to>
                    <xdr:col>6</xdr:col>
                    <xdr:colOff>990600</xdr:colOff>
                    <xdr:row>0</xdr:row>
                    <xdr:rowOff>257175</xdr:rowOff>
                  </to>
                </anchor>
              </controlPr>
            </control>
          </mc:Choice>
        </mc:AlternateContent>
        <mc:AlternateContent xmlns:mc="http://schemas.openxmlformats.org/markup-compatibility/2006">
          <mc:Choice Requires="x14">
            <control shapeId="74770" r:id="rId16" name="Button 18">
              <controlPr defaultSize="0" print="0" autoFill="0" autoPict="0" macro="[0]!AddColumn">
                <anchor moveWithCells="1">
                  <from>
                    <xdr:col>9</xdr:col>
                    <xdr:colOff>19050</xdr:colOff>
                    <xdr:row>0</xdr:row>
                    <xdr:rowOff>28575</xdr:rowOff>
                  </from>
                  <to>
                    <xdr:col>9</xdr:col>
                    <xdr:colOff>533400</xdr:colOff>
                    <xdr:row>0</xdr:row>
                    <xdr:rowOff>285750</xdr:rowOff>
                  </to>
                </anchor>
              </controlPr>
            </control>
          </mc:Choice>
        </mc:AlternateContent>
        <mc:AlternateContent xmlns:mc="http://schemas.openxmlformats.org/markup-compatibility/2006">
          <mc:Choice Requires="x14">
            <control shapeId="74771" r:id="rId17" name="Button 19">
              <controlPr defaultSize="0" print="0" autoFill="0" autoPict="0" macro="[0]!DeleteColumn">
                <anchor moveWithCells="1">
                  <from>
                    <xdr:col>9</xdr:col>
                    <xdr:colOff>571500</xdr:colOff>
                    <xdr:row>0</xdr:row>
                    <xdr:rowOff>28575</xdr:rowOff>
                  </from>
                  <to>
                    <xdr:col>9</xdr:col>
                    <xdr:colOff>1114425</xdr:colOff>
                    <xdr:row>0</xdr:row>
                    <xdr:rowOff>285750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167EB747-C0A8-43C0-AAC2-4EFF69272A44}">
            <xm:f>Security!$A$1="NO VBA"</xm:f>
            <x14:dxf>
              <font>
                <color theme="0"/>
              </font>
              <border>
                <vertical/>
                <horizontal/>
              </border>
            </x14:dxf>
          </x14:cfRule>
          <xm:sqref>A16:K16 M16:XFD16 A1:XFD15 A29:XFD1048576 A28:E28 G28:XFD28 A17:XFD27</xm:sqref>
        </x14:conditionalFormatting>
        <x14:conditionalFormatting xmlns:xm="http://schemas.microsoft.com/office/excel/2006/main">
          <x14:cfRule type="expression" priority="1" id="{EB40E1FF-1568-4E16-91AB-D1CEC9860920}">
            <xm:f>Security!$A$1="NO VBA"</xm:f>
            <x14:dxf>
              <font>
                <color theme="0"/>
              </font>
              <border>
                <vertical/>
                <horizontal/>
              </border>
            </x14:dxf>
          </x14:cfRule>
          <xm:sqref>L16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xr:uid="{2474270C-8C64-4953-9513-8BAA15CCDA6A}">
          <x14:formula1>
            <xm:f>Sheet_ThuChiKD!$G$14:$G$26</xm:f>
          </x14:formula1>
          <xm:sqref>G15</xm:sqref>
        </x14:dataValidation>
        <x14:dataValidation type="list" allowBlank="1" showInputMessage="1" showErrorMessage="1" xr:uid="{ABA54245-7BFB-4600-97D2-16E28DF204AE}">
          <x14:formula1>
            <xm:f>Sheet_ThuChiKD!$G$14:$G$26</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68C90-52DE-46D2-9009-508ABA00B5BE}">
  <sheetPr codeName="Sheet33">
    <tabColor theme="4"/>
  </sheetPr>
  <dimension ref="A3:I20"/>
  <sheetViews>
    <sheetView showGridLines="0" workbookViewId="0">
      <selection activeCell="B6" sqref="B6"/>
    </sheetView>
  </sheetViews>
  <sheetFormatPr defaultRowHeight="18" customHeight="1" x14ac:dyDescent="0.3"/>
  <cols>
    <col min="1" max="1" width="13.75" style="7" customWidth="1"/>
    <col min="2" max="2" width="9" style="38"/>
    <col min="3" max="3" width="12" style="7" bestFit="1" customWidth="1"/>
    <col min="4" max="4" width="12.375" style="7" bestFit="1" customWidth="1"/>
    <col min="5" max="5" width="13.125" style="7" bestFit="1" customWidth="1"/>
    <col min="6" max="6" width="13.125" style="7" customWidth="1"/>
    <col min="7" max="7" width="11.875" style="7" bestFit="1" customWidth="1"/>
    <col min="8" max="8" width="6.75" style="7" bestFit="1" customWidth="1"/>
    <col min="9" max="9" width="9.875" style="7" bestFit="1" customWidth="1"/>
    <col min="10" max="16384" width="9" style="7"/>
  </cols>
  <sheetData>
    <row r="3" spans="1:9" s="46" customFormat="1" ht="18" customHeight="1" x14ac:dyDescent="0.3">
      <c r="A3" s="299">
        <v>0</v>
      </c>
      <c r="B3" s="299">
        <f>+A3+1</f>
        <v>1</v>
      </c>
      <c r="C3" s="299">
        <f>+B3+1</f>
        <v>2</v>
      </c>
      <c r="D3" s="299">
        <f>+C3+1</f>
        <v>3</v>
      </c>
      <c r="E3" s="299">
        <f>+D3+1</f>
        <v>4</v>
      </c>
      <c r="F3" s="299">
        <v>5</v>
      </c>
      <c r="G3" s="299"/>
      <c r="H3" s="299"/>
      <c r="I3" s="299"/>
    </row>
    <row r="4" spans="1:9" ht="18" customHeight="1" x14ac:dyDescent="0.3">
      <c r="A4" s="240"/>
      <c r="B4" s="7" t="s">
        <v>794</v>
      </c>
      <c r="C4" s="7" t="s">
        <v>795</v>
      </c>
      <c r="D4" s="7" t="s">
        <v>796</v>
      </c>
      <c r="E4" s="7" t="s">
        <v>797</v>
      </c>
      <c r="F4" s="7" t="s">
        <v>883</v>
      </c>
      <c r="G4" s="7" t="s">
        <v>873</v>
      </c>
      <c r="H4" s="240"/>
      <c r="I4" s="240"/>
    </row>
    <row r="5" spans="1:9" ht="18" customHeight="1" x14ac:dyDescent="0.3">
      <c r="A5" s="240"/>
      <c r="B5" s="240" t="s">
        <v>1226</v>
      </c>
      <c r="C5" s="240"/>
      <c r="D5" s="240"/>
      <c r="E5" s="45"/>
      <c r="F5" s="15"/>
      <c r="G5" s="240"/>
      <c r="H5" s="240"/>
      <c r="I5" s="240"/>
    </row>
    <row r="6" spans="1:9" ht="18" customHeight="1" x14ac:dyDescent="0.3">
      <c r="A6" s="240"/>
      <c r="B6" s="241"/>
      <c r="C6" s="240"/>
      <c r="D6" s="240"/>
      <c r="E6" s="240"/>
      <c r="F6" s="240"/>
      <c r="G6" s="240"/>
      <c r="H6" s="240"/>
      <c r="I6" s="240"/>
    </row>
    <row r="7" spans="1:9" ht="18" customHeight="1" x14ac:dyDescent="0.3">
      <c r="A7" s="240"/>
      <c r="B7" s="241"/>
      <c r="C7" s="240"/>
      <c r="D7" s="240"/>
      <c r="E7" s="240"/>
      <c r="F7" s="240"/>
      <c r="G7" s="240"/>
      <c r="H7" s="240"/>
      <c r="I7" s="240"/>
    </row>
    <row r="8" spans="1:9" ht="18" customHeight="1" x14ac:dyDescent="0.3">
      <c r="A8" s="240"/>
      <c r="B8" s="241"/>
      <c r="C8" s="240"/>
      <c r="D8" s="240"/>
      <c r="E8" s="240"/>
      <c r="F8" s="240"/>
      <c r="G8" s="240"/>
      <c r="H8" s="240"/>
      <c r="I8" s="240"/>
    </row>
    <row r="9" spans="1:9" ht="18" customHeight="1" x14ac:dyDescent="0.3">
      <c r="A9" s="240"/>
      <c r="B9" s="241"/>
      <c r="C9" s="240"/>
      <c r="D9" s="240"/>
      <c r="E9" s="240"/>
      <c r="F9" s="240"/>
      <c r="G9" s="240"/>
      <c r="H9" s="240"/>
      <c r="I9" s="240"/>
    </row>
    <row r="10" spans="1:9" ht="18" customHeight="1" x14ac:dyDescent="0.3">
      <c r="A10" s="240"/>
      <c r="B10" s="241"/>
      <c r="C10" s="240"/>
      <c r="D10" s="240"/>
      <c r="E10" s="240"/>
      <c r="F10" s="240"/>
      <c r="G10" s="240"/>
      <c r="H10" s="240"/>
      <c r="I10" s="240"/>
    </row>
    <row r="11" spans="1:9" ht="18" customHeight="1" x14ac:dyDescent="0.3">
      <c r="A11" s="240"/>
      <c r="B11" s="241"/>
      <c r="C11" s="240"/>
      <c r="D11" s="240"/>
      <c r="E11" s="240"/>
      <c r="F11" s="240"/>
      <c r="G11" s="240"/>
      <c r="H11" s="240"/>
      <c r="I11" s="240"/>
    </row>
    <row r="12" spans="1:9" ht="18" customHeight="1" x14ac:dyDescent="0.3">
      <c r="A12" s="240"/>
      <c r="B12" s="241"/>
      <c r="C12" s="240"/>
      <c r="D12" s="240"/>
      <c r="E12" s="240"/>
      <c r="F12" s="240"/>
      <c r="G12" s="240"/>
      <c r="H12" s="240"/>
      <c r="I12" s="240"/>
    </row>
    <row r="13" spans="1:9" ht="18" customHeight="1" x14ac:dyDescent="0.3">
      <c r="A13" s="240"/>
      <c r="B13" s="241"/>
      <c r="C13" s="240"/>
      <c r="D13" s="240"/>
      <c r="E13" s="240"/>
      <c r="F13" s="240"/>
      <c r="G13" s="240"/>
      <c r="H13" s="240"/>
      <c r="I13" s="240"/>
    </row>
    <row r="14" spans="1:9" ht="18" customHeight="1" x14ac:dyDescent="0.3">
      <c r="A14" s="240"/>
      <c r="B14" s="241"/>
      <c r="C14" s="240"/>
      <c r="D14" s="240"/>
      <c r="E14" s="240"/>
      <c r="F14" s="240"/>
      <c r="G14" s="240"/>
      <c r="H14" s="240"/>
      <c r="I14" s="240"/>
    </row>
    <row r="15" spans="1:9" ht="18" customHeight="1" x14ac:dyDescent="0.3">
      <c r="A15" s="240"/>
      <c r="B15" s="241"/>
      <c r="C15" s="240"/>
      <c r="D15" s="240"/>
      <c r="E15" s="240"/>
      <c r="F15" s="240"/>
      <c r="G15" s="240"/>
      <c r="H15" s="240"/>
      <c r="I15" s="240"/>
    </row>
    <row r="16" spans="1:9" ht="18" customHeight="1" x14ac:dyDescent="0.3">
      <c r="B16" s="241"/>
      <c r="C16" s="240"/>
      <c r="D16" s="240"/>
      <c r="E16" s="240"/>
      <c r="F16" s="240"/>
      <c r="G16" s="240"/>
    </row>
    <row r="17" spans="2:7" ht="18" customHeight="1" x14ac:dyDescent="0.3">
      <c r="B17" s="241"/>
      <c r="C17" s="240"/>
      <c r="D17" s="240"/>
      <c r="E17" s="240"/>
      <c r="F17" s="240"/>
      <c r="G17" s="240"/>
    </row>
    <row r="18" spans="2:7" ht="18" customHeight="1" x14ac:dyDescent="0.3">
      <c r="B18" s="241"/>
      <c r="C18" s="240"/>
      <c r="D18" s="240"/>
      <c r="E18" s="240"/>
      <c r="F18" s="240"/>
      <c r="G18" s="240"/>
    </row>
    <row r="19" spans="2:7" ht="18" customHeight="1" x14ac:dyDescent="0.3">
      <c r="B19" s="241"/>
      <c r="C19" s="240"/>
      <c r="D19" s="240"/>
      <c r="E19" s="240"/>
      <c r="F19" s="240"/>
      <c r="G19" s="240"/>
    </row>
    <row r="20" spans="2:7" ht="18" customHeight="1" x14ac:dyDescent="0.3">
      <c r="B20" s="241"/>
      <c r="C20" s="240"/>
      <c r="D20" s="240"/>
      <c r="E20" s="240"/>
      <c r="F20" s="240"/>
      <c r="G20" s="240"/>
    </row>
  </sheetData>
  <sheetProtection algorithmName="SHA-512" hashValue="zqhVOlyzxUr/jFKYyVSNN2VoIrpMAQw9kHAvp/3V0f1/o3emtB3AttddM2BwZU7VflEJ8ieRwFjgeqDaiXUv9g==" saltValue="460w5VQKt6Ihp0eTLo3NTQ==" spinCount="100000" sheet="1" scenarios="1" formatCells="0" formatColumns="0" formatRows="0" insertColumns="0" insertRows="0" deleteColumns="0" deleteRows="0" sort="0" autoFilter="0" pivotTables="0"/>
  <protectedRanges>
    <protectedRange sqref="C4:F4 B3:XFD3 B4:B5 C5:G1048576 H4:XFD1048576 A3:A1048576"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35" r:id="rId3" name="Option Button 11">
              <controlPr defaultSize="0" autoFill="0" autoLine="0" autoPict="0" macro="[0]!DoiDonViHienThi">
                <anchor moveWithCells="1">
                  <from>
                    <xdr:col>3</xdr:col>
                    <xdr:colOff>276225</xdr:colOff>
                    <xdr:row>0</xdr:row>
                    <xdr:rowOff>152400</xdr:rowOff>
                  </from>
                  <to>
                    <xdr:col>3</xdr:col>
                    <xdr:colOff>866775</xdr:colOff>
                    <xdr:row>1</xdr:row>
                    <xdr:rowOff>200025</xdr:rowOff>
                  </to>
                </anchor>
              </controlPr>
            </control>
          </mc:Choice>
        </mc:AlternateContent>
        <mc:AlternateContent xmlns:mc="http://schemas.openxmlformats.org/markup-compatibility/2006">
          <mc:Choice Requires="x14">
            <control shapeId="77836" r:id="rId4" name="Option Button 12">
              <controlPr defaultSize="0" autoFill="0" autoLine="0" autoPict="0" macro="[0]!DoiDonViHienThi">
                <anchor moveWithCells="1">
                  <from>
                    <xdr:col>3</xdr:col>
                    <xdr:colOff>742950</xdr:colOff>
                    <xdr:row>0</xdr:row>
                    <xdr:rowOff>152400</xdr:rowOff>
                  </from>
                  <to>
                    <xdr:col>4</xdr:col>
                    <xdr:colOff>390525</xdr:colOff>
                    <xdr:row>1</xdr:row>
                    <xdr:rowOff>200025</xdr:rowOff>
                  </to>
                </anchor>
              </controlPr>
            </control>
          </mc:Choice>
        </mc:AlternateContent>
        <mc:AlternateContent xmlns:mc="http://schemas.openxmlformats.org/markup-compatibility/2006">
          <mc:Choice Requires="x14">
            <control shapeId="77837" r:id="rId5" name="Option Button 13">
              <controlPr defaultSize="0" autoFill="0" autoLine="0" autoPict="0" macro="[0]!DoiDonViHienThi">
                <anchor moveWithCells="1">
                  <from>
                    <xdr:col>4</xdr:col>
                    <xdr:colOff>266700</xdr:colOff>
                    <xdr:row>0</xdr:row>
                    <xdr:rowOff>152400</xdr:rowOff>
                  </from>
                  <to>
                    <xdr:col>4</xdr:col>
                    <xdr:colOff>857250</xdr:colOff>
                    <xdr:row>1</xdr:row>
                    <xdr:rowOff>200025</xdr:rowOff>
                  </to>
                </anchor>
              </controlPr>
            </control>
          </mc:Choice>
        </mc:AlternateContent>
        <mc:AlternateContent xmlns:mc="http://schemas.openxmlformats.org/markup-compatibility/2006">
          <mc:Choice Requires="x14">
            <control shapeId="77838" r:id="rId6" name="Option Button 14">
              <controlPr defaultSize="0" autoFill="0" autoLine="0" autoPict="0" macro="[0]!DoiDonViHienThi">
                <anchor moveWithCells="1">
                  <from>
                    <xdr:col>4</xdr:col>
                    <xdr:colOff>742950</xdr:colOff>
                    <xdr:row>0</xdr:row>
                    <xdr:rowOff>152400</xdr:rowOff>
                  </from>
                  <to>
                    <xdr:col>5</xdr:col>
                    <xdr:colOff>95250</xdr:colOff>
                    <xdr:row>1</xdr:row>
                    <xdr:rowOff>200025</xdr:rowOff>
                  </to>
                </anchor>
              </controlPr>
            </control>
          </mc:Choice>
        </mc:AlternateContent>
        <mc:AlternateContent xmlns:mc="http://schemas.openxmlformats.org/markup-compatibility/2006">
          <mc:Choice Requires="x14">
            <control shapeId="77839" r:id="rId7" name="Group Box 15">
              <controlPr defaultSize="0" autoFill="0" autoPict="0">
                <anchor moveWithCells="1">
                  <from>
                    <xdr:col>3</xdr:col>
                    <xdr:colOff>161925</xdr:colOff>
                    <xdr:row>0</xdr:row>
                    <xdr:rowOff>104775</xdr:rowOff>
                  </from>
                  <to>
                    <xdr:col>5</xdr:col>
                    <xdr:colOff>209550</xdr:colOff>
                    <xdr:row>2</xdr:row>
                    <xdr:rowOff>9525</xdr:rowOff>
                  </to>
                </anchor>
              </controlPr>
            </control>
          </mc:Choice>
        </mc:AlternateContent>
        <mc:AlternateContent xmlns:mc="http://schemas.openxmlformats.org/markup-compatibility/2006">
          <mc:Choice Requires="x14">
            <control shapeId="77840" r:id="rId8" name="Group Box 16">
              <controlPr defaultSize="0" autoFill="0" autoPict="0">
                <anchor moveWithCells="1">
                  <from>
                    <xdr:col>1</xdr:col>
                    <xdr:colOff>57150</xdr:colOff>
                    <xdr:row>0</xdr:row>
                    <xdr:rowOff>104775</xdr:rowOff>
                  </from>
                  <to>
                    <xdr:col>3</xdr:col>
                    <xdr:colOff>114300</xdr:colOff>
                    <xdr:row>2</xdr:row>
                    <xdr:rowOff>9525</xdr:rowOff>
                  </to>
                </anchor>
              </controlPr>
            </control>
          </mc:Choice>
        </mc:AlternateContent>
        <mc:AlternateContent xmlns:mc="http://schemas.openxmlformats.org/markup-compatibility/2006">
          <mc:Choice Requires="x14">
            <control shapeId="77841" r:id="rId9" name="Button 17">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7842" r:id="rId10" name="Button 18">
              <controlPr defaultSize="0" autoFill="0" autoPict="0" macro="[0]!NhanTrieu">
                <anchor moveWithCells="1">
                  <from>
                    <xdr:col>1</xdr:col>
                    <xdr:colOff>657225</xdr:colOff>
                    <xdr:row>0</xdr:row>
                    <xdr:rowOff>200025</xdr:rowOff>
                  </from>
                  <to>
                    <xdr:col>2</xdr:col>
                    <xdr:colOff>438150</xdr:colOff>
                    <xdr:row>1</xdr:row>
                    <xdr:rowOff>142875</xdr:rowOff>
                  </to>
                </anchor>
              </controlPr>
            </control>
          </mc:Choice>
        </mc:AlternateContent>
        <mc:AlternateContent xmlns:mc="http://schemas.openxmlformats.org/markup-compatibility/2006">
          <mc:Choice Requires="x14">
            <control shapeId="77843" r:id="rId11" name="Button 19">
              <controlPr defaultSize="0" autoFill="0" autoPict="0" macro="[0]!NhanTy">
                <anchor moveWithCells="1">
                  <from>
                    <xdr:col>2</xdr:col>
                    <xdr:colOff>485775</xdr:colOff>
                    <xdr:row>0</xdr:row>
                    <xdr:rowOff>200025</xdr:rowOff>
                  </from>
                  <to>
                    <xdr:col>3</xdr:col>
                    <xdr:colOff>38100</xdr:colOff>
                    <xdr:row>1</xdr:row>
                    <xdr:rowOff>142875</xdr:rowOff>
                  </to>
                </anchor>
              </controlPr>
            </control>
          </mc:Choice>
        </mc:AlternateContent>
        <mc:AlternateContent xmlns:mc="http://schemas.openxmlformats.org/markup-compatibility/2006">
          <mc:Choice Requires="x14">
            <control shapeId="77844" r:id="rId12" name="Button 20">
              <controlPr defaultSize="0" print="0" autoFill="0" autoPict="0" macro="[0]!AddRow">
                <anchor moveWithCells="1">
                  <from>
                    <xdr:col>0</xdr:col>
                    <xdr:colOff>0</xdr:colOff>
                    <xdr:row>2</xdr:row>
                    <xdr:rowOff>114300</xdr:rowOff>
                  </from>
                  <to>
                    <xdr:col>0</xdr:col>
                    <xdr:colOff>476250</xdr:colOff>
                    <xdr:row>3</xdr:row>
                    <xdr:rowOff>142875</xdr:rowOff>
                  </to>
                </anchor>
              </controlPr>
            </control>
          </mc:Choice>
        </mc:AlternateContent>
        <mc:AlternateContent xmlns:mc="http://schemas.openxmlformats.org/markup-compatibility/2006">
          <mc:Choice Requires="x14">
            <control shapeId="77845" r:id="rId13" name="Button 21">
              <controlPr defaultSize="0" print="0" autoFill="0" autoPict="0" macro="[0]!DeleteRow">
                <anchor moveWithCells="1">
                  <from>
                    <xdr:col>0</xdr:col>
                    <xdr:colOff>514350</xdr:colOff>
                    <xdr:row>2</xdr:row>
                    <xdr:rowOff>114300</xdr:rowOff>
                  </from>
                  <to>
                    <xdr:col>0</xdr:col>
                    <xdr:colOff>990600</xdr:colOff>
                    <xdr:row>3</xdr:row>
                    <xdr:rowOff>142875</xdr:rowOff>
                  </to>
                </anchor>
              </controlPr>
            </control>
          </mc:Choice>
        </mc:AlternateContent>
        <mc:AlternateContent xmlns:mc="http://schemas.openxmlformats.org/markup-compatibility/2006">
          <mc:Choice Requires="x14">
            <control shapeId="77846" r:id="rId14" name="Button 22">
              <controlPr defaultSize="0" print="0" autoFill="0" autoPict="0" macro="[0]!AddColumn">
                <anchor moveWithCells="1">
                  <from>
                    <xdr:col>6</xdr:col>
                    <xdr:colOff>9525</xdr:colOff>
                    <xdr:row>1</xdr:row>
                    <xdr:rowOff>85725</xdr:rowOff>
                  </from>
                  <to>
                    <xdr:col>6</xdr:col>
                    <xdr:colOff>523875</xdr:colOff>
                    <xdr:row>2</xdr:row>
                    <xdr:rowOff>114300</xdr:rowOff>
                  </to>
                </anchor>
              </controlPr>
            </control>
          </mc:Choice>
        </mc:AlternateContent>
        <mc:AlternateContent xmlns:mc="http://schemas.openxmlformats.org/markup-compatibility/2006">
          <mc:Choice Requires="x14">
            <control shapeId="77847" r:id="rId15" name="Button 23">
              <controlPr defaultSize="0" print="0" autoFill="0" autoPict="0" macro="[0]!DeleteColumn">
                <anchor moveWithCells="1">
                  <from>
                    <xdr:col>6</xdr:col>
                    <xdr:colOff>561975</xdr:colOff>
                    <xdr:row>1</xdr:row>
                    <xdr:rowOff>85725</xdr:rowOff>
                  </from>
                  <to>
                    <xdr:col>7</xdr:col>
                    <xdr:colOff>200025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778165B9-8BED-4479-98EB-EB9B81F0834F}">
            <xm:f>Security!$A$1="NO VBA"</xm:f>
            <x14:dxf>
              <font>
                <color theme="0"/>
              </font>
              <border>
                <vertical/>
                <horizontal/>
              </border>
            </x14:dxf>
          </x14:cfRule>
          <xm:sqref>A2:XFD3 A4:F4 H4:XFD4 A5:XFD1048576</xm:sqref>
        </x14:conditionalFormatting>
        <x14:conditionalFormatting xmlns:xm="http://schemas.microsoft.com/office/excel/2006/main">
          <x14:cfRule type="expression" priority="1" id="{06EA9143-F8D7-458C-B699-24D79ED23557}">
            <xm:f>Security!$A$1="NO VBA"</xm:f>
            <x14:dxf>
              <font>
                <color theme="0"/>
              </font>
              <border>
                <vertical/>
                <horizontal/>
              </border>
            </x14:dxf>
          </x14:cfRule>
          <xm:sqref>G4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9517-A1BA-412C-BB00-6FEC8B9DBF08}">
  <sheetPr codeName="Sheet43">
    <tabColor theme="4"/>
    <outlinePr summaryBelow="0" summaryRight="0"/>
  </sheetPr>
  <dimension ref="A2:V17"/>
  <sheetViews>
    <sheetView showGridLines="0" workbookViewId="0">
      <selection activeCell="D8" sqref="D8"/>
    </sheetView>
  </sheetViews>
  <sheetFormatPr defaultRowHeight="18" customHeight="1" outlineLevelCol="1" x14ac:dyDescent="0.3"/>
  <cols>
    <col min="1" max="1" width="9.625" style="7" customWidth="1"/>
    <col min="2" max="2" width="14.375" style="7" bestFit="1" customWidth="1"/>
    <col min="3" max="3" width="13.125" style="7" customWidth="1"/>
    <col min="4" max="4" width="11.875" style="7" customWidth="1"/>
    <col min="5" max="5" width="14.25" style="7" customWidth="1"/>
    <col min="6" max="6" width="12.375" style="7" customWidth="1"/>
    <col min="7" max="7" width="9.375" style="7" customWidth="1"/>
    <col min="8" max="8" width="10.5" style="7" customWidth="1" outlineLevel="1"/>
    <col min="9" max="9" width="13" style="7" customWidth="1" outlineLevel="1"/>
    <col min="10" max="10" width="6.75" style="7" bestFit="1" customWidth="1"/>
    <col min="11" max="22" width="9" style="38"/>
    <col min="23" max="16384" width="9" style="7"/>
  </cols>
  <sheetData>
    <row r="2" spans="1:22" ht="18" customHeight="1" x14ac:dyDescent="0.3">
      <c r="A2" s="240"/>
      <c r="B2" s="240"/>
      <c r="C2" s="240"/>
      <c r="D2" s="240"/>
      <c r="E2" s="240"/>
      <c r="F2" s="240"/>
      <c r="G2" s="240"/>
      <c r="H2" s="240"/>
      <c r="I2" s="240"/>
      <c r="J2" s="240"/>
      <c r="K2" s="241"/>
      <c r="L2" s="241"/>
      <c r="M2" s="241"/>
      <c r="N2" s="241"/>
      <c r="O2" s="241"/>
      <c r="P2" s="241"/>
      <c r="Q2" s="241"/>
      <c r="R2" s="241"/>
      <c r="S2" s="241"/>
      <c r="T2" s="241"/>
      <c r="U2" s="241"/>
      <c r="V2" s="241"/>
    </row>
    <row r="3" spans="1:22" s="46" customFormat="1" ht="18" customHeight="1" x14ac:dyDescent="0.3">
      <c r="A3" s="299">
        <v>0</v>
      </c>
      <c r="B3" s="299">
        <f t="shared" ref="B3:I3" si="0">+A3+1</f>
        <v>1</v>
      </c>
      <c r="C3" s="299">
        <f t="shared" si="0"/>
        <v>2</v>
      </c>
      <c r="D3" s="299">
        <f t="shared" si="0"/>
        <v>3</v>
      </c>
      <c r="E3" s="299">
        <f t="shared" si="0"/>
        <v>4</v>
      </c>
      <c r="F3" s="299">
        <f t="shared" si="0"/>
        <v>5</v>
      </c>
      <c r="G3" s="299">
        <f t="shared" si="0"/>
        <v>6</v>
      </c>
      <c r="H3" s="299">
        <f t="shared" si="0"/>
        <v>7</v>
      </c>
      <c r="I3" s="299">
        <f t="shared" si="0"/>
        <v>8</v>
      </c>
      <c r="J3" s="299"/>
      <c r="K3" s="300"/>
      <c r="L3" s="300"/>
      <c r="M3" s="300"/>
      <c r="N3" s="300"/>
      <c r="O3" s="300"/>
      <c r="P3" s="300"/>
      <c r="Q3" s="300"/>
      <c r="R3" s="300"/>
      <c r="S3" s="300"/>
      <c r="T3" s="300"/>
      <c r="U3" s="300"/>
      <c r="V3" s="300"/>
    </row>
    <row r="4" spans="1:22" ht="18" customHeight="1" x14ac:dyDescent="0.3">
      <c r="A4" s="240"/>
      <c r="B4" s="7" t="s">
        <v>855</v>
      </c>
      <c r="C4" s="7" t="s">
        <v>659</v>
      </c>
      <c r="D4" s="7" t="s">
        <v>856</v>
      </c>
      <c r="E4" s="7" t="s">
        <v>789</v>
      </c>
      <c r="F4" s="7" t="s">
        <v>790</v>
      </c>
      <c r="G4" s="7" t="s">
        <v>857</v>
      </c>
      <c r="H4" s="46" t="s">
        <v>858</v>
      </c>
      <c r="I4" s="46" t="s">
        <v>859</v>
      </c>
      <c r="J4" s="7" t="s">
        <v>873</v>
      </c>
      <c r="K4" s="241"/>
      <c r="L4" s="241"/>
      <c r="M4" s="241"/>
      <c r="N4" s="241"/>
      <c r="O4" s="241"/>
      <c r="P4" s="241"/>
      <c r="Q4" s="241"/>
      <c r="R4" s="241"/>
      <c r="S4" s="241"/>
      <c r="T4" s="241"/>
      <c r="U4" s="241"/>
      <c r="V4" s="241"/>
    </row>
    <row r="5" spans="1:22" ht="18" customHeight="1" x14ac:dyDescent="0.3">
      <c r="A5" s="240"/>
      <c r="B5" s="240"/>
      <c r="C5" s="240"/>
      <c r="D5" s="242"/>
      <c r="E5" s="242"/>
      <c r="F5" s="45"/>
      <c r="G5" s="247"/>
      <c r="H5" s="268">
        <f>IF(ISBLANK(Table_DauTu[[#This Row],[Thời hạn (tháng)]]),0,
Table_DauTu[[#This Row],[Kỳ đầu tư]] + ROUND(Table_DauTu[[#This Row],[Thời hạn (tháng)]] * (365.25/12),0))</f>
        <v>0</v>
      </c>
      <c r="I5" s="464">
        <f>IF(ISBLANK(Table_DauTu[[#This Row],[Lãi suất (năm)]]),0,Table_DauTu[[#This Row],[Giá trị đầu tư]]* Table_DauTu[[#This Row],[Lãi suất (năm)]]/12)</f>
        <v>0</v>
      </c>
      <c r="J5" s="240"/>
      <c r="K5" s="241"/>
      <c r="L5" s="241"/>
      <c r="M5" s="241"/>
      <c r="N5" s="241"/>
      <c r="O5" s="241"/>
      <c r="P5" s="241"/>
      <c r="Q5" s="241"/>
      <c r="R5" s="241"/>
      <c r="S5" s="241"/>
      <c r="T5" s="241"/>
      <c r="U5" s="241"/>
      <c r="V5" s="241"/>
    </row>
    <row r="6" spans="1:22" ht="18" customHeight="1" x14ac:dyDescent="0.3">
      <c r="A6" s="240"/>
      <c r="B6" s="240"/>
      <c r="C6" s="240"/>
      <c r="D6" s="240"/>
      <c r="E6" s="240"/>
      <c r="F6" s="240"/>
      <c r="G6" s="240"/>
      <c r="H6" s="240"/>
      <c r="I6" s="240"/>
      <c r="J6" s="240"/>
      <c r="K6" s="241"/>
      <c r="L6" s="241"/>
      <c r="M6" s="241"/>
      <c r="N6" s="241"/>
      <c r="O6" s="241"/>
      <c r="P6" s="241"/>
      <c r="Q6" s="241"/>
      <c r="R6" s="241"/>
      <c r="S6" s="241"/>
      <c r="T6" s="241"/>
      <c r="U6" s="241"/>
      <c r="V6" s="241"/>
    </row>
    <row r="7" spans="1:22" ht="18" customHeight="1" x14ac:dyDescent="0.3">
      <c r="A7" s="240"/>
      <c r="B7" s="240"/>
      <c r="C7" s="240"/>
      <c r="D7" s="240"/>
      <c r="E7" s="240"/>
      <c r="F7" s="240"/>
      <c r="G7" s="240"/>
      <c r="H7" s="240"/>
      <c r="I7" s="240"/>
      <c r="J7" s="240"/>
      <c r="K7" s="241"/>
      <c r="L7" s="241"/>
      <c r="M7" s="241"/>
      <c r="N7" s="241"/>
      <c r="O7" s="241"/>
      <c r="P7" s="241"/>
      <c r="Q7" s="241"/>
      <c r="R7" s="241"/>
      <c r="S7" s="241"/>
      <c r="T7" s="241"/>
      <c r="U7" s="241"/>
      <c r="V7" s="241"/>
    </row>
    <row r="8" spans="1:22" ht="18" customHeight="1" x14ac:dyDescent="0.3">
      <c r="A8" s="240"/>
      <c r="B8" s="240"/>
      <c r="C8" s="240"/>
      <c r="D8" s="240"/>
      <c r="E8" s="240"/>
      <c r="F8" s="240"/>
      <c r="G8" s="240"/>
      <c r="H8" s="240"/>
      <c r="I8" s="240"/>
      <c r="J8" s="240"/>
      <c r="K8" s="241"/>
      <c r="L8" s="241"/>
      <c r="M8" s="241"/>
      <c r="N8" s="241"/>
      <c r="O8" s="241"/>
      <c r="P8" s="241"/>
      <c r="Q8" s="241"/>
      <c r="R8" s="241"/>
      <c r="S8" s="241"/>
      <c r="T8" s="241"/>
      <c r="U8" s="241"/>
      <c r="V8" s="241"/>
    </row>
    <row r="9" spans="1:22" ht="18" customHeight="1" x14ac:dyDescent="0.3">
      <c r="A9" s="240"/>
      <c r="B9" s="240"/>
      <c r="C9" s="240"/>
      <c r="D9" s="240"/>
      <c r="E9" s="240"/>
      <c r="F9" s="240"/>
      <c r="G9" s="240"/>
      <c r="H9" s="240"/>
      <c r="I9" s="240"/>
      <c r="J9" s="240"/>
      <c r="K9" s="241"/>
      <c r="L9" s="241"/>
      <c r="M9" s="241"/>
      <c r="N9" s="241"/>
      <c r="O9" s="241"/>
      <c r="P9" s="241"/>
      <c r="Q9" s="241"/>
      <c r="R9" s="241"/>
      <c r="S9" s="241"/>
      <c r="T9" s="241"/>
      <c r="U9" s="241"/>
      <c r="V9" s="241"/>
    </row>
    <row r="10" spans="1:22" ht="18" customHeight="1" x14ac:dyDescent="0.3">
      <c r="A10" s="240"/>
      <c r="B10" s="240"/>
      <c r="C10" s="240"/>
      <c r="D10" s="240"/>
      <c r="E10" s="240"/>
      <c r="F10" s="240"/>
      <c r="G10" s="240"/>
      <c r="H10" s="240"/>
      <c r="I10" s="240"/>
      <c r="J10" s="240"/>
      <c r="K10" s="241"/>
      <c r="L10" s="241"/>
      <c r="M10" s="241"/>
      <c r="N10" s="241"/>
      <c r="O10" s="241"/>
      <c r="P10" s="241"/>
      <c r="Q10" s="241"/>
      <c r="R10" s="241"/>
      <c r="S10" s="241"/>
      <c r="T10" s="241"/>
      <c r="U10" s="241"/>
      <c r="V10" s="241"/>
    </row>
    <row r="11" spans="1:22" ht="18" customHeight="1" x14ac:dyDescent="0.3">
      <c r="A11" s="240"/>
      <c r="B11" s="240"/>
      <c r="C11" s="240"/>
      <c r="D11" s="240"/>
      <c r="E11" s="240"/>
      <c r="F11" s="240"/>
      <c r="G11" s="240"/>
      <c r="H11" s="240"/>
      <c r="I11" s="240"/>
      <c r="J11" s="240"/>
      <c r="K11" s="241"/>
      <c r="L11" s="241"/>
      <c r="M11" s="241"/>
      <c r="N11" s="241"/>
      <c r="O11" s="241"/>
      <c r="P11" s="241"/>
      <c r="Q11" s="241"/>
      <c r="R11" s="241"/>
      <c r="S11" s="241"/>
      <c r="T11" s="241"/>
      <c r="U11" s="241"/>
      <c r="V11" s="241"/>
    </row>
    <row r="12" spans="1:22" ht="18" customHeight="1" x14ac:dyDescent="0.3">
      <c r="A12" s="240"/>
      <c r="B12" s="240"/>
      <c r="C12" s="240"/>
      <c r="D12" s="240"/>
      <c r="E12" s="240"/>
      <c r="F12" s="240"/>
      <c r="G12" s="240"/>
      <c r="H12" s="240"/>
      <c r="I12" s="240"/>
      <c r="J12" s="240"/>
      <c r="K12" s="241"/>
      <c r="L12" s="241"/>
      <c r="M12" s="241"/>
      <c r="N12" s="241"/>
      <c r="O12" s="241"/>
      <c r="P12" s="241"/>
      <c r="Q12" s="241"/>
      <c r="R12" s="241"/>
      <c r="S12" s="241"/>
      <c r="T12" s="241"/>
      <c r="U12" s="241"/>
      <c r="V12" s="241"/>
    </row>
    <row r="13" spans="1:22" ht="18" customHeight="1" x14ac:dyDescent="0.3">
      <c r="A13" s="240"/>
      <c r="B13" s="240"/>
      <c r="C13" s="240"/>
      <c r="D13" s="240"/>
      <c r="E13" s="240"/>
      <c r="F13" s="240"/>
      <c r="G13" s="240"/>
      <c r="H13" s="240"/>
      <c r="I13" s="240"/>
      <c r="J13" s="240"/>
      <c r="K13" s="241"/>
      <c r="L13" s="241"/>
      <c r="M13" s="241"/>
      <c r="N13" s="241"/>
      <c r="O13" s="241"/>
      <c r="P13" s="241"/>
      <c r="Q13" s="241"/>
      <c r="R13" s="241"/>
      <c r="S13" s="241"/>
      <c r="T13" s="241"/>
      <c r="U13" s="241"/>
      <c r="V13" s="241"/>
    </row>
    <row r="14" spans="1:22" ht="18" customHeight="1" x14ac:dyDescent="0.3">
      <c r="A14" s="240"/>
      <c r="B14" s="240"/>
      <c r="C14" s="240"/>
      <c r="D14" s="240"/>
      <c r="E14" s="240"/>
      <c r="F14" s="240"/>
      <c r="G14" s="240"/>
      <c r="H14" s="240"/>
      <c r="I14" s="240"/>
      <c r="J14" s="240"/>
      <c r="K14" s="241"/>
      <c r="L14" s="241"/>
      <c r="M14" s="241"/>
      <c r="N14" s="241"/>
      <c r="O14" s="241"/>
      <c r="P14" s="241"/>
      <c r="Q14" s="241"/>
      <c r="R14" s="241"/>
      <c r="S14" s="241"/>
      <c r="T14" s="241"/>
      <c r="U14" s="241"/>
      <c r="V14" s="241"/>
    </row>
    <row r="15" spans="1:22" ht="18" customHeight="1" x14ac:dyDescent="0.3">
      <c r="A15" s="240"/>
      <c r="B15" s="240"/>
      <c r="C15" s="240"/>
      <c r="D15" s="240"/>
      <c r="E15" s="240"/>
      <c r="F15" s="240"/>
      <c r="G15" s="240"/>
      <c r="H15" s="240"/>
      <c r="I15" s="240"/>
      <c r="J15" s="240"/>
      <c r="K15" s="241"/>
      <c r="L15" s="241"/>
      <c r="M15" s="241"/>
      <c r="N15" s="241"/>
      <c r="O15" s="241"/>
      <c r="P15" s="241"/>
      <c r="Q15" s="241"/>
      <c r="R15" s="241"/>
      <c r="S15" s="241"/>
      <c r="T15" s="241"/>
      <c r="U15" s="241"/>
      <c r="V15" s="241"/>
    </row>
    <row r="16" spans="1:22" ht="18" customHeight="1" x14ac:dyDescent="0.3">
      <c r="A16" s="240"/>
      <c r="B16" s="240"/>
      <c r="C16" s="240"/>
      <c r="D16" s="240"/>
      <c r="E16" s="240"/>
      <c r="F16" s="240"/>
      <c r="G16" s="240"/>
      <c r="H16" s="240"/>
      <c r="I16" s="240"/>
      <c r="J16" s="240"/>
      <c r="K16" s="241"/>
      <c r="L16" s="241"/>
      <c r="M16" s="241"/>
      <c r="N16" s="241"/>
      <c r="O16" s="241"/>
      <c r="P16" s="241"/>
      <c r="Q16" s="241"/>
      <c r="R16" s="241"/>
      <c r="S16" s="241"/>
      <c r="T16" s="241"/>
      <c r="U16" s="241"/>
      <c r="V16" s="241"/>
    </row>
    <row r="17" spans="1:22" ht="18" customHeight="1" x14ac:dyDescent="0.3">
      <c r="A17" s="240"/>
      <c r="B17" s="240"/>
      <c r="C17" s="240"/>
      <c r="D17" s="240"/>
      <c r="E17" s="240"/>
      <c r="F17" s="240"/>
      <c r="G17" s="240"/>
      <c r="H17" s="240"/>
      <c r="I17" s="240"/>
      <c r="J17" s="240"/>
      <c r="K17" s="241"/>
      <c r="L17" s="241"/>
      <c r="M17" s="241"/>
      <c r="N17" s="241"/>
      <c r="O17" s="241"/>
      <c r="P17" s="241"/>
      <c r="Q17" s="241"/>
      <c r="R17" s="241"/>
      <c r="S17" s="241"/>
      <c r="T17" s="241"/>
      <c r="U17" s="241"/>
      <c r="V17" s="241"/>
    </row>
  </sheetData>
  <sheetProtection algorithmName="SHA-512" hashValue="DNZlKmvfzQsAckw75myoA4spud5YwvdYhNI0cI8rw9zp8WfSqaq8pL7Rvbj7mjyyyZwOzJLv3CPfAP46BLS7SQ==" saltValue="pkRQuvhjBt+0LLcwXDA2sA==" spinCount="100000" sheet="1" scenarios="1" formatCells="0" formatColumns="0" formatRows="0" insertColumns="0" insertRows="0" deleteColumns="0" deleteRows="0" sort="0" autoFilter="0" pivotTables="0"/>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4" r:id="rId4" name="Option Button 6">
              <controlPr defaultSize="0" autoFill="0" autoLine="0" autoPict="0" macro="[0]!DoiDonViHienThi">
                <anchor moveWithCells="1">
                  <from>
                    <xdr:col>2</xdr:col>
                    <xdr:colOff>781050</xdr:colOff>
                    <xdr:row>0</xdr:row>
                    <xdr:rowOff>152400</xdr:rowOff>
                  </from>
                  <to>
                    <xdr:col>3</xdr:col>
                    <xdr:colOff>371475</xdr:colOff>
                    <xdr:row>1</xdr:row>
                    <xdr:rowOff>200025</xdr:rowOff>
                  </to>
                </anchor>
              </controlPr>
            </control>
          </mc:Choice>
        </mc:AlternateContent>
        <mc:AlternateContent xmlns:mc="http://schemas.openxmlformats.org/markup-compatibility/2006">
          <mc:Choice Requires="x14">
            <control shapeId="89095" r:id="rId5" name="Option Button 7">
              <controlPr defaultSize="0" autoFill="0" autoLine="0" autoPict="0" macro="[0]!DoiDonViHienThi">
                <anchor moveWithCells="1">
                  <from>
                    <xdr:col>3</xdr:col>
                    <xdr:colOff>247650</xdr:colOff>
                    <xdr:row>0</xdr:row>
                    <xdr:rowOff>152400</xdr:rowOff>
                  </from>
                  <to>
                    <xdr:col>3</xdr:col>
                    <xdr:colOff>838200</xdr:colOff>
                    <xdr:row>1</xdr:row>
                    <xdr:rowOff>200025</xdr:rowOff>
                  </to>
                </anchor>
              </controlPr>
            </control>
          </mc:Choice>
        </mc:AlternateContent>
        <mc:AlternateContent xmlns:mc="http://schemas.openxmlformats.org/markup-compatibility/2006">
          <mc:Choice Requires="x14">
            <control shapeId="89096" r:id="rId6" name="Option Button 8">
              <controlPr defaultSize="0" autoFill="0" autoLine="0" autoPict="0" macro="[0]!DoiDonViHienThi">
                <anchor moveWithCells="1">
                  <from>
                    <xdr:col>3</xdr:col>
                    <xdr:colOff>714375</xdr:colOff>
                    <xdr:row>0</xdr:row>
                    <xdr:rowOff>152400</xdr:rowOff>
                  </from>
                  <to>
                    <xdr:col>4</xdr:col>
                    <xdr:colOff>400050</xdr:colOff>
                    <xdr:row>1</xdr:row>
                    <xdr:rowOff>200025</xdr:rowOff>
                  </to>
                </anchor>
              </controlPr>
            </control>
          </mc:Choice>
        </mc:AlternateContent>
        <mc:AlternateContent xmlns:mc="http://schemas.openxmlformats.org/markup-compatibility/2006">
          <mc:Choice Requires="x14">
            <control shapeId="89097" r:id="rId7" name="Option Button 9">
              <controlPr defaultSize="0" autoFill="0" autoLine="0" autoPict="0" macro="[0]!DoiDonViHienThi">
                <anchor moveWithCells="1">
                  <from>
                    <xdr:col>4</xdr:col>
                    <xdr:colOff>285750</xdr:colOff>
                    <xdr:row>0</xdr:row>
                    <xdr:rowOff>152400</xdr:rowOff>
                  </from>
                  <to>
                    <xdr:col>4</xdr:col>
                    <xdr:colOff>638175</xdr:colOff>
                    <xdr:row>1</xdr:row>
                    <xdr:rowOff>200025</xdr:rowOff>
                  </to>
                </anchor>
              </controlPr>
            </control>
          </mc:Choice>
        </mc:AlternateContent>
        <mc:AlternateContent xmlns:mc="http://schemas.openxmlformats.org/markup-compatibility/2006">
          <mc:Choice Requires="x14">
            <control shapeId="89098" r:id="rId8" name="Group Box 10">
              <controlPr defaultSize="0" autoFill="0" autoPict="0">
                <anchor moveWithCells="1">
                  <from>
                    <xdr:col>2</xdr:col>
                    <xdr:colOff>666750</xdr:colOff>
                    <xdr:row>0</xdr:row>
                    <xdr:rowOff>104775</xdr:rowOff>
                  </from>
                  <to>
                    <xdr:col>4</xdr:col>
                    <xdr:colOff>752475</xdr:colOff>
                    <xdr:row>2</xdr:row>
                    <xdr:rowOff>9525</xdr:rowOff>
                  </to>
                </anchor>
              </controlPr>
            </control>
          </mc:Choice>
        </mc:AlternateContent>
        <mc:AlternateContent xmlns:mc="http://schemas.openxmlformats.org/markup-compatibility/2006">
          <mc:Choice Requires="x14">
            <control shapeId="89099" r:id="rId9" name="Group Box 11">
              <controlPr defaultSize="0" autoFill="0" autoPict="0">
                <anchor moveWithCells="1">
                  <from>
                    <xdr:col>1</xdr:col>
                    <xdr:colOff>57150</xdr:colOff>
                    <xdr:row>0</xdr:row>
                    <xdr:rowOff>104775</xdr:rowOff>
                  </from>
                  <to>
                    <xdr:col>2</xdr:col>
                    <xdr:colOff>619125</xdr:colOff>
                    <xdr:row>2</xdr:row>
                    <xdr:rowOff>9525</xdr:rowOff>
                  </to>
                </anchor>
              </controlPr>
            </control>
          </mc:Choice>
        </mc:AlternateContent>
        <mc:AlternateContent xmlns:mc="http://schemas.openxmlformats.org/markup-compatibility/2006">
          <mc:Choice Requires="x14">
            <control shapeId="89100" r:id="rId10" name="Button 12">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89101" r:id="rId11" name="Button 13">
              <controlPr defaultSize="0" autoFill="0" autoPict="0" macro="[0]!NhanTrieu">
                <anchor moveWithCells="1">
                  <from>
                    <xdr:col>1</xdr:col>
                    <xdr:colOff>657225</xdr:colOff>
                    <xdr:row>0</xdr:row>
                    <xdr:rowOff>200025</xdr:rowOff>
                  </from>
                  <to>
                    <xdr:col>2</xdr:col>
                    <xdr:colOff>28575</xdr:colOff>
                    <xdr:row>1</xdr:row>
                    <xdr:rowOff>142875</xdr:rowOff>
                  </to>
                </anchor>
              </controlPr>
            </control>
          </mc:Choice>
        </mc:AlternateContent>
        <mc:AlternateContent xmlns:mc="http://schemas.openxmlformats.org/markup-compatibility/2006">
          <mc:Choice Requires="x14">
            <control shapeId="89102" r:id="rId12" name="Button 14">
              <controlPr defaultSize="0" autoFill="0" autoPict="0" macro="[0]!NhanTy">
                <anchor moveWithCells="1">
                  <from>
                    <xdr:col>2</xdr:col>
                    <xdr:colOff>76200</xdr:colOff>
                    <xdr:row>0</xdr:row>
                    <xdr:rowOff>200025</xdr:rowOff>
                  </from>
                  <to>
                    <xdr:col>2</xdr:col>
                    <xdr:colOff>542925</xdr:colOff>
                    <xdr:row>1</xdr:row>
                    <xdr:rowOff>142875</xdr:rowOff>
                  </to>
                </anchor>
              </controlPr>
            </control>
          </mc:Choice>
        </mc:AlternateContent>
        <mc:AlternateContent xmlns:mc="http://schemas.openxmlformats.org/markup-compatibility/2006">
          <mc:Choice Requires="x14">
            <control shapeId="89103" r:id="rId13" name="Button 15">
              <controlPr defaultSize="0" print="0" autoFill="0" autoPict="0" macro="[0]!AddRow">
                <anchor moveWithCells="1">
                  <from>
                    <xdr:col>4</xdr:col>
                    <xdr:colOff>1019175</xdr:colOff>
                    <xdr:row>0</xdr:row>
                    <xdr:rowOff>104775</xdr:rowOff>
                  </from>
                  <to>
                    <xdr:col>5</xdr:col>
                    <xdr:colOff>409575</xdr:colOff>
                    <xdr:row>1</xdr:row>
                    <xdr:rowOff>133350</xdr:rowOff>
                  </to>
                </anchor>
              </controlPr>
            </control>
          </mc:Choice>
        </mc:AlternateContent>
        <mc:AlternateContent xmlns:mc="http://schemas.openxmlformats.org/markup-compatibility/2006">
          <mc:Choice Requires="x14">
            <control shapeId="89104" r:id="rId14" name="Button 16">
              <controlPr defaultSize="0" print="0" autoFill="0" autoPict="0" macro="[0]!DeleteRow">
                <anchor moveWithCells="1">
                  <from>
                    <xdr:col>5</xdr:col>
                    <xdr:colOff>447675</xdr:colOff>
                    <xdr:row>0</xdr:row>
                    <xdr:rowOff>104775</xdr:rowOff>
                  </from>
                  <to>
                    <xdr:col>5</xdr:col>
                    <xdr:colOff>923925</xdr:colOff>
                    <xdr:row>1</xdr:row>
                    <xdr:rowOff>133350</xdr:rowOff>
                  </to>
                </anchor>
              </controlPr>
            </control>
          </mc:Choice>
        </mc:AlternateContent>
        <mc:AlternateContent xmlns:mc="http://schemas.openxmlformats.org/markup-compatibility/2006">
          <mc:Choice Requires="x14">
            <control shapeId="89105" r:id="rId15" name="Button 17">
              <controlPr defaultSize="0" print="0" autoFill="0" autoPict="0" macro="[0]!AddColumn">
                <anchor moveWithCells="1">
                  <from>
                    <xdr:col>9</xdr:col>
                    <xdr:colOff>38100</xdr:colOff>
                    <xdr:row>0</xdr:row>
                    <xdr:rowOff>104775</xdr:rowOff>
                  </from>
                  <to>
                    <xdr:col>10</xdr:col>
                    <xdr:colOff>38100</xdr:colOff>
                    <xdr:row>1</xdr:row>
                    <xdr:rowOff>133350</xdr:rowOff>
                  </to>
                </anchor>
              </controlPr>
            </control>
          </mc:Choice>
        </mc:AlternateContent>
        <mc:AlternateContent xmlns:mc="http://schemas.openxmlformats.org/markup-compatibility/2006">
          <mc:Choice Requires="x14">
            <control shapeId="89106" r:id="rId16" name="Button 18">
              <controlPr defaultSize="0" print="0" autoFill="0" autoPict="0" macro="[0]!DeleteColumn">
                <anchor moveWithCells="1">
                  <from>
                    <xdr:col>10</xdr:col>
                    <xdr:colOff>76200</xdr:colOff>
                    <xdr:row>0</xdr:row>
                    <xdr:rowOff>104775</xdr:rowOff>
                  </from>
                  <to>
                    <xdr:col>10</xdr:col>
                    <xdr:colOff>619125</xdr:colOff>
                    <xdr:row>1</xdr:row>
                    <xdr:rowOff>133350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1" id="{2505EF8C-58E2-47ED-BF08-85ACF8DD9F90}">
            <xm:f>Security!$A$1="NO VBA"</xm:f>
            <x14:dxf>
              <font>
                <color theme="0"/>
              </font>
              <border>
                <vertical/>
                <horizontal/>
              </border>
            </x14:dxf>
          </x14:cfRule>
          <xm:sqref>A1:XFD1048576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4"/>
    <outlinePr summaryBelow="0" summaryRight="0"/>
  </sheetPr>
  <dimension ref="A3:AB13"/>
  <sheetViews>
    <sheetView showGridLines="0" topLeftCell="B1" workbookViewId="0">
      <selection activeCell="K12" sqref="K12"/>
    </sheetView>
  </sheetViews>
  <sheetFormatPr defaultRowHeight="18" customHeight="1" outlineLevelCol="1" x14ac:dyDescent="0.3"/>
  <cols>
    <col min="1" max="1" width="9.625" style="7" customWidth="1"/>
    <col min="2" max="2" width="12.25" style="7" bestFit="1" customWidth="1"/>
    <col min="3" max="3" width="11.25" style="7" customWidth="1"/>
    <col min="4" max="4" width="9.875" style="7" customWidth="1"/>
    <col min="5" max="5" width="13.75" style="7" bestFit="1" customWidth="1"/>
    <col min="6" max="6" width="13.25" style="7" customWidth="1"/>
    <col min="7" max="7" width="14.25" style="7" customWidth="1"/>
    <col min="8" max="8" width="12.375" style="7" customWidth="1"/>
    <col min="9" max="9" width="9.125" style="7" customWidth="1"/>
    <col min="10" max="10" width="13.375" style="7" customWidth="1"/>
    <col min="11" max="11" width="11.75" style="7" customWidth="1" outlineLevel="1"/>
    <col min="12" max="12" width="17.875" style="7" customWidth="1" outlineLevel="1"/>
    <col min="13" max="13" width="9.375" style="7" customWidth="1"/>
    <col min="14" max="28" width="9" style="38"/>
    <col min="29" max="16384" width="9" style="7"/>
  </cols>
  <sheetData>
    <row r="3" spans="1:28" s="46" customFormat="1" ht="18" customHeight="1" x14ac:dyDescent="0.3">
      <c r="A3" s="299">
        <v>0</v>
      </c>
      <c r="B3" s="299">
        <f t="shared" ref="B3:D3" si="0">+A3+1</f>
        <v>1</v>
      </c>
      <c r="C3" s="299">
        <f t="shared" si="0"/>
        <v>2</v>
      </c>
      <c r="D3" s="299">
        <f t="shared" si="0"/>
        <v>3</v>
      </c>
      <c r="E3" s="299">
        <f t="shared" ref="E3" si="1">+D3+1</f>
        <v>4</v>
      </c>
      <c r="F3" s="299">
        <f t="shared" ref="F3" si="2">+E3+1</f>
        <v>5</v>
      </c>
      <c r="G3" s="299">
        <f t="shared" ref="G3" si="3">+F3+1</f>
        <v>6</v>
      </c>
      <c r="H3" s="299">
        <f t="shared" ref="H3" si="4">+G3+1</f>
        <v>7</v>
      </c>
      <c r="I3" s="299">
        <f t="shared" ref="I3" si="5">+H3+1</f>
        <v>8</v>
      </c>
      <c r="J3" s="299">
        <f t="shared" ref="J3" si="6">+I3+1</f>
        <v>9</v>
      </c>
      <c r="K3" s="299">
        <f t="shared" ref="K3" si="7">+J3+1</f>
        <v>10</v>
      </c>
      <c r="L3" s="299">
        <f t="shared" ref="L3" si="8">+K3+1</f>
        <v>11</v>
      </c>
      <c r="M3" s="299"/>
      <c r="N3" s="300"/>
      <c r="O3" s="300"/>
      <c r="P3" s="300"/>
      <c r="Q3" s="300"/>
      <c r="R3" s="300"/>
      <c r="S3" s="300"/>
      <c r="T3" s="300"/>
      <c r="U3" s="300"/>
      <c r="V3" s="300"/>
      <c r="W3" s="300"/>
      <c r="X3" s="300"/>
      <c r="Y3" s="300"/>
      <c r="Z3" s="300"/>
      <c r="AA3" s="300"/>
      <c r="AB3" s="300"/>
    </row>
    <row r="4" spans="1:28" ht="18" customHeight="1" x14ac:dyDescent="0.3">
      <c r="A4" s="240"/>
      <c r="B4" s="7" t="s">
        <v>786</v>
      </c>
      <c r="C4" s="7" t="s">
        <v>787</v>
      </c>
      <c r="D4" s="7" t="s">
        <v>882</v>
      </c>
      <c r="E4" s="7" t="s">
        <v>1002</v>
      </c>
      <c r="F4" s="7" t="s">
        <v>788</v>
      </c>
      <c r="G4" s="7" t="s">
        <v>789</v>
      </c>
      <c r="H4" s="7" t="s">
        <v>790</v>
      </c>
      <c r="I4" s="7" t="s">
        <v>655</v>
      </c>
      <c r="J4" s="7" t="s">
        <v>791</v>
      </c>
      <c r="K4" s="46" t="s">
        <v>792</v>
      </c>
      <c r="L4" s="46" t="s">
        <v>793</v>
      </c>
      <c r="M4" s="7" t="s">
        <v>873</v>
      </c>
      <c r="N4" s="241"/>
      <c r="O4" s="241"/>
      <c r="P4" s="241"/>
      <c r="Q4" s="241"/>
      <c r="R4" s="241"/>
      <c r="S4" s="241"/>
      <c r="T4" s="241"/>
      <c r="U4" s="241"/>
      <c r="V4" s="241"/>
      <c r="W4" s="241"/>
      <c r="X4" s="241"/>
      <c r="Y4" s="241"/>
      <c r="Z4" s="241"/>
      <c r="AA4" s="241"/>
      <c r="AB4" s="241"/>
    </row>
    <row r="5" spans="1:28" ht="18" customHeight="1" x14ac:dyDescent="0.3">
      <c r="A5" s="240"/>
      <c r="B5" s="240" t="s">
        <v>1092</v>
      </c>
      <c r="C5" s="240" t="s">
        <v>1093</v>
      </c>
      <c r="D5" s="242">
        <v>100000000</v>
      </c>
      <c r="E5" s="15" t="s">
        <v>1094</v>
      </c>
      <c r="F5" s="242"/>
      <c r="G5" s="242">
        <v>3</v>
      </c>
      <c r="H5" s="45">
        <v>0.06</v>
      </c>
      <c r="I5" s="389">
        <v>45869</v>
      </c>
      <c r="J5" s="389"/>
      <c r="K5"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L5"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5" s="240"/>
      <c r="N5" s="241"/>
      <c r="O5" s="241"/>
      <c r="P5" s="241"/>
      <c r="Q5" s="241"/>
      <c r="R5" s="241"/>
      <c r="S5" s="241"/>
      <c r="T5" s="241"/>
      <c r="U5" s="241"/>
      <c r="V5" s="241"/>
      <c r="W5" s="241"/>
      <c r="X5" s="241"/>
      <c r="Y5" s="241"/>
      <c r="Z5" s="241"/>
      <c r="AA5" s="241"/>
      <c r="AB5" s="241"/>
    </row>
    <row r="6" spans="1:28" ht="18" customHeight="1" x14ac:dyDescent="0.3">
      <c r="A6" s="240"/>
      <c r="B6" s="240" t="s">
        <v>1095</v>
      </c>
      <c r="C6" s="240" t="s">
        <v>1096</v>
      </c>
      <c r="D6" s="242">
        <v>650000000</v>
      </c>
      <c r="E6" s="15" t="s">
        <v>1094</v>
      </c>
      <c r="F6" s="242"/>
      <c r="G6" s="242">
        <v>12</v>
      </c>
      <c r="H6" s="45">
        <v>0.08</v>
      </c>
      <c r="I6" s="389">
        <v>45792</v>
      </c>
      <c r="J6" s="389"/>
      <c r="K6"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L6"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6" s="240"/>
      <c r="N6" s="241"/>
      <c r="O6" s="241"/>
      <c r="P6" s="241"/>
      <c r="Q6" s="241"/>
      <c r="R6" s="241"/>
      <c r="S6" s="241"/>
      <c r="T6" s="241"/>
      <c r="U6" s="241"/>
      <c r="V6" s="241"/>
      <c r="W6" s="241"/>
      <c r="X6" s="241"/>
      <c r="Y6" s="241"/>
      <c r="Z6" s="241"/>
      <c r="AA6" s="241"/>
      <c r="AB6" s="241"/>
    </row>
    <row r="7" spans="1:28" ht="18" customHeight="1" x14ac:dyDescent="0.3">
      <c r="A7" s="240"/>
      <c r="B7" s="240" t="s">
        <v>1097</v>
      </c>
      <c r="C7" s="240" t="s">
        <v>1098</v>
      </c>
      <c r="D7" s="242">
        <v>200000000</v>
      </c>
      <c r="E7" s="15" t="s">
        <v>1099</v>
      </c>
      <c r="F7" s="242"/>
      <c r="G7" s="242">
        <v>6</v>
      </c>
      <c r="H7" s="45">
        <v>7.0000000000000007E-2</v>
      </c>
      <c r="I7" s="389">
        <v>45718</v>
      </c>
      <c r="J7" s="389">
        <v>45749</v>
      </c>
      <c r="K7"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L7"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M7" s="240"/>
      <c r="N7" s="241"/>
      <c r="O7" s="241"/>
      <c r="P7" s="241"/>
      <c r="Q7" s="241"/>
      <c r="R7" s="241"/>
      <c r="S7" s="241"/>
      <c r="T7" s="241"/>
      <c r="U7" s="241"/>
      <c r="V7" s="241"/>
      <c r="W7" s="241"/>
      <c r="X7" s="241"/>
      <c r="Y7" s="241"/>
      <c r="Z7" s="241"/>
      <c r="AA7" s="241"/>
      <c r="AB7" s="241"/>
    </row>
    <row r="8" spans="1:28" ht="18" customHeight="1" x14ac:dyDescent="0.3">
      <c r="A8" s="240"/>
      <c r="B8" s="240" t="s">
        <v>1100</v>
      </c>
      <c r="C8" s="240" t="s">
        <v>997</v>
      </c>
      <c r="D8" s="242">
        <v>5000000000</v>
      </c>
      <c r="E8" s="15" t="s">
        <v>1101</v>
      </c>
      <c r="F8" s="242">
        <v>3</v>
      </c>
      <c r="G8" s="242"/>
      <c r="H8" s="45">
        <v>0.1</v>
      </c>
      <c r="I8" s="389">
        <v>45346</v>
      </c>
      <c r="J8" s="389">
        <v>45712</v>
      </c>
      <c r="K8"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L8" s="120">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M8" s="240"/>
      <c r="N8" s="241"/>
      <c r="O8" s="241"/>
      <c r="P8" s="241"/>
      <c r="Q8" s="241"/>
      <c r="R8" s="241"/>
      <c r="S8" s="241"/>
      <c r="T8" s="241"/>
      <c r="U8" s="241"/>
      <c r="V8" s="241"/>
      <c r="W8" s="241"/>
      <c r="X8" s="241"/>
      <c r="Y8" s="241"/>
      <c r="Z8" s="241"/>
      <c r="AA8" s="241"/>
      <c r="AB8" s="241"/>
    </row>
    <row r="9" spans="1:28" ht="18" customHeight="1" x14ac:dyDescent="0.3">
      <c r="B9" s="240"/>
      <c r="C9" s="240"/>
      <c r="D9" s="240"/>
      <c r="E9" s="240"/>
      <c r="F9" s="240"/>
      <c r="G9" s="240"/>
      <c r="H9" s="240"/>
      <c r="I9" s="240"/>
      <c r="J9" s="240"/>
      <c r="K9" s="240"/>
      <c r="L9" s="240"/>
      <c r="M9" s="240"/>
    </row>
    <row r="10" spans="1:28" ht="18" customHeight="1" x14ac:dyDescent="0.3">
      <c r="B10" s="240"/>
      <c r="C10" s="240"/>
      <c r="D10" s="240"/>
      <c r="E10" s="240"/>
      <c r="F10" s="240"/>
      <c r="G10" s="240"/>
      <c r="H10" s="240"/>
      <c r="I10" s="240"/>
      <c r="J10" s="240"/>
      <c r="K10" s="240"/>
      <c r="L10" s="240"/>
      <c r="M10" s="240"/>
    </row>
    <row r="11" spans="1:28" ht="18" customHeight="1" x14ac:dyDescent="0.3">
      <c r="B11" s="240"/>
      <c r="C11" s="240"/>
      <c r="D11" s="240"/>
      <c r="E11" s="240"/>
      <c r="F11" s="240"/>
      <c r="G11" s="240"/>
      <c r="H11" s="240"/>
      <c r="I11" s="240"/>
      <c r="J11" s="240"/>
      <c r="K11" s="240"/>
      <c r="L11" s="240"/>
      <c r="M11" s="263"/>
    </row>
    <row r="12" spans="1:28" ht="18" customHeight="1" x14ac:dyDescent="0.3">
      <c r="B12" s="240"/>
      <c r="C12" s="240"/>
      <c r="D12" s="240"/>
      <c r="E12" s="240"/>
      <c r="F12" s="240"/>
      <c r="G12" s="240"/>
      <c r="H12" s="240"/>
      <c r="I12" s="240"/>
      <c r="J12" s="240"/>
      <c r="K12" s="240"/>
      <c r="L12" s="240"/>
      <c r="M12" s="263"/>
    </row>
    <row r="13" spans="1:28" ht="18" customHeight="1" x14ac:dyDescent="0.3">
      <c r="B13" s="240"/>
      <c r="C13" s="240"/>
      <c r="D13" s="240"/>
      <c r="E13" s="240"/>
      <c r="F13" s="240"/>
      <c r="G13" s="240"/>
      <c r="H13" s="240"/>
      <c r="I13" s="240"/>
      <c r="J13" s="240"/>
      <c r="K13" s="240"/>
      <c r="L13" s="240"/>
      <c r="M13" s="263"/>
    </row>
  </sheetData>
  <sheetProtection algorithmName="SHA-512" hashValue="PSM0xuohQVEbzUWg9LEnDbjB/05uz49zN562mlBFhKEMrqZzoJkQcR1iThGW9b8STvZSn/ZD0cBltfVLhWDoSw==" saltValue="kRiZgWZISZya79ToxygQww==" spinCount="100000" sheet="1" scenarios="1" formatCells="0" formatColumns="0" formatRows="0" insertColumns="0" insertRows="0" deleteColumns="0" deleteRows="0" sort="0" autoFilter="0" pivotTables="0"/>
  <phoneticPr fontId="14" type="noConversion"/>
  <conditionalFormatting sqref="B5:B8">
    <cfRule type="duplicateValues" dxfId="248" priority="1"/>
  </conditionalFormatting>
  <dataValidations count="1">
    <dataValidation type="list" allowBlank="1" showInputMessage="1" showErrorMessage="1" sqref="E5:E8" xr:uid="{8D8F3CC2-445E-439D-A67A-114800D3F55B}">
      <formula1>"Một lần, Theo năm, Theo tháng"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6" r:id="rId3" name="Option Button 6">
              <controlPr defaultSize="0" autoFill="0" autoLine="0" autoPict="0" macro="[0]!DoiDonViHienThi">
                <anchor moveWithCells="1">
                  <from>
                    <xdr:col>3</xdr:col>
                    <xdr:colOff>57150</xdr:colOff>
                    <xdr:row>0</xdr:row>
                    <xdr:rowOff>104775</xdr:rowOff>
                  </from>
                  <to>
                    <xdr:col>3</xdr:col>
                    <xdr:colOff>647700</xdr:colOff>
                    <xdr:row>1</xdr:row>
                    <xdr:rowOff>152400</xdr:rowOff>
                  </to>
                </anchor>
              </controlPr>
            </control>
          </mc:Choice>
        </mc:AlternateContent>
        <mc:AlternateContent xmlns:mc="http://schemas.openxmlformats.org/markup-compatibility/2006">
          <mc:Choice Requires="x14">
            <control shapeId="76807" r:id="rId4" name="Option Button 7">
              <controlPr defaultSize="0" autoFill="0" autoLine="0" autoPict="0" macro="[0]!DoiDonViHienThi">
                <anchor moveWithCells="1">
                  <from>
                    <xdr:col>3</xdr:col>
                    <xdr:colOff>523875</xdr:colOff>
                    <xdr:row>0</xdr:row>
                    <xdr:rowOff>104775</xdr:rowOff>
                  </from>
                  <to>
                    <xdr:col>4</xdr:col>
                    <xdr:colOff>361950</xdr:colOff>
                    <xdr:row>1</xdr:row>
                    <xdr:rowOff>152400</xdr:rowOff>
                  </to>
                </anchor>
              </controlPr>
            </control>
          </mc:Choice>
        </mc:AlternateContent>
        <mc:AlternateContent xmlns:mc="http://schemas.openxmlformats.org/markup-compatibility/2006">
          <mc:Choice Requires="x14">
            <control shapeId="76808" r:id="rId5" name="Option Button 8">
              <controlPr defaultSize="0" autoFill="0" autoLine="0" autoPict="0" macro="[0]!DoiDonViHienThi">
                <anchor moveWithCells="1">
                  <from>
                    <xdr:col>4</xdr:col>
                    <xdr:colOff>238125</xdr:colOff>
                    <xdr:row>0</xdr:row>
                    <xdr:rowOff>104775</xdr:rowOff>
                  </from>
                  <to>
                    <xdr:col>4</xdr:col>
                    <xdr:colOff>828675</xdr:colOff>
                    <xdr:row>1</xdr:row>
                    <xdr:rowOff>152400</xdr:rowOff>
                  </to>
                </anchor>
              </controlPr>
            </control>
          </mc:Choice>
        </mc:AlternateContent>
        <mc:AlternateContent xmlns:mc="http://schemas.openxmlformats.org/markup-compatibility/2006">
          <mc:Choice Requires="x14">
            <control shapeId="76809" r:id="rId6" name="Option Button 9">
              <controlPr defaultSize="0" autoFill="0" autoLine="0" autoPict="0" macro="[0]!DoiDonViHienThi">
                <anchor moveWithCells="1">
                  <from>
                    <xdr:col>4</xdr:col>
                    <xdr:colOff>714375</xdr:colOff>
                    <xdr:row>0</xdr:row>
                    <xdr:rowOff>104775</xdr:rowOff>
                  </from>
                  <to>
                    <xdr:col>5</xdr:col>
                    <xdr:colOff>19050</xdr:colOff>
                    <xdr:row>1</xdr:row>
                    <xdr:rowOff>152400</xdr:rowOff>
                  </to>
                </anchor>
              </controlPr>
            </control>
          </mc:Choice>
        </mc:AlternateContent>
        <mc:AlternateContent xmlns:mc="http://schemas.openxmlformats.org/markup-compatibility/2006">
          <mc:Choice Requires="x14">
            <control shapeId="76810" r:id="rId7" name="Group Box 10">
              <controlPr defaultSize="0" autoFill="0" autoPict="0">
                <anchor moveWithCells="1">
                  <from>
                    <xdr:col>2</xdr:col>
                    <xdr:colOff>800100</xdr:colOff>
                    <xdr:row>0</xdr:row>
                    <xdr:rowOff>57150</xdr:rowOff>
                  </from>
                  <to>
                    <xdr:col>5</xdr:col>
                    <xdr:colOff>133350</xdr:colOff>
                    <xdr:row>1</xdr:row>
                    <xdr:rowOff>190500</xdr:rowOff>
                  </to>
                </anchor>
              </controlPr>
            </control>
          </mc:Choice>
        </mc:AlternateContent>
        <mc:AlternateContent xmlns:mc="http://schemas.openxmlformats.org/markup-compatibility/2006">
          <mc:Choice Requires="x14">
            <control shapeId="76811" r:id="rId8" name="Group Box 11">
              <controlPr defaultSize="0" autoFill="0" autoPict="0">
                <anchor moveWithCells="1">
                  <from>
                    <xdr:col>1</xdr:col>
                    <xdr:colOff>28575</xdr:colOff>
                    <xdr:row>0</xdr:row>
                    <xdr:rowOff>57150</xdr:rowOff>
                  </from>
                  <to>
                    <xdr:col>2</xdr:col>
                    <xdr:colOff>752475</xdr:colOff>
                    <xdr:row>1</xdr:row>
                    <xdr:rowOff>190500</xdr:rowOff>
                  </to>
                </anchor>
              </controlPr>
            </control>
          </mc:Choice>
        </mc:AlternateContent>
        <mc:AlternateContent xmlns:mc="http://schemas.openxmlformats.org/markup-compatibility/2006">
          <mc:Choice Requires="x14">
            <control shapeId="76812" r:id="rId9" name="Button 12">
              <controlPr defaultSize="0" autoFill="0" autoPict="0" macro="[0]!NhanNghin">
                <anchor moveWithCells="1">
                  <from>
                    <xdr:col>1</xdr:col>
                    <xdr:colOff>114300</xdr:colOff>
                    <xdr:row>0</xdr:row>
                    <xdr:rowOff>152400</xdr:rowOff>
                  </from>
                  <to>
                    <xdr:col>1</xdr:col>
                    <xdr:colOff>581025</xdr:colOff>
                    <xdr:row>1</xdr:row>
                    <xdr:rowOff>95250</xdr:rowOff>
                  </to>
                </anchor>
              </controlPr>
            </control>
          </mc:Choice>
        </mc:AlternateContent>
        <mc:AlternateContent xmlns:mc="http://schemas.openxmlformats.org/markup-compatibility/2006">
          <mc:Choice Requires="x14">
            <control shapeId="76813" r:id="rId10" name="Button 13">
              <controlPr defaultSize="0" autoFill="0" autoPict="0" macro="[0]!NhanTrieu">
                <anchor moveWithCells="1">
                  <from>
                    <xdr:col>1</xdr:col>
                    <xdr:colOff>628650</xdr:colOff>
                    <xdr:row>0</xdr:row>
                    <xdr:rowOff>152400</xdr:rowOff>
                  </from>
                  <to>
                    <xdr:col>2</xdr:col>
                    <xdr:colOff>161925</xdr:colOff>
                    <xdr:row>1</xdr:row>
                    <xdr:rowOff>95250</xdr:rowOff>
                  </to>
                </anchor>
              </controlPr>
            </control>
          </mc:Choice>
        </mc:AlternateContent>
        <mc:AlternateContent xmlns:mc="http://schemas.openxmlformats.org/markup-compatibility/2006">
          <mc:Choice Requires="x14">
            <control shapeId="76814" r:id="rId11" name="Button 14">
              <controlPr defaultSize="0" autoFill="0" autoPict="0" macro="[0]!NhanTy">
                <anchor moveWithCells="1">
                  <from>
                    <xdr:col>2</xdr:col>
                    <xdr:colOff>209550</xdr:colOff>
                    <xdr:row>0</xdr:row>
                    <xdr:rowOff>152400</xdr:rowOff>
                  </from>
                  <to>
                    <xdr:col>2</xdr:col>
                    <xdr:colOff>676275</xdr:colOff>
                    <xdr:row>1</xdr:row>
                    <xdr:rowOff>95250</xdr:rowOff>
                  </to>
                </anchor>
              </controlPr>
            </control>
          </mc:Choice>
        </mc:AlternateContent>
        <mc:AlternateContent xmlns:mc="http://schemas.openxmlformats.org/markup-compatibility/2006">
          <mc:Choice Requires="x14">
            <control shapeId="76815" r:id="rId12" name="Button 15">
              <controlPr defaultSize="0" print="0" autoFill="0" autoPict="0" macro="[0]!AddRow">
                <anchor moveWithCells="1">
                  <from>
                    <xdr:col>5</xdr:col>
                    <xdr:colOff>238125</xdr:colOff>
                    <xdr:row>0</xdr:row>
                    <xdr:rowOff>85725</xdr:rowOff>
                  </from>
                  <to>
                    <xdr:col>5</xdr:col>
                    <xdr:colOff>714375</xdr:colOff>
                    <xdr:row>1</xdr:row>
                    <xdr:rowOff>114300</xdr:rowOff>
                  </to>
                </anchor>
              </controlPr>
            </control>
          </mc:Choice>
        </mc:AlternateContent>
        <mc:AlternateContent xmlns:mc="http://schemas.openxmlformats.org/markup-compatibility/2006">
          <mc:Choice Requires="x14">
            <control shapeId="76816" r:id="rId13" name="Button 16">
              <controlPr defaultSize="0" print="0" autoFill="0" autoPict="0" macro="[0]!DeleteRow">
                <anchor moveWithCells="1">
                  <from>
                    <xdr:col>5</xdr:col>
                    <xdr:colOff>752475</xdr:colOff>
                    <xdr:row>0</xdr:row>
                    <xdr:rowOff>85725</xdr:rowOff>
                  </from>
                  <to>
                    <xdr:col>6</xdr:col>
                    <xdr:colOff>219075</xdr:colOff>
                    <xdr:row>1</xdr:row>
                    <xdr:rowOff>114300</xdr:rowOff>
                  </to>
                </anchor>
              </controlPr>
            </control>
          </mc:Choice>
        </mc:AlternateContent>
        <mc:AlternateContent xmlns:mc="http://schemas.openxmlformats.org/markup-compatibility/2006">
          <mc:Choice Requires="x14">
            <control shapeId="76817" r:id="rId14" name="Button 17">
              <controlPr defaultSize="0" print="0" autoFill="0" autoPict="0" macro="[0]!AddColumn">
                <anchor moveWithCells="1">
                  <from>
                    <xdr:col>11</xdr:col>
                    <xdr:colOff>142875</xdr:colOff>
                    <xdr:row>0</xdr:row>
                    <xdr:rowOff>133350</xdr:rowOff>
                  </from>
                  <to>
                    <xdr:col>11</xdr:col>
                    <xdr:colOff>657225</xdr:colOff>
                    <xdr:row>1</xdr:row>
                    <xdr:rowOff>161925</xdr:rowOff>
                  </to>
                </anchor>
              </controlPr>
            </control>
          </mc:Choice>
        </mc:AlternateContent>
        <mc:AlternateContent xmlns:mc="http://schemas.openxmlformats.org/markup-compatibility/2006">
          <mc:Choice Requires="x14">
            <control shapeId="76818" r:id="rId15" name="Button 18">
              <controlPr defaultSize="0" print="0" autoFill="0" autoPict="0" macro="[0]!DeleteColumn">
                <anchor moveWithCells="1">
                  <from>
                    <xdr:col>11</xdr:col>
                    <xdr:colOff>695325</xdr:colOff>
                    <xdr:row>0</xdr:row>
                    <xdr:rowOff>133350</xdr:rowOff>
                  </from>
                  <to>
                    <xdr:col>11</xdr:col>
                    <xdr:colOff>1238250</xdr:colOff>
                    <xdr:row>1</xdr:row>
                    <xdr:rowOff>161925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A4:L4 N4:XFD4 A1:XFD3 A9:XFD1048576 A5:A8 J5:XFD6 K7:XFD8</xm:sqref>
        </x14:conditionalFormatting>
        <x14:conditionalFormatting xmlns:xm="http://schemas.microsoft.com/office/excel/2006/main">
          <x14:cfRule type="expression" priority="2" id="{E33D3390-A424-448F-9F0B-CBB4F135BB81}">
            <xm:f>Security!$A$1="NO VBA"</xm:f>
            <x14:dxf>
              <font>
                <color theme="0"/>
              </font>
              <border>
                <vertical/>
                <horizontal/>
              </border>
            </x14:dxf>
          </x14:cfRule>
          <xm:sqref>M4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FBB0-801B-40C9-96E6-1C0B279A353C}">
  <sheetPr codeName="Sheet31">
    <tabColor theme="4"/>
  </sheetPr>
  <dimension ref="A3:K25"/>
  <sheetViews>
    <sheetView showGridLines="0" zoomScaleNormal="100" workbookViewId="0">
      <selection activeCell="D5" sqref="D5"/>
    </sheetView>
  </sheetViews>
  <sheetFormatPr defaultRowHeight="18" customHeight="1" x14ac:dyDescent="0.3"/>
  <cols>
    <col min="1" max="1" width="9.625" style="7" customWidth="1"/>
    <col min="2" max="2" width="11.125" style="7" bestFit="1" customWidth="1"/>
    <col min="3" max="3" width="11.75" style="7" bestFit="1" customWidth="1"/>
    <col min="4" max="4" width="19" style="7" customWidth="1"/>
    <col min="5" max="5" width="16" style="7" bestFit="1" customWidth="1"/>
    <col min="6" max="6" width="11.25" style="7" customWidth="1"/>
    <col min="7" max="7" width="16.375" style="7" bestFit="1" customWidth="1"/>
    <col min="8" max="8" width="11.25" style="7" customWidth="1"/>
    <col min="9" max="9" width="7.375" style="7" bestFit="1" customWidth="1"/>
    <col min="10" max="10" width="5.375" style="7" bestFit="1" customWidth="1"/>
    <col min="11" max="11" width="6.625" style="7" bestFit="1" customWidth="1"/>
    <col min="12" max="16384" width="9" style="7"/>
  </cols>
  <sheetData>
    <row r="3" spans="1:11" s="46" customFormat="1" ht="18" customHeight="1" x14ac:dyDescent="0.3">
      <c r="A3" s="299">
        <v>0</v>
      </c>
      <c r="B3" s="299">
        <f>+A3+1</f>
        <v>1</v>
      </c>
      <c r="C3" s="299">
        <f t="shared" ref="C3:J3" si="0">+B3+1</f>
        <v>2</v>
      </c>
      <c r="D3" s="299">
        <f t="shared" si="0"/>
        <v>3</v>
      </c>
      <c r="E3" s="299">
        <f t="shared" si="0"/>
        <v>4</v>
      </c>
      <c r="F3" s="299">
        <f t="shared" si="0"/>
        <v>5</v>
      </c>
      <c r="G3" s="299">
        <f t="shared" si="0"/>
        <v>6</v>
      </c>
      <c r="H3" s="299">
        <f t="shared" si="0"/>
        <v>7</v>
      </c>
      <c r="I3" s="299">
        <f t="shared" si="0"/>
        <v>8</v>
      </c>
      <c r="J3" s="299">
        <f t="shared" si="0"/>
        <v>9</v>
      </c>
      <c r="K3" s="299"/>
    </row>
    <row r="4" spans="1:11" ht="18" customHeight="1" x14ac:dyDescent="0.3">
      <c r="A4" s="240"/>
      <c r="B4" s="7" t="s">
        <v>779</v>
      </c>
      <c r="C4" s="7" t="s">
        <v>780</v>
      </c>
      <c r="D4" s="7" t="s">
        <v>880</v>
      </c>
      <c r="E4" s="7" t="s">
        <v>881</v>
      </c>
      <c r="F4" s="7" t="s">
        <v>781</v>
      </c>
      <c r="G4" s="7" t="s">
        <v>782</v>
      </c>
      <c r="H4" s="7" t="s">
        <v>783</v>
      </c>
      <c r="I4" s="7" t="s">
        <v>784</v>
      </c>
      <c r="J4" s="7" t="s">
        <v>785</v>
      </c>
      <c r="K4" s="7" t="s">
        <v>873</v>
      </c>
    </row>
    <row r="5" spans="1:11" ht="18" customHeight="1" x14ac:dyDescent="0.3">
      <c r="A5" s="240"/>
      <c r="B5" s="240"/>
      <c r="C5" s="240"/>
      <c r="D5" s="242"/>
      <c r="E5" s="242">
        <f>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f>
        <v>0</v>
      </c>
      <c r="F5" s="68">
        <f>IFERROR(Table_CoDong[[#This Row],[Vốn góp hiện tại]]/SUM(Table_CoDong[Vốn góp hiện tại]),0)</f>
        <v>0</v>
      </c>
      <c r="G5" s="68">
        <f>Table_CoDong[[#This Row],[Tỷ lệ sở hữu]]</f>
        <v>0</v>
      </c>
      <c r="H5" s="240"/>
      <c r="I5" s="240"/>
      <c r="J5" s="240"/>
      <c r="K5" s="240"/>
    </row>
    <row r="6" spans="1:11" ht="18" customHeight="1" x14ac:dyDescent="0.3">
      <c r="A6" s="240"/>
      <c r="B6" s="240"/>
      <c r="C6" s="240"/>
      <c r="D6" s="240"/>
      <c r="E6" s="240"/>
      <c r="F6" s="240"/>
      <c r="G6" s="240"/>
      <c r="H6" s="240"/>
      <c r="I6" s="240"/>
      <c r="J6" s="240"/>
      <c r="K6" s="240"/>
    </row>
    <row r="7" spans="1:11" ht="18" customHeight="1" x14ac:dyDescent="0.3">
      <c r="A7" s="240"/>
      <c r="B7" s="240"/>
      <c r="C7" s="240"/>
      <c r="D7" s="240"/>
      <c r="E7" s="240"/>
      <c r="F7" s="240"/>
      <c r="G7" s="240"/>
      <c r="H7" s="240"/>
      <c r="I7" s="240"/>
      <c r="J7" s="240"/>
      <c r="K7" s="240"/>
    </row>
    <row r="8" spans="1:11" ht="18" customHeight="1" x14ac:dyDescent="0.3">
      <c r="A8" s="240"/>
      <c r="B8" s="240"/>
      <c r="C8" s="240"/>
      <c r="D8" s="240"/>
      <c r="E8" s="240"/>
      <c r="F8" s="240"/>
      <c r="G8" s="240"/>
      <c r="H8" s="240"/>
      <c r="I8" s="240"/>
      <c r="J8" s="240"/>
      <c r="K8" s="240"/>
    </row>
    <row r="9" spans="1:11" ht="18" customHeight="1" x14ac:dyDescent="0.3">
      <c r="A9" s="240"/>
      <c r="B9" s="240"/>
      <c r="C9" s="240"/>
      <c r="D9" s="240"/>
      <c r="E9" s="240"/>
      <c r="F9" s="240"/>
      <c r="G9" s="240"/>
      <c r="H9" s="240"/>
      <c r="I9" s="240"/>
      <c r="J9" s="240"/>
      <c r="K9" s="240"/>
    </row>
    <row r="10" spans="1:11" ht="18" customHeight="1" x14ac:dyDescent="0.3">
      <c r="A10" s="240"/>
      <c r="B10" s="240"/>
      <c r="C10" s="240"/>
      <c r="D10" s="240"/>
      <c r="E10" s="240"/>
      <c r="F10" s="240"/>
      <c r="G10" s="240"/>
      <c r="H10" s="240"/>
      <c r="I10" s="240"/>
      <c r="J10" s="240"/>
      <c r="K10" s="240"/>
    </row>
    <row r="11" spans="1:11" ht="18" customHeight="1" x14ac:dyDescent="0.3">
      <c r="A11" s="240"/>
      <c r="B11" s="240"/>
      <c r="C11" s="240"/>
      <c r="D11" s="240"/>
      <c r="E11" s="240"/>
      <c r="F11" s="240"/>
      <c r="G11" s="240"/>
      <c r="H11" s="240"/>
      <c r="I11" s="240"/>
      <c r="J11" s="240"/>
      <c r="K11" s="240"/>
    </row>
    <row r="12" spans="1:11" ht="18" customHeight="1" x14ac:dyDescent="0.3">
      <c r="A12" s="240"/>
      <c r="B12" s="240"/>
      <c r="C12" s="240"/>
      <c r="D12" s="240"/>
      <c r="E12" s="240"/>
      <c r="F12" s="240"/>
      <c r="G12" s="240"/>
      <c r="H12" s="240"/>
      <c r="I12" s="240"/>
      <c r="J12" s="240"/>
      <c r="K12" s="240"/>
    </row>
    <row r="13" spans="1:11" ht="18" customHeight="1" x14ac:dyDescent="0.3">
      <c r="A13" s="240"/>
      <c r="B13" s="240"/>
      <c r="C13" s="240"/>
      <c r="D13" s="240"/>
      <c r="E13" s="240"/>
      <c r="F13" s="240"/>
      <c r="G13" s="240"/>
      <c r="H13" s="240"/>
      <c r="I13" s="240"/>
      <c r="J13" s="240"/>
      <c r="K13" s="240"/>
    </row>
    <row r="14" spans="1:11" ht="18" customHeight="1" x14ac:dyDescent="0.3">
      <c r="A14" s="240"/>
      <c r="B14" s="240"/>
      <c r="C14" s="240"/>
      <c r="D14" s="240"/>
      <c r="E14" s="240"/>
      <c r="F14" s="240"/>
      <c r="G14" s="240"/>
      <c r="H14" s="240"/>
      <c r="I14" s="240"/>
      <c r="J14" s="240"/>
      <c r="K14" s="240"/>
    </row>
    <row r="15" spans="1:11" ht="18" customHeight="1" x14ac:dyDescent="0.3">
      <c r="A15" s="240"/>
      <c r="B15" s="240"/>
      <c r="C15" s="240"/>
      <c r="D15" s="240"/>
      <c r="E15" s="240"/>
      <c r="F15" s="240"/>
      <c r="G15" s="240"/>
      <c r="H15" s="240"/>
      <c r="I15" s="240"/>
      <c r="J15" s="240"/>
      <c r="K15" s="240"/>
    </row>
    <row r="16" spans="1:11" ht="18" customHeight="1" x14ac:dyDescent="0.3">
      <c r="A16" s="240"/>
      <c r="B16" s="240"/>
      <c r="C16" s="240"/>
      <c r="D16" s="240"/>
      <c r="E16" s="240"/>
      <c r="F16" s="240"/>
      <c r="G16" s="240"/>
      <c r="H16" s="240"/>
      <c r="I16" s="240"/>
      <c r="J16" s="240"/>
      <c r="K16" s="240"/>
    </row>
    <row r="17" spans="1:11" ht="18" customHeight="1" x14ac:dyDescent="0.3">
      <c r="A17" s="240"/>
      <c r="B17" s="240"/>
      <c r="C17" s="240"/>
      <c r="D17" s="240"/>
      <c r="E17" s="240"/>
      <c r="F17" s="240"/>
      <c r="G17" s="240"/>
      <c r="H17" s="240"/>
      <c r="I17" s="240"/>
      <c r="J17" s="240"/>
      <c r="K17" s="240"/>
    </row>
    <row r="18" spans="1:11" ht="18" customHeight="1" x14ac:dyDescent="0.3">
      <c r="A18" s="240"/>
      <c r="B18" s="240"/>
      <c r="C18" s="240"/>
      <c r="D18" s="240"/>
      <c r="E18" s="240"/>
      <c r="F18" s="240"/>
      <c r="G18" s="240"/>
      <c r="H18" s="240"/>
      <c r="I18" s="240"/>
      <c r="J18" s="240"/>
      <c r="K18" s="240"/>
    </row>
    <row r="19" spans="1:11" ht="18" customHeight="1" x14ac:dyDescent="0.3">
      <c r="A19" s="240"/>
      <c r="B19" s="240"/>
      <c r="C19" s="240"/>
      <c r="D19" s="240"/>
      <c r="E19" s="240"/>
      <c r="F19" s="240"/>
      <c r="G19" s="240"/>
      <c r="H19" s="240"/>
      <c r="I19" s="240"/>
      <c r="J19" s="240"/>
      <c r="K19" s="240"/>
    </row>
    <row r="20" spans="1:11" ht="18" customHeight="1" x14ac:dyDescent="0.3">
      <c r="A20" s="240"/>
      <c r="B20" s="240"/>
      <c r="C20" s="240"/>
      <c r="D20" s="240"/>
      <c r="E20" s="240"/>
      <c r="F20" s="240"/>
      <c r="G20" s="240"/>
      <c r="H20" s="240"/>
      <c r="I20" s="240"/>
      <c r="J20" s="240"/>
      <c r="K20" s="240"/>
    </row>
    <row r="21" spans="1:11" ht="18" customHeight="1" x14ac:dyDescent="0.3">
      <c r="A21" s="240"/>
      <c r="B21" s="240"/>
      <c r="C21" s="240"/>
      <c r="D21" s="240"/>
      <c r="E21" s="240"/>
      <c r="F21" s="240"/>
      <c r="G21" s="240"/>
      <c r="H21" s="240"/>
      <c r="I21" s="240"/>
      <c r="J21" s="240"/>
      <c r="K21" s="240"/>
    </row>
    <row r="22" spans="1:11" ht="18" customHeight="1" x14ac:dyDescent="0.3">
      <c r="A22" s="240"/>
      <c r="B22" s="240"/>
      <c r="C22" s="240"/>
      <c r="D22" s="240"/>
      <c r="E22" s="240"/>
      <c r="F22" s="240"/>
      <c r="G22" s="240"/>
      <c r="H22" s="240"/>
      <c r="I22" s="240"/>
      <c r="J22" s="240"/>
      <c r="K22" s="240"/>
    </row>
    <row r="23" spans="1:11" ht="18" customHeight="1" x14ac:dyDescent="0.3">
      <c r="A23" s="240"/>
      <c r="B23" s="240"/>
      <c r="C23" s="240"/>
      <c r="D23" s="240"/>
      <c r="E23" s="240"/>
      <c r="F23" s="240"/>
      <c r="G23" s="240"/>
      <c r="H23" s="240"/>
      <c r="I23" s="240"/>
      <c r="J23" s="240"/>
      <c r="K23" s="240"/>
    </row>
    <row r="24" spans="1:11" ht="18" customHeight="1" x14ac:dyDescent="0.3">
      <c r="A24" s="240"/>
      <c r="B24" s="240"/>
      <c r="C24" s="240"/>
      <c r="D24" s="240"/>
      <c r="E24" s="240"/>
      <c r="F24" s="240"/>
      <c r="G24" s="240"/>
      <c r="H24" s="240"/>
      <c r="I24" s="240"/>
      <c r="J24" s="240"/>
      <c r="K24" s="240"/>
    </row>
    <row r="25" spans="1:11" ht="18" customHeight="1" x14ac:dyDescent="0.3">
      <c r="A25" s="240"/>
      <c r="B25" s="240"/>
      <c r="C25" s="240"/>
      <c r="D25" s="240"/>
      <c r="E25" s="240"/>
      <c r="F25" s="240"/>
      <c r="G25" s="240"/>
      <c r="H25" s="240"/>
      <c r="I25" s="240"/>
      <c r="J25" s="240"/>
      <c r="K25" s="240"/>
    </row>
  </sheetData>
  <sheetProtection algorithmName="SHA-512" hashValue="sVY/XRx9xKtb5YC6aiNOZeW/Dv0hXhZdDRsXtBJyQx5proiWKbQqNR8+/YXMg6gFNqpG7RPF9cC08y6EKmenlQ==" saltValue="efS5lnkrXS0g6DFI7cnC0g==" spinCount="100000" sheet="1" scenarios="1" formatCells="0" formatColumns="0" formatRows="0" insertColumns="0" insertRows="0" deleteColumns="0" deleteRows="0" sort="0" autoFilter="0" pivotTables="0"/>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3" r:id="rId3" name="Option Button 7">
              <controlPr defaultSize="0" autoFill="0" autoLine="0" autoPict="0" macro="[0]!DoiDonViHienThi">
                <anchor moveWithCells="1">
                  <from>
                    <xdr:col>3</xdr:col>
                    <xdr:colOff>133350</xdr:colOff>
                    <xdr:row>0</xdr:row>
                    <xdr:rowOff>152400</xdr:rowOff>
                  </from>
                  <to>
                    <xdr:col>3</xdr:col>
                    <xdr:colOff>723900</xdr:colOff>
                    <xdr:row>1</xdr:row>
                    <xdr:rowOff>200025</xdr:rowOff>
                  </to>
                </anchor>
              </controlPr>
            </control>
          </mc:Choice>
        </mc:AlternateContent>
        <mc:AlternateContent xmlns:mc="http://schemas.openxmlformats.org/markup-compatibility/2006">
          <mc:Choice Requires="x14">
            <control shapeId="75784" r:id="rId4" name="Option Button 8">
              <controlPr defaultSize="0" autoFill="0" autoLine="0" autoPict="0" macro="[0]!DoiDonViHienThi">
                <anchor moveWithCells="1">
                  <from>
                    <xdr:col>3</xdr:col>
                    <xdr:colOff>600075</xdr:colOff>
                    <xdr:row>0</xdr:row>
                    <xdr:rowOff>152400</xdr:rowOff>
                  </from>
                  <to>
                    <xdr:col>3</xdr:col>
                    <xdr:colOff>1190625</xdr:colOff>
                    <xdr:row>1</xdr:row>
                    <xdr:rowOff>200025</xdr:rowOff>
                  </to>
                </anchor>
              </controlPr>
            </control>
          </mc:Choice>
        </mc:AlternateContent>
        <mc:AlternateContent xmlns:mc="http://schemas.openxmlformats.org/markup-compatibility/2006">
          <mc:Choice Requires="x14">
            <control shapeId="75785" r:id="rId5" name="Option Button 9">
              <controlPr defaultSize="0" autoFill="0" autoLine="0" autoPict="0" macro="[0]!DoiDonViHienThi">
                <anchor moveWithCells="1">
                  <from>
                    <xdr:col>3</xdr:col>
                    <xdr:colOff>1066800</xdr:colOff>
                    <xdr:row>0</xdr:row>
                    <xdr:rowOff>152400</xdr:rowOff>
                  </from>
                  <to>
                    <xdr:col>4</xdr:col>
                    <xdr:colOff>209550</xdr:colOff>
                    <xdr:row>1</xdr:row>
                    <xdr:rowOff>200025</xdr:rowOff>
                  </to>
                </anchor>
              </controlPr>
            </control>
          </mc:Choice>
        </mc:AlternateContent>
        <mc:AlternateContent xmlns:mc="http://schemas.openxmlformats.org/markup-compatibility/2006">
          <mc:Choice Requires="x14">
            <control shapeId="75786" r:id="rId6" name="Option Button 10">
              <controlPr defaultSize="0" autoFill="0" autoLine="0" autoPict="0" macro="[0]!DoiDonViHienThi">
                <anchor moveWithCells="1">
                  <from>
                    <xdr:col>4</xdr:col>
                    <xdr:colOff>95250</xdr:colOff>
                    <xdr:row>0</xdr:row>
                    <xdr:rowOff>152400</xdr:rowOff>
                  </from>
                  <to>
                    <xdr:col>4</xdr:col>
                    <xdr:colOff>447675</xdr:colOff>
                    <xdr:row>1</xdr:row>
                    <xdr:rowOff>200025</xdr:rowOff>
                  </to>
                </anchor>
              </controlPr>
            </control>
          </mc:Choice>
        </mc:AlternateContent>
        <mc:AlternateContent xmlns:mc="http://schemas.openxmlformats.org/markup-compatibility/2006">
          <mc:Choice Requires="x14">
            <control shapeId="75787" r:id="rId7" name="Group Box 11">
              <controlPr defaultSize="0" autoFill="0" autoPict="0">
                <anchor moveWithCells="1">
                  <from>
                    <xdr:col>3</xdr:col>
                    <xdr:colOff>19050</xdr:colOff>
                    <xdr:row>0</xdr:row>
                    <xdr:rowOff>104775</xdr:rowOff>
                  </from>
                  <to>
                    <xdr:col>4</xdr:col>
                    <xdr:colOff>561975</xdr:colOff>
                    <xdr:row>2</xdr:row>
                    <xdr:rowOff>9525</xdr:rowOff>
                  </to>
                </anchor>
              </controlPr>
            </control>
          </mc:Choice>
        </mc:AlternateContent>
        <mc:AlternateContent xmlns:mc="http://schemas.openxmlformats.org/markup-compatibility/2006">
          <mc:Choice Requires="x14">
            <control shapeId="75788" r:id="rId8" name="Group Box 12">
              <controlPr defaultSize="0" autoFill="0" autoPict="0">
                <anchor moveWithCells="1">
                  <from>
                    <xdr:col>1</xdr:col>
                    <xdr:colOff>57150</xdr:colOff>
                    <xdr:row>0</xdr:row>
                    <xdr:rowOff>104775</xdr:rowOff>
                  </from>
                  <to>
                    <xdr:col>2</xdr:col>
                    <xdr:colOff>866775</xdr:colOff>
                    <xdr:row>2</xdr:row>
                    <xdr:rowOff>9525</xdr:rowOff>
                  </to>
                </anchor>
              </controlPr>
            </control>
          </mc:Choice>
        </mc:AlternateContent>
        <mc:AlternateContent xmlns:mc="http://schemas.openxmlformats.org/markup-compatibility/2006">
          <mc:Choice Requires="x14">
            <control shapeId="75789" r:id="rId9" name="Button 13">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5790" r:id="rId10" name="Button 14">
              <controlPr defaultSize="0" autoFill="0" autoPict="0" macro="[0]!NhanTrieu">
                <anchor moveWithCells="1">
                  <from>
                    <xdr:col>1</xdr:col>
                    <xdr:colOff>657225</xdr:colOff>
                    <xdr:row>0</xdr:row>
                    <xdr:rowOff>200025</xdr:rowOff>
                  </from>
                  <to>
                    <xdr:col>2</xdr:col>
                    <xdr:colOff>276225</xdr:colOff>
                    <xdr:row>1</xdr:row>
                    <xdr:rowOff>142875</xdr:rowOff>
                  </to>
                </anchor>
              </controlPr>
            </control>
          </mc:Choice>
        </mc:AlternateContent>
        <mc:AlternateContent xmlns:mc="http://schemas.openxmlformats.org/markup-compatibility/2006">
          <mc:Choice Requires="x14">
            <control shapeId="75791" r:id="rId11" name="Button 15">
              <controlPr defaultSize="0" autoFill="0" autoPict="0" macro="[0]!NhanTy">
                <anchor moveWithCells="1">
                  <from>
                    <xdr:col>2</xdr:col>
                    <xdr:colOff>323850</xdr:colOff>
                    <xdr:row>0</xdr:row>
                    <xdr:rowOff>200025</xdr:rowOff>
                  </from>
                  <to>
                    <xdr:col>2</xdr:col>
                    <xdr:colOff>790575</xdr:colOff>
                    <xdr:row>1</xdr:row>
                    <xdr:rowOff>142875</xdr:rowOff>
                  </to>
                </anchor>
              </controlPr>
            </control>
          </mc:Choice>
        </mc:AlternateContent>
        <mc:AlternateContent xmlns:mc="http://schemas.openxmlformats.org/markup-compatibility/2006">
          <mc:Choice Requires="x14">
            <control shapeId="75792" r:id="rId12" name="Button 16">
              <controlPr defaultSize="0" print="0" autoFill="0" autoPict="0" macro="[0]!AddRow">
                <anchor moveWithCells="1">
                  <from>
                    <xdr:col>4</xdr:col>
                    <xdr:colOff>723900</xdr:colOff>
                    <xdr:row>0</xdr:row>
                    <xdr:rowOff>142875</xdr:rowOff>
                  </from>
                  <to>
                    <xdr:col>4</xdr:col>
                    <xdr:colOff>1200150</xdr:colOff>
                    <xdr:row>1</xdr:row>
                    <xdr:rowOff>171450</xdr:rowOff>
                  </to>
                </anchor>
              </controlPr>
            </control>
          </mc:Choice>
        </mc:AlternateContent>
        <mc:AlternateContent xmlns:mc="http://schemas.openxmlformats.org/markup-compatibility/2006">
          <mc:Choice Requires="x14">
            <control shapeId="75793" r:id="rId13" name="Button 17">
              <controlPr defaultSize="0" print="0" autoFill="0" autoPict="0" macro="[0]!DeleteRow">
                <anchor moveWithCells="1">
                  <from>
                    <xdr:col>5</xdr:col>
                    <xdr:colOff>19050</xdr:colOff>
                    <xdr:row>0</xdr:row>
                    <xdr:rowOff>142875</xdr:rowOff>
                  </from>
                  <to>
                    <xdr:col>5</xdr:col>
                    <xdr:colOff>495300</xdr:colOff>
                    <xdr:row>1</xdr:row>
                    <xdr:rowOff>171450</xdr:rowOff>
                  </to>
                </anchor>
              </controlPr>
            </control>
          </mc:Choice>
        </mc:AlternateContent>
        <mc:AlternateContent xmlns:mc="http://schemas.openxmlformats.org/markup-compatibility/2006">
          <mc:Choice Requires="x14">
            <control shapeId="75794" r:id="rId14" name="Button 18">
              <controlPr defaultSize="0" print="0" autoFill="0" autoPict="0" macro="[0]!AddColumn">
                <anchor moveWithCells="1">
                  <from>
                    <xdr:col>7</xdr:col>
                    <xdr:colOff>638175</xdr:colOff>
                    <xdr:row>0</xdr:row>
                    <xdr:rowOff>161925</xdr:rowOff>
                  </from>
                  <to>
                    <xdr:col>8</xdr:col>
                    <xdr:colOff>295275</xdr:colOff>
                    <xdr:row>1</xdr:row>
                    <xdr:rowOff>190500</xdr:rowOff>
                  </to>
                </anchor>
              </controlPr>
            </control>
          </mc:Choice>
        </mc:AlternateContent>
        <mc:AlternateContent xmlns:mc="http://schemas.openxmlformats.org/markup-compatibility/2006">
          <mc:Choice Requires="x14">
            <control shapeId="75795" r:id="rId15" name="Button 19">
              <controlPr defaultSize="0" print="0" autoFill="0" autoPict="0" macro="[0]!DeleteColumn">
                <anchor moveWithCells="1">
                  <from>
                    <xdr:col>8</xdr:col>
                    <xdr:colOff>333375</xdr:colOff>
                    <xdr:row>0</xdr:row>
                    <xdr:rowOff>161925</xdr:rowOff>
                  </from>
                  <to>
                    <xdr:col>9</xdr:col>
                    <xdr:colOff>314325</xdr:colOff>
                    <xdr:row>1</xdr:row>
                    <xdr:rowOff>190500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E05A68F9-1767-49A6-B667-E0A705BFF85F}">
            <xm:f>Security!$A$1="NO VBA"</xm:f>
            <x14:dxf>
              <font>
                <color theme="0"/>
              </font>
              <border>
                <vertical/>
                <horizontal/>
              </border>
            </x14:dxf>
          </x14:cfRule>
          <xm:sqref>L4:XFD4 A4:J4 A1:XFD3 A5:XFD1048576</xm:sqref>
        </x14:conditionalFormatting>
        <x14:conditionalFormatting xmlns:xm="http://schemas.microsoft.com/office/excel/2006/main">
          <x14:cfRule type="expression" priority="1" id="{6020DEA0-2BB1-402C-8B91-0622A8D06A64}">
            <xm:f>Security!$A$1="NO VBA"</xm:f>
            <x14:dxf>
              <font>
                <color theme="0"/>
              </font>
              <border>
                <vertical/>
                <horizontal/>
              </border>
            </x14:dxf>
          </x14:cfRule>
          <xm:sqref>K4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CA3F3-167C-446F-96F0-2FFB4967DFCE}">
  <sheetPr codeName="Sheet27">
    <tabColor theme="7"/>
    <outlinePr summaryRight="0"/>
  </sheetPr>
  <dimension ref="B1:V20"/>
  <sheetViews>
    <sheetView showGridLines="0" topLeftCell="J1" workbookViewId="0">
      <selection activeCell="O20" sqref="O20"/>
    </sheetView>
  </sheetViews>
  <sheetFormatPr defaultRowHeight="18" customHeight="1" outlineLevelRow="1" outlineLevelCol="2" x14ac:dyDescent="0.3"/>
  <cols>
    <col min="1" max="1" width="8" style="7" customWidth="1"/>
    <col min="2" max="2" width="5.375" style="7" customWidth="1" outlineLevel="1"/>
    <col min="3" max="3" width="10" style="7" customWidth="1" outlineLevel="1"/>
    <col min="4" max="4" width="5.625" style="7" customWidth="1" outlineLevel="1"/>
    <col min="5" max="5" width="6" style="7" customWidth="1" outlineLevel="1"/>
    <col min="6" max="6" width="7.125" style="7" customWidth="1" outlineLevel="1"/>
    <col min="7" max="7" width="10.25" style="7" bestFit="1" customWidth="1" outlineLevel="1"/>
    <col min="8" max="8" width="11.5" style="7" bestFit="1" customWidth="1" outlineLevel="1"/>
    <col min="9" max="9" width="27.375" style="38" customWidth="1" outlineLevel="1"/>
    <col min="10" max="10" width="12.375" style="38" bestFit="1" customWidth="1" outlineLevel="1"/>
    <col min="11" max="11" width="8" style="7" customWidth="1" outlineLevel="1"/>
    <col min="12" max="12" width="18" style="7" customWidth="1" outlineLevel="1"/>
    <col min="13" max="13" width="17.875" style="7" customWidth="1" outlineLevel="1"/>
    <col min="14" max="14" width="12.25" style="7" bestFit="1" customWidth="1" outlineLevel="1"/>
    <col min="15" max="15" width="14.5" style="7" customWidth="1" outlineLevel="2"/>
    <col min="16" max="16" width="11.875" style="7" customWidth="1" outlineLevel="1"/>
    <col min="17" max="17" width="8.125" style="7" customWidth="1" outlineLevel="1"/>
    <col min="18" max="18" width="14.375" style="7" customWidth="1" outlineLevel="2"/>
    <col min="19" max="19" width="6.75" style="7" customWidth="1" outlineLevel="1" collapsed="1"/>
    <col min="20" max="20" width="8.125" style="7" customWidth="1" outlineLevel="1"/>
    <col min="21" max="21" width="6.75" style="7" bestFit="1" customWidth="1"/>
    <col min="22" max="22" width="9.125" style="7" bestFit="1" customWidth="1"/>
    <col min="23" max="16384" width="9" style="7"/>
  </cols>
  <sheetData>
    <row r="1" spans="2:20" ht="37.5" customHeight="1" x14ac:dyDescent="0.3">
      <c r="B1" s="46"/>
      <c r="C1" s="46">
        <v>1</v>
      </c>
      <c r="D1" s="46">
        <f t="shared" ref="D1:R1" si="0">+C1+1</f>
        <v>2</v>
      </c>
      <c r="E1" s="46">
        <f t="shared" si="0"/>
        <v>3</v>
      </c>
      <c r="F1" s="46">
        <f t="shared" si="0"/>
        <v>4</v>
      </c>
      <c r="G1" s="46">
        <f t="shared" si="0"/>
        <v>5</v>
      </c>
      <c r="H1" s="46">
        <f t="shared" si="0"/>
        <v>6</v>
      </c>
      <c r="I1" s="46">
        <f t="shared" si="0"/>
        <v>7</v>
      </c>
      <c r="J1" s="46">
        <f t="shared" si="0"/>
        <v>8</v>
      </c>
      <c r="K1" s="46">
        <f t="shared" si="0"/>
        <v>9</v>
      </c>
      <c r="L1" s="46">
        <f t="shared" si="0"/>
        <v>10</v>
      </c>
      <c r="M1" s="46">
        <f t="shared" si="0"/>
        <v>11</v>
      </c>
      <c r="N1" s="46"/>
      <c r="O1" s="46"/>
      <c r="P1" s="46">
        <f>+M1+1</f>
        <v>12</v>
      </c>
      <c r="Q1" s="46">
        <f t="shared" si="0"/>
        <v>13</v>
      </c>
      <c r="R1" s="46">
        <f t="shared" si="0"/>
        <v>14</v>
      </c>
      <c r="S1" s="46"/>
      <c r="T1" s="46">
        <f>+Q1+1</f>
        <v>14</v>
      </c>
    </row>
    <row r="2" spans="2:20" ht="18" hidden="1" customHeight="1" outlineLevel="1" x14ac:dyDescent="0.3">
      <c r="B2" s="46"/>
      <c r="C2" s="46"/>
      <c r="D2" s="46"/>
      <c r="E2" s="46"/>
      <c r="F2" s="46"/>
      <c r="G2" s="46"/>
      <c r="H2" s="46"/>
      <c r="I2" s="7">
        <v>1</v>
      </c>
      <c r="J2" s="7">
        <v>2</v>
      </c>
      <c r="K2" s="46"/>
      <c r="L2" s="46"/>
      <c r="M2" s="46"/>
      <c r="N2" s="46"/>
      <c r="O2" s="46"/>
      <c r="P2" s="46"/>
      <c r="Q2" s="46"/>
      <c r="R2" s="46"/>
      <c r="S2" s="46"/>
      <c r="T2" s="46"/>
    </row>
    <row r="3" spans="2:20" ht="18" hidden="1" customHeight="1" outlineLevel="1" x14ac:dyDescent="0.3">
      <c r="B3" s="46"/>
      <c r="C3" s="46"/>
      <c r="D3" s="46"/>
      <c r="E3" s="46"/>
      <c r="F3" s="46"/>
      <c r="G3" s="46"/>
      <c r="H3" s="46"/>
      <c r="I3" s="7" t="s">
        <v>129</v>
      </c>
      <c r="J3" s="7" t="s">
        <v>583</v>
      </c>
      <c r="K3" s="46"/>
      <c r="L3" s="46"/>
      <c r="M3" s="46"/>
      <c r="N3" s="46"/>
      <c r="O3" s="46"/>
      <c r="P3" s="46"/>
      <c r="Q3" s="46"/>
      <c r="R3" s="46"/>
      <c r="S3" s="46"/>
      <c r="T3" s="46"/>
    </row>
    <row r="4" spans="2:20" ht="18" hidden="1" customHeight="1" outlineLevel="1" x14ac:dyDescent="0.3">
      <c r="B4" s="46"/>
      <c r="C4" s="46"/>
      <c r="D4" s="46"/>
      <c r="E4" s="46"/>
      <c r="F4" s="46"/>
      <c r="G4" s="46"/>
      <c r="H4" s="46"/>
      <c r="I4" s="7" t="s">
        <v>346</v>
      </c>
      <c r="J4" s="7" t="s">
        <v>590</v>
      </c>
      <c r="K4" s="46"/>
      <c r="L4" s="46"/>
      <c r="M4" s="46"/>
      <c r="N4" s="46"/>
      <c r="O4" s="46"/>
      <c r="P4" s="46"/>
      <c r="Q4" s="46"/>
      <c r="R4" s="46"/>
      <c r="S4" s="46"/>
      <c r="T4" s="46"/>
    </row>
    <row r="5" spans="2:20" ht="18" hidden="1" customHeight="1" outlineLevel="1" x14ac:dyDescent="0.3">
      <c r="B5" s="46"/>
      <c r="C5" s="46"/>
      <c r="D5" s="46"/>
      <c r="E5" s="46"/>
      <c r="F5" s="46"/>
      <c r="G5" s="46"/>
      <c r="H5" s="46"/>
      <c r="I5" s="7" t="s">
        <v>369</v>
      </c>
      <c r="J5" s="7" t="s">
        <v>590</v>
      </c>
      <c r="K5" s="46"/>
      <c r="L5" s="46"/>
      <c r="M5" s="46"/>
      <c r="N5" s="46"/>
      <c r="O5" s="46"/>
      <c r="P5" s="46"/>
      <c r="Q5" s="46"/>
      <c r="R5" s="46"/>
      <c r="S5" s="46"/>
      <c r="T5" s="46"/>
    </row>
    <row r="6" spans="2:20" ht="18" hidden="1" customHeight="1" outlineLevel="1" x14ac:dyDescent="0.3">
      <c r="B6" s="46"/>
      <c r="C6" s="46"/>
      <c r="D6" s="46"/>
      <c r="E6" s="46"/>
      <c r="F6" s="46"/>
      <c r="G6" s="46"/>
      <c r="H6" s="46"/>
      <c r="I6" s="7" t="s">
        <v>343</v>
      </c>
      <c r="J6" s="7" t="s">
        <v>759</v>
      </c>
      <c r="K6" s="46"/>
      <c r="L6" s="46"/>
      <c r="M6" s="46"/>
      <c r="N6" s="46"/>
      <c r="O6" s="46"/>
      <c r="P6" s="46"/>
      <c r="Q6" s="46"/>
      <c r="R6" s="46"/>
      <c r="S6" s="46"/>
      <c r="T6" s="46"/>
    </row>
    <row r="7" spans="2:20" ht="18" hidden="1" customHeight="1" outlineLevel="1" x14ac:dyDescent="0.3">
      <c r="B7" s="46"/>
      <c r="C7" s="46"/>
      <c r="D7" s="46"/>
      <c r="E7" s="46"/>
      <c r="F7" s="46"/>
      <c r="G7" s="46"/>
      <c r="H7" s="46"/>
      <c r="I7" s="7" t="s">
        <v>344</v>
      </c>
      <c r="J7" s="7" t="s">
        <v>759</v>
      </c>
      <c r="K7" s="46"/>
      <c r="L7" s="46"/>
      <c r="M7" s="46"/>
      <c r="N7" s="46"/>
      <c r="O7" s="46"/>
      <c r="P7" s="46"/>
      <c r="Q7" s="46"/>
      <c r="R7" s="46"/>
      <c r="S7" s="46"/>
      <c r="T7" s="46"/>
    </row>
    <row r="8" spans="2:20" ht="18" hidden="1" customHeight="1" outlineLevel="1" x14ac:dyDescent="0.3">
      <c r="B8" s="46"/>
      <c r="C8" s="46"/>
      <c r="D8" s="46"/>
      <c r="E8" s="46"/>
      <c r="F8" s="46"/>
      <c r="G8" s="46"/>
      <c r="H8" s="46"/>
      <c r="I8" s="7" t="s">
        <v>345</v>
      </c>
      <c r="J8" s="7" t="s">
        <v>759</v>
      </c>
      <c r="K8" s="46"/>
      <c r="L8" s="46"/>
      <c r="M8" s="46"/>
      <c r="N8" s="46"/>
      <c r="O8" s="46"/>
      <c r="P8" s="46"/>
      <c r="Q8" s="46"/>
      <c r="R8" s="46"/>
      <c r="S8" s="46"/>
      <c r="T8" s="46"/>
    </row>
    <row r="9" spans="2:20" ht="18" hidden="1" customHeight="1" outlineLevel="1" x14ac:dyDescent="0.3">
      <c r="B9" s="46"/>
      <c r="C9" s="46"/>
      <c r="D9" s="46"/>
      <c r="E9" s="46"/>
      <c r="F9" s="46"/>
      <c r="G9" s="46"/>
      <c r="H9" s="46"/>
      <c r="I9" s="7" t="s">
        <v>378</v>
      </c>
      <c r="J9" s="7" t="s">
        <v>759</v>
      </c>
      <c r="K9" s="46"/>
      <c r="L9" s="46"/>
      <c r="M9" s="46"/>
      <c r="N9" s="46"/>
      <c r="O9" s="46"/>
      <c r="P9" s="46"/>
      <c r="Q9" s="46"/>
      <c r="R9" s="46"/>
      <c r="S9" s="46"/>
      <c r="T9" s="46"/>
    </row>
    <row r="10" spans="2:20" ht="18" hidden="1" customHeight="1" outlineLevel="1" x14ac:dyDescent="0.3">
      <c r="B10" s="46"/>
      <c r="C10" s="46"/>
      <c r="D10" s="46"/>
      <c r="E10" s="46"/>
      <c r="F10" s="46"/>
      <c r="G10" s="46"/>
      <c r="H10" s="46"/>
      <c r="I10" s="7" t="s">
        <v>347</v>
      </c>
      <c r="J10" s="7" t="s">
        <v>760</v>
      </c>
      <c r="K10" s="46"/>
      <c r="L10" s="46"/>
      <c r="M10" s="46"/>
      <c r="N10" s="46"/>
      <c r="O10" s="46"/>
      <c r="P10" s="46"/>
      <c r="Q10" s="46"/>
      <c r="R10" s="46"/>
      <c r="S10" s="46"/>
      <c r="T10" s="46"/>
    </row>
    <row r="11" spans="2:20" ht="18" hidden="1" customHeight="1" outlineLevel="1" x14ac:dyDescent="0.3">
      <c r="B11" s="46"/>
      <c r="C11" s="46"/>
      <c r="D11" s="46"/>
      <c r="E11" s="46"/>
      <c r="F11" s="46"/>
      <c r="G11" s="46"/>
      <c r="H11" s="46"/>
      <c r="I11" s="7" t="s">
        <v>299</v>
      </c>
      <c r="J11" s="7" t="s">
        <v>760</v>
      </c>
      <c r="K11" s="46"/>
      <c r="L11" s="46"/>
      <c r="M11" s="46"/>
      <c r="N11" s="46"/>
      <c r="O11" s="46"/>
      <c r="P11" s="46"/>
      <c r="Q11" s="46"/>
      <c r="R11" s="46"/>
      <c r="S11" s="46"/>
      <c r="T11" s="46"/>
    </row>
    <row r="12" spans="2:20" ht="18" hidden="1" customHeight="1" outlineLevel="1" x14ac:dyDescent="0.3">
      <c r="B12" s="46"/>
      <c r="C12" s="46"/>
      <c r="D12" s="46"/>
      <c r="E12" s="46"/>
      <c r="F12" s="46"/>
      <c r="G12" s="46"/>
      <c r="H12" s="46"/>
      <c r="I12" s="7" t="s">
        <v>398</v>
      </c>
      <c r="J12" s="7" t="s">
        <v>760</v>
      </c>
      <c r="K12" s="46"/>
      <c r="L12" s="46"/>
      <c r="M12" s="46"/>
      <c r="N12" s="46"/>
      <c r="O12" s="46"/>
      <c r="P12" s="46"/>
      <c r="Q12" s="46"/>
      <c r="R12" s="46"/>
      <c r="S12" s="46"/>
      <c r="T12" s="46"/>
    </row>
    <row r="13" spans="2:20" ht="18" hidden="1" customHeight="1" outlineLevel="1" x14ac:dyDescent="0.3">
      <c r="B13" s="46"/>
      <c r="C13" s="46"/>
      <c r="D13" s="46"/>
      <c r="E13" s="46"/>
      <c r="F13" s="46"/>
      <c r="G13" s="46"/>
      <c r="H13" s="46"/>
      <c r="I13" s="7" t="s">
        <v>385</v>
      </c>
      <c r="J13" s="7" t="s">
        <v>760</v>
      </c>
      <c r="K13" s="46"/>
      <c r="L13" s="46"/>
      <c r="M13" s="46"/>
      <c r="N13" s="46"/>
      <c r="O13" s="46"/>
      <c r="P13" s="46"/>
      <c r="Q13" s="46"/>
      <c r="R13" s="46"/>
      <c r="S13" s="46"/>
      <c r="T13" s="46"/>
    </row>
    <row r="14" spans="2:20" ht="18" hidden="1" customHeight="1" outlineLevel="1" x14ac:dyDescent="0.3">
      <c r="B14" s="46"/>
      <c r="C14" s="46"/>
      <c r="D14" s="46"/>
      <c r="E14" s="46"/>
      <c r="F14" s="46"/>
      <c r="G14" s="46"/>
      <c r="H14" s="46"/>
      <c r="I14" s="7" t="s">
        <v>761</v>
      </c>
      <c r="J14" s="7" t="s">
        <v>762</v>
      </c>
      <c r="K14" s="46"/>
      <c r="L14" s="46"/>
      <c r="M14" s="46"/>
      <c r="N14" s="21"/>
      <c r="O14" s="46"/>
      <c r="P14" s="46"/>
      <c r="Q14" s="46"/>
      <c r="R14" s="46"/>
      <c r="S14" s="46"/>
      <c r="T14" s="46"/>
    </row>
    <row r="15" spans="2:20" ht="18" hidden="1" customHeight="1" outlineLevel="1" x14ac:dyDescent="0.3">
      <c r="B15" s="46"/>
      <c r="C15" s="46"/>
      <c r="D15" s="46"/>
      <c r="E15" s="46"/>
      <c r="F15" s="46"/>
      <c r="G15" s="46"/>
      <c r="H15" s="46"/>
      <c r="I15" s="7" t="s">
        <v>763</v>
      </c>
      <c r="J15" s="7" t="s">
        <v>762</v>
      </c>
      <c r="K15" s="46"/>
      <c r="L15" s="46"/>
      <c r="M15" s="46"/>
      <c r="N15" s="21"/>
      <c r="O15" s="46"/>
      <c r="P15" s="46"/>
      <c r="Q15" s="46"/>
      <c r="R15" s="46"/>
      <c r="S15" s="46"/>
      <c r="T15" s="46"/>
    </row>
    <row r="16" spans="2:20" ht="18" hidden="1" customHeight="1" outlineLevel="1" x14ac:dyDescent="0.3">
      <c r="B16" s="46"/>
      <c r="C16" s="46"/>
      <c r="D16" s="46"/>
      <c r="E16" s="46"/>
      <c r="F16" s="46"/>
      <c r="G16" s="46"/>
      <c r="H16" s="46"/>
      <c r="I16" s="7" t="s">
        <v>764</v>
      </c>
      <c r="J16" s="7" t="s">
        <v>762</v>
      </c>
      <c r="K16" s="46"/>
      <c r="L16" s="46"/>
      <c r="M16" s="46"/>
      <c r="N16" s="46"/>
      <c r="O16" s="46"/>
      <c r="P16" s="46"/>
      <c r="Q16" s="46"/>
      <c r="R16" s="46"/>
      <c r="S16" s="46"/>
      <c r="T16" s="46"/>
    </row>
    <row r="17" spans="2:22" ht="18" hidden="1" customHeight="1" outlineLevel="1" x14ac:dyDescent="0.3">
      <c r="B17" s="46"/>
      <c r="C17" s="46"/>
      <c r="D17" s="46"/>
      <c r="E17" s="46"/>
      <c r="F17" s="46"/>
      <c r="G17" s="46"/>
      <c r="H17" s="46"/>
      <c r="I17" s="46"/>
      <c r="J17" s="46"/>
      <c r="K17" s="46"/>
      <c r="L17" s="46"/>
      <c r="M17" s="46"/>
      <c r="N17" s="46"/>
      <c r="O17" s="46"/>
      <c r="P17" s="46"/>
      <c r="Q17" s="46"/>
      <c r="R17" s="46"/>
      <c r="S17" s="46"/>
      <c r="T17" s="46"/>
    </row>
    <row r="18" spans="2:22" ht="18" customHeight="1" collapsed="1" x14ac:dyDescent="0.3">
      <c r="B18" s="233">
        <v>1</v>
      </c>
      <c r="C18" s="51" t="str">
        <f>CONCATENATE("CP-",K18,"-",MOD(E18,100)*100+F18,"-",B18)</f>
        <v>CP--0-1</v>
      </c>
      <c r="D18" s="63">
        <f>IFERROR(
IF(ISBLANK(F18),
DATE(E18,12,1),
DATE(E18,F18,1)),0)</f>
        <v>336</v>
      </c>
      <c r="E18" s="391"/>
      <c r="F18" s="391"/>
      <c r="G18" s="403"/>
      <c r="H18" s="403"/>
      <c r="I18" s="230"/>
      <c r="J18" s="230"/>
      <c r="K18" s="230"/>
      <c r="L18" s="230"/>
      <c r="M18" s="404"/>
      <c r="N18" s="553"/>
      <c r="O18" s="48">
        <f>M18*N18</f>
        <v>0</v>
      </c>
      <c r="P18" s="176"/>
      <c r="Q18" s="48">
        <f>P18*M18/(1+P18)</f>
        <v>0</v>
      </c>
      <c r="R18" s="48">
        <f>M18-Q18</f>
        <v>0</v>
      </c>
      <c r="S18" s="234"/>
      <c r="T18" s="234"/>
      <c r="V18" s="7" t="str" cm="1">
        <f t="array" ref="V18">IF(J18="Khách hàng",TRANSPOSE(_xlfn._xlws.SORT(Table_KhachHang[Mã KH])),
IF(J18="NSNN", TRANSPOSE(_xlfn._xlws.SORT(Table_NopNS_NganSach[Loại thuế])),
TRANSPOSE(_xlfn._xlws.SORT(_xlfn._xlws.FILTER(Table_NhaCungCap[Mã Đối tác],Table_NhaCungCap[Loại đối tác]=J18,"")))))</f>
        <v/>
      </c>
    </row>
    <row r="19" spans="2:22" ht="18" customHeight="1" x14ac:dyDescent="0.3">
      <c r="B19" s="7" t="s">
        <v>638</v>
      </c>
      <c r="C19" s="7" t="s">
        <v>639</v>
      </c>
      <c r="D19" s="7" t="s">
        <v>3</v>
      </c>
      <c r="E19" s="7" t="s">
        <v>2</v>
      </c>
      <c r="F19" s="7" t="s">
        <v>1</v>
      </c>
      <c r="G19" s="7" t="s">
        <v>640</v>
      </c>
      <c r="H19" s="7" t="s">
        <v>641</v>
      </c>
      <c r="I19" s="7" t="s">
        <v>129</v>
      </c>
      <c r="J19" s="7" t="s">
        <v>756</v>
      </c>
      <c r="K19" s="7" t="s">
        <v>757</v>
      </c>
      <c r="L19" s="7" t="s">
        <v>16</v>
      </c>
      <c r="M19" s="15" t="s">
        <v>21</v>
      </c>
      <c r="N19" s="43" t="s">
        <v>1247</v>
      </c>
      <c r="O19" s="45" t="s">
        <v>1248</v>
      </c>
      <c r="P19" s="45" t="s">
        <v>758</v>
      </c>
      <c r="Q19" s="15" t="s">
        <v>681</v>
      </c>
      <c r="R19" s="45" t="s">
        <v>652</v>
      </c>
      <c r="S19" s="7" t="s">
        <v>873</v>
      </c>
      <c r="T19" s="7" t="s">
        <v>1243</v>
      </c>
    </row>
    <row r="20" spans="2:22" ht="18" customHeight="1" x14ac:dyDescent="0.3">
      <c r="B20" s="233"/>
      <c r="C20" s="51" t="str">
        <f>CONCATENATE("CP-",Table_ChiPhiKD[[#This Row],[Vendor]],"-",MOD(Table_ChiPhiKD[[#This Row],[Năm]],100)*100+Table_ChiPhiKD[[#This Row],[Tháng]],"-",Table_ChiPhiKD[[#This Row],[STT]])</f>
        <v>CP--0-</v>
      </c>
      <c r="D20" s="63">
        <f>IFERROR(
IF(ISBLANK(Table_ChiPhiKD[[#This Row],[Tháng]]),
DATE(Table_ChiPhiKD[[#This Row],[Năm]],12,1),
DATE(Table_ChiPhiKD[[#This Row],[Năm]],Table_ChiPhiKD[[#This Row],[Tháng]],1)),0)</f>
        <v>336</v>
      </c>
      <c r="E20" s="391"/>
      <c r="F20" s="391"/>
      <c r="G20" s="403"/>
      <c r="H20" s="403"/>
      <c r="I20" s="230"/>
      <c r="J20" s="230"/>
      <c r="K20" s="230"/>
      <c r="L20" s="230"/>
      <c r="M20" s="404"/>
      <c r="N20" s="43"/>
      <c r="O20" s="18">
        <f>Table_ChiPhiKD[[#This Row],[Tỷ lệ sản xuất]]*Table_ChiPhiKD[[#This Row],[Giá trị]]</f>
        <v>0</v>
      </c>
      <c r="P20" s="176"/>
      <c r="Q20" s="48">
        <f>Table_ChiPhiKD[[#This Row],[Tỷ suất VAT kháu trừ]]*Table_ChiPhiKD[[#This Row],[Giá trị]]/(1+Table_ChiPhiKD[[#This Row],[Tỷ suất VAT kháu trừ]])</f>
        <v>0</v>
      </c>
      <c r="R20" s="48">
        <f>Table_ChiPhiKD[[#This Row],[Giá trị]]-Table_ChiPhiKD[[#This Row],[VAT khấu trừ]]</f>
        <v>0</v>
      </c>
      <c r="S20" s="231"/>
      <c r="T20" s="555">
        <f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f>
        <v>0</v>
      </c>
    </row>
  </sheetData>
  <sheetProtection algorithmName="SHA-512" hashValue="KaqO1xXHo9CjXTzyEQjLGOQgtg+/s24bwPJXJI6fNgWbW70kvl2zOyfsCGiumTZE4qevwNv0XCyPFXzXHlrx6g==" saltValue="0jZlSa3YZXgkmk2IXf70mg==" spinCount="100000" sheet="1" scenarios="1" formatCells="0" formatColumns="0" formatRows="0" insertColumns="0" insertRows="0" deleteColumns="0" deleteRows="0" sort="0" autoFilter="0" pivotTables="0"/>
  <phoneticPr fontId="14" type="noConversion"/>
  <conditionalFormatting sqref="C20 C18">
    <cfRule type="expression" dxfId="217" priority="830">
      <formula>MATCH($C$18,$C$20:$C$20,0)</formula>
    </cfRule>
  </conditionalFormatting>
  <dataValidations count="4">
    <dataValidation type="list" errorStyle="warning" allowBlank="1" showInputMessage="1" showErrorMessage="1" sqref="K18" xr:uid="{76FF6BBA-7939-4B3A-BEA0-F9C2E7630B81}">
      <formula1>_xlfn.ANCHORARRAY($V$18)</formula1>
    </dataValidation>
    <dataValidation type="list" errorStyle="warning" allowBlank="1" showInputMessage="1" showErrorMessage="1" sqref="I18" xr:uid="{D6280BA9-FE83-42B1-94DF-3B334D90FD6E}">
      <formula1>NhomChiPhi</formula1>
    </dataValidation>
    <dataValidation type="list" allowBlank="1" showInputMessage="1" showErrorMessage="1" sqref="I20" xr:uid="{BF0711AB-3ACC-4702-A2D2-6800A55FAFA7}">
      <formula1>NhomChiPhi</formula1>
    </dataValidation>
    <dataValidation type="list" errorStyle="warning" allowBlank="1" showInputMessage="1" sqref="K20" xr:uid="{755E79CB-39B7-4C25-95F2-5A68DD63F167}">
      <formula1>_xlfn.ANCHORARRAY($V$18)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5" r:id="rId4" name="Button 5">
              <controlPr defaultSize="0" print="0" autoFill="0" autoPict="0" macro="[0]!AddRow">
                <anchor moveWithCells="1">
                  <from>
                    <xdr:col>1</xdr:col>
                    <xdr:colOff>85725</xdr:colOff>
                    <xdr:row>0</xdr:row>
                    <xdr:rowOff>104775</xdr:rowOff>
                  </from>
                  <to>
                    <xdr:col>2</xdr:col>
                    <xdr:colOff>152400</xdr:colOff>
                    <xdr:row>0</xdr:row>
                    <xdr:rowOff>361950</xdr:rowOff>
                  </to>
                </anchor>
              </controlPr>
            </control>
          </mc:Choice>
        </mc:AlternateContent>
        <mc:AlternateContent xmlns:mc="http://schemas.openxmlformats.org/markup-compatibility/2006">
          <mc:Choice Requires="x14">
            <control shapeId="71686" r:id="rId5" name="Button 6">
              <controlPr defaultSize="0" print="0" autoFill="0" autoPict="0" macro="[0]!DeleteRow">
                <anchor moveWithCells="1">
                  <from>
                    <xdr:col>2</xdr:col>
                    <xdr:colOff>304800</xdr:colOff>
                    <xdr:row>0</xdr:row>
                    <xdr:rowOff>104775</xdr:rowOff>
                  </from>
                  <to>
                    <xdr:col>3</xdr:col>
                    <xdr:colOff>19050</xdr:colOff>
                    <xdr:row>0</xdr:row>
                    <xdr:rowOff>361950</xdr:rowOff>
                  </to>
                </anchor>
              </controlPr>
            </control>
          </mc:Choice>
        </mc:AlternateContent>
        <mc:AlternateContent xmlns:mc="http://schemas.openxmlformats.org/markup-compatibility/2006">
          <mc:Choice Requires="x14">
            <control shapeId="71687" r:id="rId6" name="Button 7">
              <controlPr defaultSize="0" print="0" autoFill="0" autoPict="0" macro="[0]!AddColumn">
                <anchor moveWithCells="1">
                  <from>
                    <xdr:col>18</xdr:col>
                    <xdr:colOff>95250</xdr:colOff>
                    <xdr:row>0</xdr:row>
                    <xdr:rowOff>114300</xdr:rowOff>
                  </from>
                  <to>
                    <xdr:col>19</xdr:col>
                    <xdr:colOff>95250</xdr:colOff>
                    <xdr:row>0</xdr:row>
                    <xdr:rowOff>371475</xdr:rowOff>
                  </to>
                </anchor>
              </controlPr>
            </control>
          </mc:Choice>
        </mc:AlternateContent>
        <mc:AlternateContent xmlns:mc="http://schemas.openxmlformats.org/markup-compatibility/2006">
          <mc:Choice Requires="x14">
            <control shapeId="71688" r:id="rId7" name="Button 8">
              <controlPr defaultSize="0" print="0" autoFill="0" autoPict="0" macro="[0]!DeleteColumn">
                <anchor moveWithCells="1">
                  <from>
                    <xdr:col>19</xdr:col>
                    <xdr:colOff>228600</xdr:colOff>
                    <xdr:row>0</xdr:row>
                    <xdr:rowOff>114300</xdr:rowOff>
                  </from>
                  <to>
                    <xdr:col>20</xdr:col>
                    <xdr:colOff>152400</xdr:colOff>
                    <xdr:row>0</xdr:row>
                    <xdr:rowOff>371475</xdr:rowOff>
                  </to>
                </anchor>
              </controlPr>
            </control>
          </mc:Choice>
        </mc:AlternateContent>
        <mc:AlternateContent xmlns:mc="http://schemas.openxmlformats.org/markup-compatibility/2006">
          <mc:Choice Requires="x14">
            <control shapeId="71693" r:id="rId8" name="Option Button 13">
              <controlPr defaultSize="0" autoFill="0" autoLine="0" autoPict="0" macro="[0]!DoiDonViHienThi">
                <anchor moveWithCells="1">
                  <from>
                    <xdr:col>6</xdr:col>
                    <xdr:colOff>495300</xdr:colOff>
                    <xdr:row>0</xdr:row>
                    <xdr:rowOff>152400</xdr:rowOff>
                  </from>
                  <to>
                    <xdr:col>7</xdr:col>
                    <xdr:colOff>304800</xdr:colOff>
                    <xdr:row>0</xdr:row>
                    <xdr:rowOff>428625</xdr:rowOff>
                  </to>
                </anchor>
              </controlPr>
            </control>
          </mc:Choice>
        </mc:AlternateContent>
        <mc:AlternateContent xmlns:mc="http://schemas.openxmlformats.org/markup-compatibility/2006">
          <mc:Choice Requires="x14">
            <control shapeId="71694" r:id="rId9" name="Option Button 14">
              <controlPr defaultSize="0" autoFill="0" autoLine="0" autoPict="0" macro="[0]!DoiDonViHienThi">
                <anchor moveWithCells="1">
                  <from>
                    <xdr:col>7</xdr:col>
                    <xdr:colOff>180975</xdr:colOff>
                    <xdr:row>0</xdr:row>
                    <xdr:rowOff>152400</xdr:rowOff>
                  </from>
                  <to>
                    <xdr:col>7</xdr:col>
                    <xdr:colOff>771525</xdr:colOff>
                    <xdr:row>0</xdr:row>
                    <xdr:rowOff>428625</xdr:rowOff>
                  </to>
                </anchor>
              </controlPr>
            </control>
          </mc:Choice>
        </mc:AlternateContent>
        <mc:AlternateContent xmlns:mc="http://schemas.openxmlformats.org/markup-compatibility/2006">
          <mc:Choice Requires="x14">
            <control shapeId="71695" r:id="rId10" name="Option Button 15">
              <controlPr defaultSize="0" autoFill="0" autoLine="0" autoPict="0" macro="[0]!DoiDonViHienThi">
                <anchor moveWithCells="1">
                  <from>
                    <xdr:col>7</xdr:col>
                    <xdr:colOff>647700</xdr:colOff>
                    <xdr:row>0</xdr:row>
                    <xdr:rowOff>152400</xdr:rowOff>
                  </from>
                  <to>
                    <xdr:col>8</xdr:col>
                    <xdr:colOff>361950</xdr:colOff>
                    <xdr:row>0</xdr:row>
                    <xdr:rowOff>428625</xdr:rowOff>
                  </to>
                </anchor>
              </controlPr>
            </control>
          </mc:Choice>
        </mc:AlternateContent>
        <mc:AlternateContent xmlns:mc="http://schemas.openxmlformats.org/markup-compatibility/2006">
          <mc:Choice Requires="x14">
            <control shapeId="71696" r:id="rId11" name="Option Button 16">
              <controlPr defaultSize="0" autoFill="0" autoLine="0" autoPict="0" macro="[0]!DoiDonViHienThi">
                <anchor moveWithCells="1">
                  <from>
                    <xdr:col>8</xdr:col>
                    <xdr:colOff>247650</xdr:colOff>
                    <xdr:row>0</xdr:row>
                    <xdr:rowOff>152400</xdr:rowOff>
                  </from>
                  <to>
                    <xdr:col>8</xdr:col>
                    <xdr:colOff>600075</xdr:colOff>
                    <xdr:row>0</xdr:row>
                    <xdr:rowOff>428625</xdr:rowOff>
                  </to>
                </anchor>
              </controlPr>
            </control>
          </mc:Choice>
        </mc:AlternateContent>
        <mc:AlternateContent xmlns:mc="http://schemas.openxmlformats.org/markup-compatibility/2006">
          <mc:Choice Requires="x14">
            <control shapeId="71697" r:id="rId12" name="Group Box 17">
              <controlPr defaultSize="0" autoFill="0" autoPict="0">
                <anchor moveWithCells="1">
                  <from>
                    <xdr:col>6</xdr:col>
                    <xdr:colOff>381000</xdr:colOff>
                    <xdr:row>0</xdr:row>
                    <xdr:rowOff>104775</xdr:rowOff>
                  </from>
                  <to>
                    <xdr:col>8</xdr:col>
                    <xdr:colOff>714375</xdr:colOff>
                    <xdr:row>0</xdr:row>
                    <xdr:rowOff>466725</xdr:rowOff>
                  </to>
                </anchor>
              </controlPr>
            </control>
          </mc:Choice>
        </mc:AlternateContent>
        <mc:AlternateContent xmlns:mc="http://schemas.openxmlformats.org/markup-compatibility/2006">
          <mc:Choice Requires="x14">
            <control shapeId="71698" r:id="rId13" name="Group Box 18">
              <controlPr defaultSize="0" autoFill="0" autoPict="0">
                <anchor moveWithCells="1">
                  <from>
                    <xdr:col>3</xdr:col>
                    <xdr:colOff>104775</xdr:colOff>
                    <xdr:row>0</xdr:row>
                    <xdr:rowOff>104775</xdr:rowOff>
                  </from>
                  <to>
                    <xdr:col>6</xdr:col>
                    <xdr:colOff>333375</xdr:colOff>
                    <xdr:row>0</xdr:row>
                    <xdr:rowOff>466725</xdr:rowOff>
                  </to>
                </anchor>
              </controlPr>
            </control>
          </mc:Choice>
        </mc:AlternateContent>
        <mc:AlternateContent xmlns:mc="http://schemas.openxmlformats.org/markup-compatibility/2006">
          <mc:Choice Requires="x14">
            <control shapeId="71699" r:id="rId14" name="Button 19">
              <controlPr defaultSize="0" autoFill="0" autoPict="0" macro="[0]!NhanNghin">
                <anchor moveWithCells="1">
                  <from>
                    <xdr:col>3</xdr:col>
                    <xdr:colOff>190500</xdr:colOff>
                    <xdr:row>0</xdr:row>
                    <xdr:rowOff>200025</xdr:rowOff>
                  </from>
                  <to>
                    <xdr:col>4</xdr:col>
                    <xdr:colOff>228600</xdr:colOff>
                    <xdr:row>0</xdr:row>
                    <xdr:rowOff>371475</xdr:rowOff>
                  </to>
                </anchor>
              </controlPr>
            </control>
          </mc:Choice>
        </mc:AlternateContent>
        <mc:AlternateContent xmlns:mc="http://schemas.openxmlformats.org/markup-compatibility/2006">
          <mc:Choice Requires="x14">
            <control shapeId="71700" r:id="rId15" name="Button 20">
              <controlPr defaultSize="0" autoFill="0" autoPict="0" macro="[0]!NhanTrieu">
                <anchor moveWithCells="1">
                  <from>
                    <xdr:col>4</xdr:col>
                    <xdr:colOff>276225</xdr:colOff>
                    <xdr:row>0</xdr:row>
                    <xdr:rowOff>200025</xdr:rowOff>
                  </from>
                  <to>
                    <xdr:col>5</xdr:col>
                    <xdr:colOff>285750</xdr:colOff>
                    <xdr:row>0</xdr:row>
                    <xdr:rowOff>371475</xdr:rowOff>
                  </to>
                </anchor>
              </controlPr>
            </control>
          </mc:Choice>
        </mc:AlternateContent>
        <mc:AlternateContent xmlns:mc="http://schemas.openxmlformats.org/markup-compatibility/2006">
          <mc:Choice Requires="x14">
            <control shapeId="71701" r:id="rId16" name="Button 21">
              <controlPr defaultSize="0" autoFill="0" autoPict="0" macro="[0]!NhanTy">
                <anchor moveWithCells="1">
                  <from>
                    <xdr:col>5</xdr:col>
                    <xdr:colOff>333375</xdr:colOff>
                    <xdr:row>0</xdr:row>
                    <xdr:rowOff>200025</xdr:rowOff>
                  </from>
                  <to>
                    <xdr:col>6</xdr:col>
                    <xdr:colOff>257175</xdr:colOff>
                    <xdr:row>0</xdr:row>
                    <xdr:rowOff>371475</xdr:rowOff>
                  </to>
                </anchor>
              </controlPr>
            </control>
          </mc:Choice>
        </mc:AlternateContent>
        <mc:AlternateContent xmlns:mc="http://schemas.openxmlformats.org/markup-compatibility/2006">
          <mc:Choice Requires="x14">
            <control shapeId="71689" r:id="rId17" name="Button 9">
              <controlPr defaultSize="0" print="0" autoFill="0" autoPict="0" macro="[0]!CopyToTable">
                <anchor moveWithCells="1">
                  <from>
                    <xdr:col>18</xdr:col>
                    <xdr:colOff>38100</xdr:colOff>
                    <xdr:row>17</xdr:row>
                    <xdr:rowOff>152400</xdr:rowOff>
                  </from>
                  <to>
                    <xdr:col>19</xdr:col>
                    <xdr:colOff>66675</xdr:colOff>
                    <xdr:row>18</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D841F023-E635-4D28-B5FF-F0F0CEE6F2D7}">
            <xm:f>Security!$A$1="NO VBA"</xm:f>
            <x14:dxf>
              <font>
                <color theme="0"/>
              </font>
              <border>
                <vertical/>
                <horizontal/>
              </border>
            </x14:dxf>
          </x14:cfRule>
          <xm:sqref>W18:XFD24 A1:XFD17 B18:V19 U20:V20 A18:A1048576 B25:XFD1048576 B19:T20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513A9-3AA1-412B-9D4D-970A83C22797}">
          <x14:formula1>
            <xm:f>Sheet_ThuChiKD!$G$14:$G$26</xm:f>
          </x14:formula1>
          <xm:sqref>J18</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55C2-D3AE-4AD4-8D35-C131C5B26C26}">
  <sheetPr codeName="Sheet7"/>
  <dimension ref="B2:W36"/>
  <sheetViews>
    <sheetView showGridLines="0" zoomScale="130" zoomScaleNormal="130" workbookViewId="0">
      <selection activeCell="M29" sqref="M29"/>
    </sheetView>
  </sheetViews>
  <sheetFormatPr defaultRowHeight="14.25" x14ac:dyDescent="0.3"/>
  <cols>
    <col min="1" max="1" width="1.75" style="383" customWidth="1"/>
    <col min="2" max="2" width="18.625" style="383" customWidth="1"/>
    <col min="3" max="3" width="9" style="383" customWidth="1"/>
    <col min="4" max="4" width="10" style="383" customWidth="1"/>
    <col min="5" max="5" width="9" style="383"/>
    <col min="6" max="6" width="7.375" style="383" customWidth="1"/>
    <col min="7" max="7" width="9" style="383"/>
    <col min="8" max="8" width="7.75" style="383" customWidth="1"/>
    <col min="9" max="9" width="7.875" style="383" customWidth="1"/>
    <col min="10" max="10" width="9.5" style="383" customWidth="1"/>
    <col min="11" max="11" width="7.25" style="383" customWidth="1"/>
    <col min="12" max="16" width="9" style="383"/>
    <col min="17" max="17" width="11.25" style="383" customWidth="1"/>
    <col min="18" max="22" width="9" style="383"/>
    <col min="23" max="23" width="11.5" style="383" customWidth="1"/>
    <col min="24" max="16384" width="9" style="383"/>
  </cols>
  <sheetData>
    <row r="2" spans="2:23" ht="19.5" customHeight="1" x14ac:dyDescent="0.3"/>
    <row r="3" spans="2:23" x14ac:dyDescent="0.3">
      <c r="B3" s="382" t="s">
        <v>897</v>
      </c>
      <c r="C3" s="382"/>
    </row>
    <row r="4" spans="2:23" x14ac:dyDescent="0.3">
      <c r="B4" s="384" t="s">
        <v>896</v>
      </c>
      <c r="C4" s="428" t="str" cm="1">
        <f t="array" ref="C4">Code128(MaIn)</f>
        <v>ÌEasyFIRMaÎ</v>
      </c>
    </row>
    <row r="5" spans="2:23" x14ac:dyDescent="0.3">
      <c r="C5" s="385"/>
    </row>
    <row r="6" spans="2:23" x14ac:dyDescent="0.3">
      <c r="B6" s="383" t="s">
        <v>898</v>
      </c>
      <c r="D6" s="383" t="s">
        <v>898</v>
      </c>
      <c r="F6" s="385"/>
      <c r="G6" s="383" t="s">
        <v>899</v>
      </c>
      <c r="J6" s="383" t="s">
        <v>899</v>
      </c>
      <c r="M6" s="383" t="s">
        <v>901</v>
      </c>
      <c r="S6" s="383" t="s">
        <v>901</v>
      </c>
    </row>
    <row r="9" spans="2:23" x14ac:dyDescent="0.3">
      <c r="E9" s="386" t="str">
        <f>MaIn</f>
        <v>EasyFIRM</v>
      </c>
      <c r="K9" s="387" t="str">
        <f>MaIn</f>
        <v>EasyFIRM</v>
      </c>
    </row>
    <row r="10" spans="2:23" x14ac:dyDescent="0.3">
      <c r="E10" s="15" t="str" cm="1">
        <f t="array" ref="E10">IFERROR(VLOOKUP(MaIn,Table_SKU[],Table_SKU[[#Headers],[Mã SKU]:[Giá bán]],0),"")</f>
        <v/>
      </c>
      <c r="K10" s="15" t="str" cm="1">
        <f t="array" ref="K10">IFERROR(VLOOKUP(MaIn,Table_SKU[],Table_SKU[[#Headers],[Mã SKU]:[Giá bán]],0),"")</f>
        <v/>
      </c>
    </row>
    <row r="11" spans="2:23" x14ac:dyDescent="0.3">
      <c r="B11" s="386" t="str">
        <f>MaIn</f>
        <v>EasyFIRM</v>
      </c>
      <c r="G11" s="387" t="str">
        <f>MaIn</f>
        <v>EasyFIRM</v>
      </c>
      <c r="H11" s="15" t="str" cm="1">
        <f t="array" ref="H11">IFERROR(VLOOKUP(MaIn,Table_SKU[],Table_SKU[[#Headers],[Mã SKU]:[Giá bán]],0),"")</f>
        <v/>
      </c>
    </row>
    <row r="12" spans="2:23" x14ac:dyDescent="0.3">
      <c r="B12" s="388" t="str" cm="1">
        <f t="array" ref="B12">IFERROR(VLOOKUP(MaIn,Table_SKU[],Table_SKU[[#Headers],[Mã SKU]:[Giá bán]],0),"")</f>
        <v/>
      </c>
    </row>
    <row r="13" spans="2:23" ht="17.25" x14ac:dyDescent="0.3">
      <c r="M13" s="380" t="str">
        <f>Sheet_DonBan!B1</f>
        <v>Công ty ABC XYZ</v>
      </c>
      <c r="N13" s="246"/>
      <c r="O13" s="246"/>
      <c r="P13" s="380" t="str">
        <f>Sheet_DonBan!Q1</f>
        <v>ĐƠN BÁN HÀNG</v>
      </c>
      <c r="Q13" s="246"/>
      <c r="S13" s="380" t="str">
        <f>Sheet_VanDon!B1</f>
        <v>Công ty ABC XYZ</v>
      </c>
      <c r="T13" s="246"/>
      <c r="U13" s="246"/>
      <c r="V13" s="380" t="str">
        <f>Sheet_VanDon!I1</f>
        <v>PHIẾU GIAO HÀNG</v>
      </c>
      <c r="W13" s="246"/>
    </row>
    <row r="14" spans="2:23" x14ac:dyDescent="0.3">
      <c r="M14" s="247" t="str">
        <f>Sheet_DonBan!B4</f>
        <v>[Địa chỉ]</v>
      </c>
      <c r="N14" s="247"/>
      <c r="O14" s="247"/>
      <c r="P14" s="247" t="str">
        <f>Sheet_DonBan!P4</f>
        <v>BAN--100-1</v>
      </c>
      <c r="Q14" s="246"/>
      <c r="S14" s="247" t="str">
        <f>Sheet_VanDon!B4</f>
        <v>[Địa chỉ]</v>
      </c>
      <c r="T14" s="247"/>
      <c r="U14" s="247"/>
      <c r="V14" s="247" t="str">
        <f>Sheet_VanDon!H4</f>
        <v>GIAO--100-1</v>
      </c>
      <c r="W14" s="246"/>
    </row>
    <row r="15" spans="2:23" x14ac:dyDescent="0.3">
      <c r="M15" s="247" t="str">
        <f>Sheet_DonBan!B6</f>
        <v>[SĐT - Fax]</v>
      </c>
      <c r="N15" s="247"/>
      <c r="O15" s="247"/>
      <c r="P15" s="442">
        <f>Sheet_DonBan!P5</f>
        <v>0</v>
      </c>
      <c r="Q15" s="246"/>
      <c r="S15" s="247" t="str">
        <f>Sheet_VanDon!B6</f>
        <v>[SĐT - Fax]</v>
      </c>
      <c r="T15" s="247"/>
      <c r="U15" s="247"/>
      <c r="V15" s="442">
        <f>Sheet_VanDon!H5</f>
        <v>0</v>
      </c>
      <c r="W15" s="246"/>
    </row>
    <row r="16" spans="2:23" x14ac:dyDescent="0.3">
      <c r="M16" s="246"/>
      <c r="N16" s="246"/>
      <c r="O16" s="246"/>
      <c r="P16" s="246"/>
      <c r="Q16" s="246"/>
      <c r="S16" s="246"/>
      <c r="T16" s="246"/>
      <c r="U16" s="246"/>
      <c r="V16" s="246"/>
      <c r="W16" s="246"/>
    </row>
    <row r="17" spans="13:23" x14ac:dyDescent="0.3">
      <c r="M17" s="381" t="s">
        <v>172</v>
      </c>
      <c r="N17" s="381" t="str">
        <f>Sheet_DonBan!E11</f>
        <v/>
      </c>
      <c r="O17" s="381"/>
      <c r="P17" s="381"/>
      <c r="Q17" s="381"/>
      <c r="S17" s="381" t="s">
        <v>172</v>
      </c>
      <c r="T17" s="381" t="str">
        <f>Sheet_VanDon!F12</f>
        <v/>
      </c>
      <c r="U17" s="381"/>
      <c r="V17" s="381"/>
      <c r="W17" s="381"/>
    </row>
    <row r="18" spans="13:23" x14ac:dyDescent="0.3">
      <c r="M18" s="381"/>
      <c r="N18" s="381" t="str">
        <f>Sheet_DonBan!E12</f>
        <v xml:space="preserve"> -  - </v>
      </c>
      <c r="O18" s="381"/>
      <c r="P18" s="381"/>
      <c r="Q18" s="381"/>
      <c r="S18" s="381"/>
      <c r="T18" s="381" t="str">
        <f>Sheet_VanDon!F13</f>
        <v xml:space="preserve"> -  - </v>
      </c>
      <c r="U18" s="381"/>
      <c r="V18" s="381"/>
      <c r="W18" s="381"/>
    </row>
    <row r="19" spans="13:23" x14ac:dyDescent="0.3">
      <c r="M19" s="381"/>
      <c r="N19" s="381" t="str">
        <f>Sheet_DonBan!E13</f>
        <v/>
      </c>
      <c r="O19" s="381"/>
      <c r="P19" s="381"/>
      <c r="Q19" s="381"/>
      <c r="S19" s="381"/>
      <c r="T19" s="381" t="str">
        <f>Sheet_VanDon!F14</f>
        <v/>
      </c>
      <c r="U19" s="381"/>
      <c r="V19" s="381"/>
      <c r="W19" s="381"/>
    </row>
    <row r="20" spans="13:23" ht="17.25" x14ac:dyDescent="0.3">
      <c r="M20" s="247" t="s">
        <v>702</v>
      </c>
      <c r="N20" s="247"/>
      <c r="O20" s="343"/>
      <c r="P20" s="247" t="s">
        <v>30</v>
      </c>
      <c r="Q20" s="247" t="s">
        <v>704</v>
      </c>
      <c r="S20" s="247" t="s">
        <v>702</v>
      </c>
      <c r="T20" s="247"/>
      <c r="U20" s="343"/>
      <c r="V20" s="247" t="s">
        <v>30</v>
      </c>
      <c r="W20" s="247" t="s">
        <v>704</v>
      </c>
    </row>
    <row r="21" spans="13:23" x14ac:dyDescent="0.3">
      <c r="M21" s="247" t="str">
        <f>Sheet_DonBan!D17</f>
        <v/>
      </c>
      <c r="N21" s="247"/>
      <c r="O21" s="247"/>
      <c r="P21" s="247">
        <f>Sheet_DonBan!E17</f>
        <v>0</v>
      </c>
      <c r="Q21" s="247" t="str">
        <f>Sheet_DonBan!P17</f>
        <v/>
      </c>
      <c r="S21" s="247" t="str">
        <f>Sheet_VanDon!E18</f>
        <v/>
      </c>
      <c r="T21" s="247"/>
      <c r="U21" s="247"/>
      <c r="V21" s="247">
        <f>Sheet_VanDon!G18</f>
        <v>0</v>
      </c>
      <c r="W21" s="247" t="str">
        <f>Sheet_VanDon!I18</f>
        <v/>
      </c>
    </row>
    <row r="22" spans="13:23" x14ac:dyDescent="0.3">
      <c r="M22" s="247" t="str">
        <f>Sheet_DonBan!D18</f>
        <v/>
      </c>
      <c r="N22" s="21"/>
      <c r="O22" s="21"/>
      <c r="P22" s="247">
        <f>Sheet_DonBan!E18</f>
        <v>0</v>
      </c>
      <c r="Q22" s="247" t="str">
        <f>Sheet_DonBan!P18</f>
        <v/>
      </c>
      <c r="S22" s="247" t="str">
        <f>Sheet_VanDon!E19</f>
        <v/>
      </c>
      <c r="T22" s="7"/>
      <c r="U22" s="7"/>
      <c r="V22" s="247">
        <f>Sheet_VanDon!G19</f>
        <v>0</v>
      </c>
      <c r="W22" s="247" t="str">
        <f>Sheet_VanDon!I19</f>
        <v/>
      </c>
    </row>
    <row r="23" spans="13:23" x14ac:dyDescent="0.3">
      <c r="M23" s="247" t="str">
        <f>Sheet_DonBan!D19</f>
        <v/>
      </c>
      <c r="N23" s="21"/>
      <c r="O23" s="21"/>
      <c r="P23" s="247">
        <f>Sheet_DonBan!E19</f>
        <v>0</v>
      </c>
      <c r="Q23" s="247" t="str">
        <f>Sheet_DonBan!P19</f>
        <v/>
      </c>
      <c r="S23" s="247" t="str">
        <f>Sheet_VanDon!E20</f>
        <v/>
      </c>
      <c r="T23" s="7"/>
      <c r="U23" s="7"/>
      <c r="V23" s="247">
        <f>Sheet_VanDon!G20</f>
        <v>0</v>
      </c>
      <c r="W23" s="247" t="str">
        <f>Sheet_VanDon!I20</f>
        <v/>
      </c>
    </row>
    <row r="24" spans="13:23" x14ac:dyDescent="0.3">
      <c r="M24" s="247" t="str">
        <f>Sheet_DonBan!D20</f>
        <v/>
      </c>
      <c r="N24" s="21"/>
      <c r="O24" s="21"/>
      <c r="P24" s="247">
        <f>Sheet_DonBan!E20</f>
        <v>0</v>
      </c>
      <c r="Q24" s="247" t="str">
        <f>Sheet_DonBan!P20</f>
        <v/>
      </c>
      <c r="S24" s="247" t="str">
        <f>Sheet_VanDon!E21</f>
        <v/>
      </c>
      <c r="T24" s="7"/>
      <c r="U24" s="7"/>
      <c r="V24" s="247">
        <f>Sheet_VanDon!G21</f>
        <v>0</v>
      </c>
      <c r="W24" s="247" t="str">
        <f>Sheet_VanDon!I21</f>
        <v/>
      </c>
    </row>
    <row r="25" spans="13:23" x14ac:dyDescent="0.3">
      <c r="M25" s="247" t="str">
        <f>Sheet_DonBan!D21</f>
        <v/>
      </c>
      <c r="N25" s="21"/>
      <c r="O25" s="21"/>
      <c r="P25" s="247">
        <f>Sheet_DonBan!E21</f>
        <v>0</v>
      </c>
      <c r="Q25" s="247" t="str">
        <f>Sheet_DonBan!P21</f>
        <v/>
      </c>
      <c r="S25" s="247" t="str">
        <f>Sheet_VanDon!E22</f>
        <v/>
      </c>
      <c r="T25" s="21"/>
      <c r="U25" s="21"/>
      <c r="V25" s="247">
        <f>Sheet_VanDon!G22</f>
        <v>0</v>
      </c>
      <c r="W25" s="247" t="str">
        <f>Sheet_VanDon!I22</f>
        <v/>
      </c>
    </row>
    <row r="26" spans="13:23" x14ac:dyDescent="0.3">
      <c r="M26" s="247" t="str">
        <f>Sheet_DonBan!D22</f>
        <v/>
      </c>
      <c r="N26" s="247"/>
      <c r="O26" s="247"/>
      <c r="P26" s="247">
        <f>Sheet_DonBan!E22</f>
        <v>0</v>
      </c>
      <c r="Q26" s="247" t="str">
        <f>Sheet_DonBan!P22</f>
        <v/>
      </c>
      <c r="S26" s="247" t="str">
        <f>Sheet_VanDon!E23</f>
        <v/>
      </c>
      <c r="T26" s="247"/>
      <c r="U26" s="247"/>
      <c r="V26" s="247">
        <f>Sheet_VanDon!G23</f>
        <v>0</v>
      </c>
      <c r="W26" s="247" t="str">
        <f>Sheet_VanDon!I23</f>
        <v/>
      </c>
    </row>
    <row r="27" spans="13:23" x14ac:dyDescent="0.3">
      <c r="M27" s="247" t="str">
        <f>Sheet_DonBan!D23</f>
        <v/>
      </c>
      <c r="N27" s="247"/>
      <c r="O27" s="247"/>
      <c r="P27" s="247">
        <f>Sheet_DonBan!E23</f>
        <v>0</v>
      </c>
      <c r="Q27" s="247" t="str">
        <f>Sheet_DonBan!P23</f>
        <v/>
      </c>
      <c r="S27" s="247" t="str">
        <f>Sheet_VanDon!E24</f>
        <v/>
      </c>
      <c r="T27" s="247"/>
      <c r="U27" s="247"/>
      <c r="V27" s="247">
        <f>Sheet_VanDon!G24</f>
        <v>0</v>
      </c>
      <c r="W27" s="247" t="str">
        <f>Sheet_VanDon!I24</f>
        <v/>
      </c>
    </row>
    <row r="28" spans="13:23" x14ac:dyDescent="0.3">
      <c r="M28" s="247" t="str">
        <f>Sheet_DonBan!D24</f>
        <v/>
      </c>
      <c r="N28" s="247"/>
      <c r="O28" s="247"/>
      <c r="P28" s="247">
        <f>Sheet_DonBan!E24</f>
        <v>0</v>
      </c>
      <c r="Q28" s="247" t="str">
        <f>Sheet_DonBan!P24</f>
        <v/>
      </c>
      <c r="S28" s="247" t="str">
        <f>Sheet_VanDon!E25</f>
        <v/>
      </c>
      <c r="T28" s="247"/>
      <c r="U28" s="247"/>
      <c r="V28" s="247">
        <f>Sheet_VanDon!G25</f>
        <v>0</v>
      </c>
      <c r="W28" s="247" t="str">
        <f>Sheet_VanDon!I25</f>
        <v/>
      </c>
    </row>
    <row r="29" spans="13:23" x14ac:dyDescent="0.3">
      <c r="M29" s="247" t="str">
        <f>Sheet_DonBan!D25</f>
        <v/>
      </c>
      <c r="N29" s="247"/>
      <c r="O29" s="247"/>
      <c r="P29" s="247">
        <f>Sheet_DonBan!E25</f>
        <v>0</v>
      </c>
      <c r="Q29" s="247" t="str">
        <f>Sheet_DonBan!P25</f>
        <v/>
      </c>
      <c r="S29" s="247" t="str">
        <f>Sheet_VanDon!E26</f>
        <v/>
      </c>
      <c r="T29" s="247"/>
      <c r="U29" s="247"/>
      <c r="V29" s="247">
        <f>Sheet_VanDon!G26</f>
        <v>0</v>
      </c>
      <c r="W29" s="247" t="str">
        <f>Sheet_VanDon!I26</f>
        <v/>
      </c>
    </row>
    <row r="30" spans="13:23" x14ac:dyDescent="0.3">
      <c r="M30" s="247" t="str">
        <f>Sheet_DonBan!D26</f>
        <v/>
      </c>
      <c r="N30" s="247"/>
      <c r="O30" s="247"/>
      <c r="P30" s="247">
        <f>Sheet_DonBan!E26</f>
        <v>0</v>
      </c>
      <c r="Q30" s="247">
        <f>Sheet_DonBan!P26</f>
        <v>0</v>
      </c>
      <c r="S30" s="247" t="str">
        <f>Sheet_VanDon!E27</f>
        <v/>
      </c>
      <c r="T30" s="247"/>
      <c r="U30" s="247"/>
      <c r="V30" s="247">
        <f>Sheet_VanDon!G27</f>
        <v>0</v>
      </c>
      <c r="W30" s="247" t="str">
        <f>Sheet_VanDon!I27</f>
        <v/>
      </c>
    </row>
    <row r="31" spans="13:23" x14ac:dyDescent="0.3">
      <c r="M31" s="247" t="str">
        <f>Sheet_DonBan!D27</f>
        <v/>
      </c>
      <c r="N31" s="247"/>
      <c r="O31" s="247"/>
      <c r="P31" s="247">
        <f>Sheet_DonBan!E27</f>
        <v>0</v>
      </c>
      <c r="Q31" s="247" t="str">
        <f>Sheet_DonBan!P27</f>
        <v/>
      </c>
      <c r="S31" s="247" t="str">
        <f>Sheet_VanDon!E28</f>
        <v/>
      </c>
      <c r="T31" s="247"/>
      <c r="U31" s="247"/>
      <c r="V31" s="247">
        <f>Sheet_VanDon!G28</f>
        <v>0</v>
      </c>
      <c r="W31" s="247" t="str">
        <f>Sheet_VanDon!I28</f>
        <v/>
      </c>
    </row>
    <row r="32" spans="13:23" x14ac:dyDescent="0.3">
      <c r="M32" s="247" t="str">
        <f>Sheet_DonBan!D28</f>
        <v/>
      </c>
      <c r="N32" s="21"/>
      <c r="O32" s="21"/>
      <c r="P32" s="247">
        <f>Sheet_DonBan!E28</f>
        <v>0</v>
      </c>
      <c r="Q32" s="247" t="str">
        <f>Sheet_DonBan!P28</f>
        <v/>
      </c>
      <c r="S32" s="247" t="str">
        <f>Sheet_VanDon!E29</f>
        <v/>
      </c>
      <c r="T32" s="21"/>
      <c r="U32" s="21"/>
      <c r="V32" s="247">
        <f>Sheet_VanDon!G29</f>
        <v>0</v>
      </c>
      <c r="W32" s="247" t="str">
        <f>Sheet_VanDon!I29</f>
        <v/>
      </c>
    </row>
    <row r="33" spans="13:23" x14ac:dyDescent="0.3">
      <c r="M33" s="247"/>
      <c r="N33" s="21"/>
      <c r="O33" s="21"/>
      <c r="P33" s="7"/>
      <c r="Q33" s="7"/>
      <c r="S33" s="247"/>
      <c r="T33" s="21"/>
      <c r="U33" s="21"/>
      <c r="V33" s="7"/>
      <c r="W33" s="7"/>
    </row>
    <row r="34" spans="13:23" ht="17.25" x14ac:dyDescent="0.3">
      <c r="M34" s="247" t="s">
        <v>704</v>
      </c>
      <c r="N34" s="247">
        <f>Sheet_DonBan!P30</f>
        <v>0</v>
      </c>
      <c r="O34" s="343"/>
      <c r="P34" s="247" t="s">
        <v>688</v>
      </c>
      <c r="Q34" s="247">
        <f>Sheet_DonBan!P35</f>
        <v>0</v>
      </c>
      <c r="S34" s="247" t="s">
        <v>704</v>
      </c>
      <c r="T34" s="247">
        <f>Sheet_VanDon!I31</f>
        <v>0</v>
      </c>
      <c r="V34" s="247" t="s">
        <v>716</v>
      </c>
      <c r="W34" s="247">
        <f>Sheet_VanDon!I33</f>
        <v>0</v>
      </c>
    </row>
    <row r="35" spans="13:23" ht="17.25" x14ac:dyDescent="0.3">
      <c r="M35" s="247" t="s">
        <v>716</v>
      </c>
      <c r="N35" s="247">
        <f>Sheet_DonBan!P34</f>
        <v>0</v>
      </c>
      <c r="O35" s="343"/>
      <c r="P35" s="247" t="s">
        <v>900</v>
      </c>
      <c r="Q35" s="379">
        <f>Sheet_DonBan!P36</f>
        <v>0</v>
      </c>
      <c r="S35" s="247" t="s">
        <v>749</v>
      </c>
      <c r="T35" s="247">
        <f>Sheet_VanDon!I32</f>
        <v>0</v>
      </c>
      <c r="V35" s="247" t="s">
        <v>688</v>
      </c>
      <c r="W35" s="247">
        <f>Sheet_VanDon!I34</f>
        <v>0</v>
      </c>
    </row>
    <row r="36" spans="13:23" x14ac:dyDescent="0.3">
      <c r="S36" s="247" t="s">
        <v>900</v>
      </c>
      <c r="T36" s="379">
        <f>Sheet_VanDon!I35</f>
        <v>0</v>
      </c>
    </row>
  </sheetData>
  <sheetProtection algorithmName="SHA-512" hashValue="lwXJEJZlMbncfOkaVBM+e6pQ8uOmO9WsiBxkbAT5jMcWgKoH3nFuMgrm0+iBZdIBcqWkuX287pqsWz49J+aZvQ==" saltValue="43OZE2i2+rI3eP95sHqtkA==" spinCount="100000" sheet="1" scenarios="1" formatCells="0" formatColumns="0" formatRows="0" insertColumns="0" insertRows="0" deleteColumns="0" deleteRows="0" sort="0" autoFilter="0" pivotTables="0"/>
  <protectedRanges>
    <protectedRange sqref="P20:Q20 M13:N21 O13:Q19 N26:O31 P34:Q35 M34:N35 V20:W20 S13:T21 U13:W19 T26:U31 V34 M22:M33 S34:T36 V35:W35 O21:Q21 P22:Q32 S22:S33 U21:W21 V22:W32" name="Range1_1"/>
  </protectedRange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TaoQRCode">
                <anchor moveWithCells="1">
                  <from>
                    <xdr:col>4</xdr:col>
                    <xdr:colOff>180975</xdr:colOff>
                    <xdr:row>5</xdr:row>
                    <xdr:rowOff>95250</xdr:rowOff>
                  </from>
                  <to>
                    <xdr:col>5</xdr:col>
                    <xdr:colOff>0</xdr:colOff>
                    <xdr:row>6</xdr:row>
                    <xdr:rowOff>161925</xdr:rowOff>
                  </to>
                </anchor>
              </controlPr>
            </control>
          </mc:Choice>
        </mc:AlternateContent>
        <mc:AlternateContent xmlns:mc="http://schemas.openxmlformats.org/markup-compatibility/2006">
          <mc:Choice Requires="x14">
            <control shapeId="117762" r:id="rId5" name="Button 2">
              <controlPr defaultSize="0" print="0" autoFill="0" autoPict="0" macro="[0]!TaoQRCode">
                <anchor moveWithCells="1">
                  <from>
                    <xdr:col>10</xdr:col>
                    <xdr:colOff>285750</xdr:colOff>
                    <xdr:row>5</xdr:row>
                    <xdr:rowOff>85725</xdr:rowOff>
                  </from>
                  <to>
                    <xdr:col>11</xdr:col>
                    <xdr:colOff>247650</xdr:colOff>
                    <xdr:row>6</xdr:row>
                    <xdr:rowOff>152400</xdr:rowOff>
                  </to>
                </anchor>
              </controlPr>
            </control>
          </mc:Choice>
        </mc:AlternateContent>
        <mc:AlternateContent xmlns:mc="http://schemas.openxmlformats.org/markup-compatibility/2006">
          <mc:Choice Requires="x14">
            <control shapeId="117763" r:id="rId6" name="Button 3">
              <controlPr defaultSize="0" print="0" autoFill="0" autoPict="0" macro="[0]!TaoQRCode">
                <anchor moveWithCells="1">
                  <from>
                    <xdr:col>16</xdr:col>
                    <xdr:colOff>342900</xdr:colOff>
                    <xdr:row>5</xdr:row>
                    <xdr:rowOff>95250</xdr:rowOff>
                  </from>
                  <to>
                    <xdr:col>16</xdr:col>
                    <xdr:colOff>847725</xdr:colOff>
                    <xdr:row>6</xdr:row>
                    <xdr:rowOff>161925</xdr:rowOff>
                  </to>
                </anchor>
              </controlPr>
            </control>
          </mc:Choice>
        </mc:AlternateContent>
        <mc:AlternateContent xmlns:mc="http://schemas.openxmlformats.org/markup-compatibility/2006">
          <mc:Choice Requires="x14">
            <control shapeId="117764" r:id="rId7" name="Button 4">
              <controlPr defaultSize="0" print="0" autoFill="0" autoPict="0" macro="[0]!TaoQRCode">
                <anchor moveWithCells="1">
                  <from>
                    <xdr:col>22</xdr:col>
                    <xdr:colOff>352425</xdr:colOff>
                    <xdr:row>5</xdr:row>
                    <xdr:rowOff>104775</xdr:rowOff>
                  </from>
                  <to>
                    <xdr:col>22</xdr:col>
                    <xdr:colOff>857250</xdr:colOff>
                    <xdr:row>6</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64194D2-3285-4215-8A53-D73522049214}">
            <xm:f>Security!$A$1="NO VBA"</xm:f>
            <x14:dxf>
              <font>
                <color theme="0"/>
              </font>
              <border>
                <vertical/>
                <horizontal/>
              </border>
            </x14:dxf>
          </x14:cfRule>
          <xm:sqref>N26:O31 M13:Q14 M20:N20 P20:Q20 P34:Q35 M34:N35 M22:M33 S33:S36 V35:W35 T36 M21:Q21 P22:Q32 M16:Q19 M15:O15 Q15</xm:sqref>
        </x14:conditionalFormatting>
        <x14:conditionalFormatting xmlns:xm="http://schemas.microsoft.com/office/excel/2006/main">
          <x14:cfRule type="expression" priority="4" id="{9387B8C7-0A11-408B-9B5C-2714CEC5B242}">
            <xm:f>Security!$A$1="NO VBA"</xm:f>
            <x14:dxf>
              <font>
                <color theme="0"/>
              </font>
              <border>
                <vertical/>
                <horizontal/>
              </border>
            </x14:dxf>
          </x14:cfRule>
          <xm:sqref>T26:U31 S13:W19 S20:T20 V20:W20 T34:T35 S22:S32 S21:W21 V22:W32</xm:sqref>
        </x14:conditionalFormatting>
        <x14:conditionalFormatting xmlns:xm="http://schemas.microsoft.com/office/excel/2006/main">
          <x14:cfRule type="expression" priority="3" id="{066B803E-EBEE-4A2D-83CF-44E9150DFD86}">
            <xm:f>Security!$A$1="NO VBA"</xm:f>
            <x14:dxf>
              <font>
                <color theme="0"/>
              </font>
              <border>
                <vertical/>
                <horizontal/>
              </border>
            </x14:dxf>
          </x14:cfRule>
          <xm:sqref>V34</xm:sqref>
        </x14:conditionalFormatting>
        <x14:conditionalFormatting xmlns:xm="http://schemas.microsoft.com/office/excel/2006/main">
          <x14:cfRule type="expression" priority="2" id="{DAEC12C4-FA27-4B07-967B-95F7DE22C9C8}">
            <xm:f>Security!$A$1="NO VBA"</xm:f>
            <x14:dxf>
              <font>
                <color theme="0"/>
              </font>
              <border>
                <vertical/>
                <horizontal/>
              </border>
            </x14:dxf>
          </x14:cfRule>
          <xm:sqref>W34</xm:sqref>
        </x14:conditionalFormatting>
        <x14:conditionalFormatting xmlns:xm="http://schemas.microsoft.com/office/excel/2006/main">
          <x14:cfRule type="expression" priority="1" id="{FAE8D4A1-7D75-4BEE-B1ED-B9338AF2B332}">
            <xm:f>Security!$A$1="NO VBA"</xm:f>
            <x14:dxf>
              <font>
                <color theme="0"/>
              </font>
              <border>
                <vertical/>
                <horizontal/>
              </border>
            </x14:dxf>
          </x14:cfRule>
          <xm:sqref>P15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EFA7-4C6E-41E8-A04A-134CD4B84627}">
  <sheetPr codeName="Sheet39">
    <tabColor theme="4"/>
  </sheetPr>
  <dimension ref="A1:O25"/>
  <sheetViews>
    <sheetView showGridLines="0" workbookViewId="0">
      <selection activeCell="D7" sqref="D7"/>
    </sheetView>
  </sheetViews>
  <sheetFormatPr defaultRowHeight="18" customHeight="1" outlineLevelRow="1" outlineLevelCol="1" x14ac:dyDescent="0.3"/>
  <cols>
    <col min="1" max="1" width="9.625" style="7" customWidth="1"/>
    <col min="2" max="2" width="12.625" style="7" customWidth="1"/>
    <col min="3" max="3" width="10.75" style="7" bestFit="1" customWidth="1"/>
    <col min="4" max="4" width="28.5" style="7" customWidth="1"/>
    <col min="5" max="5" width="10.5" style="7" bestFit="1" customWidth="1"/>
    <col min="6" max="6" width="5.5" style="7" bestFit="1" customWidth="1"/>
    <col min="7" max="7" width="8.875" style="7" bestFit="1" customWidth="1"/>
    <col min="8" max="8" width="9.5" style="7" bestFit="1" customWidth="1"/>
    <col min="9" max="9" width="17.25" style="7" customWidth="1" outlineLevel="1"/>
    <col min="10" max="10" width="6.75" style="7" bestFit="1" customWidth="1"/>
    <col min="11" max="11" width="9" style="7"/>
    <col min="12" max="12" width="20" style="7" customWidth="1"/>
    <col min="13" max="16384" width="9" style="7"/>
  </cols>
  <sheetData>
    <row r="1" spans="1:15" s="308" customFormat="1" ht="22.5" customHeight="1" x14ac:dyDescent="0.3">
      <c r="A1" s="307">
        <v>0</v>
      </c>
      <c r="B1" s="307">
        <f t="shared" ref="B1:I1" si="0">+A1+1</f>
        <v>1</v>
      </c>
      <c r="C1" s="307">
        <f t="shared" si="0"/>
        <v>2</v>
      </c>
      <c r="D1" s="307">
        <f t="shared" si="0"/>
        <v>3</v>
      </c>
      <c r="E1" s="307">
        <f t="shared" si="0"/>
        <v>4</v>
      </c>
      <c r="F1" s="307">
        <f t="shared" si="0"/>
        <v>5</v>
      </c>
      <c r="G1" s="307">
        <f t="shared" si="0"/>
        <v>6</v>
      </c>
      <c r="H1" s="307">
        <f t="shared" si="0"/>
        <v>7</v>
      </c>
      <c r="I1" s="307">
        <f t="shared" si="0"/>
        <v>8</v>
      </c>
      <c r="J1" s="307"/>
    </row>
    <row r="2" spans="1:15" s="95" customFormat="1" ht="18" customHeight="1" x14ac:dyDescent="0.3">
      <c r="A2" s="269"/>
      <c r="B2" s="269"/>
      <c r="C2" s="269"/>
      <c r="D2" s="269"/>
      <c r="E2" s="269"/>
      <c r="F2" s="269"/>
      <c r="G2" s="269"/>
      <c r="H2" s="269"/>
      <c r="I2" s="269"/>
      <c r="J2" s="269"/>
    </row>
    <row r="3" spans="1:15" s="95" customFormat="1" ht="18" customHeight="1" outlineLevel="1" x14ac:dyDescent="0.3">
      <c r="A3" s="269"/>
      <c r="B3" s="269"/>
      <c r="C3" s="269"/>
      <c r="D3" s="112" t="s">
        <v>840</v>
      </c>
      <c r="E3" s="95" t="str" cm="1">
        <f t="array" ref="E3:G3">TRANSPOSE(_xlfn._xlws.SORT(_xlfn._xlws.FILTER(Table_NhaCungCap[Mã Đối tác],Table_NhaCungCap[Loại đối tác]=D3,"")))</f>
        <v>NCC1</v>
      </c>
      <c r="F3" s="269" t="str">
        <v>NCC2</v>
      </c>
      <c r="G3" s="269" t="str">
        <v>NCC3</v>
      </c>
      <c r="H3" s="269"/>
      <c r="I3" s="269"/>
      <c r="J3" s="269"/>
    </row>
    <row r="4" spans="1:15" s="95" customFormat="1" ht="18" customHeight="1" outlineLevel="1" x14ac:dyDescent="0.3">
      <c r="A4" s="269"/>
      <c r="B4" s="269"/>
      <c r="C4" s="269"/>
      <c r="D4" s="112" t="s">
        <v>37</v>
      </c>
      <c r="E4" s="95" t="str" cm="1">
        <f t="array" ref="E4">TRANSPOSE(_xlfn._xlws.SORT(_xlfn._xlws.FILTER(Table_NhaCungCap[Mã Đối tác],Table_NhaCungCap[Loại đối tác]=D4,"")))</f>
        <v/>
      </c>
      <c r="F4" s="269"/>
      <c r="G4" s="269"/>
      <c r="H4" s="269"/>
      <c r="I4" s="269"/>
      <c r="J4" s="269"/>
    </row>
    <row r="5" spans="1:15" s="95" customFormat="1" ht="18" customHeight="1" outlineLevel="1" x14ac:dyDescent="0.3">
      <c r="A5" s="269"/>
      <c r="B5" s="269"/>
      <c r="C5" s="269"/>
      <c r="D5" s="112" t="s">
        <v>210</v>
      </c>
      <c r="E5" s="95" t="str" cm="1">
        <f t="array" ref="E5">TRANSPOSE(_xlfn._xlws.SORT(_xlfn._xlws.FILTER(Table_NhaCungCap[Mã Đối tác],Table_NhaCungCap[Loại đối tác]=D5,"")))</f>
        <v/>
      </c>
      <c r="F5" s="269"/>
      <c r="G5" s="269"/>
      <c r="H5" s="269"/>
      <c r="I5" s="269"/>
      <c r="J5" s="269"/>
    </row>
    <row r="6" spans="1:15" s="95" customFormat="1" ht="18" customHeight="1" outlineLevel="1" x14ac:dyDescent="0.3">
      <c r="A6" s="269"/>
      <c r="B6" s="269"/>
      <c r="C6" s="269"/>
      <c r="D6" s="112" t="s">
        <v>841</v>
      </c>
      <c r="E6" s="95" t="str" cm="1">
        <f t="array" ref="E6">TRANSPOSE(_xlfn._xlws.SORT(_xlfn._xlws.FILTER(Table_NhaCungCap[Mã Đối tác],Table_NhaCungCap[Loại đối tác]=D6,"")))</f>
        <v/>
      </c>
      <c r="F6" s="269"/>
      <c r="G6" s="269"/>
      <c r="H6" s="269"/>
      <c r="I6" s="269"/>
      <c r="J6" s="269"/>
    </row>
    <row r="7" spans="1:15" s="95" customFormat="1" ht="18" customHeight="1" outlineLevel="1" x14ac:dyDescent="0.3">
      <c r="A7" s="269"/>
      <c r="B7" s="269"/>
      <c r="C7" s="269"/>
      <c r="D7" s="112" t="s">
        <v>139</v>
      </c>
      <c r="E7" s="95" t="str" cm="1">
        <f t="array" ref="E7:F7">TRANSPOSE(_xlfn._xlws.SORT(_xlfn._xlws.FILTER(Table_NhaCungCap[Mã Đối tác],Table_NhaCungCap[Loại đối tác]=D7,"")))</f>
        <v>EVN</v>
      </c>
      <c r="F7" s="269" t="str">
        <v>NSG</v>
      </c>
      <c r="G7" s="269"/>
      <c r="H7" s="269"/>
      <c r="I7" s="269"/>
      <c r="J7" s="269"/>
    </row>
    <row r="8" spans="1:15" s="95" customFormat="1" ht="18" customHeight="1" outlineLevel="1" x14ac:dyDescent="0.3">
      <c r="A8" s="269"/>
      <c r="B8" s="269"/>
      <c r="C8" s="269"/>
      <c r="D8" s="112" t="s">
        <v>1264</v>
      </c>
      <c r="E8" s="95" t="str" cm="1">
        <f t="array" ref="E8">TRANSPOSE(_xlfn._xlws.SORT(_xlfn._xlws.FILTER(Table_NhaCungCap[Mã Đối tác],Table_NhaCungCap[Loại đối tác]=D8,"")))</f>
        <v/>
      </c>
      <c r="F8" s="269"/>
      <c r="G8" s="269"/>
      <c r="H8" s="269"/>
      <c r="I8" s="269"/>
      <c r="J8" s="269"/>
    </row>
    <row r="9" spans="1:15" s="95" customFormat="1" ht="18" customHeight="1" outlineLevel="1" x14ac:dyDescent="0.3">
      <c r="A9" s="269"/>
      <c r="B9" s="269"/>
      <c r="C9" s="269"/>
      <c r="D9" s="112" t="s">
        <v>843</v>
      </c>
      <c r="E9" s="95" t="str" cm="1">
        <f t="array" ref="E9:F9">TRANSPOSE(_xlfn._xlws.SORT(_xlfn._xlws.FILTER(Table_NhaCungCap[Mã Đối tác],Table_NhaCungCap[Loại đối tác]=D9,"")))</f>
        <v>MT</v>
      </c>
      <c r="F9" s="269" t="str">
        <v>O&amp;M</v>
      </c>
      <c r="G9" s="269"/>
      <c r="H9" s="269"/>
      <c r="I9" s="269"/>
      <c r="J9" s="269"/>
    </row>
    <row r="10" spans="1:15" s="95" customFormat="1" ht="18" customHeight="1" outlineLevel="1" x14ac:dyDescent="0.3">
      <c r="A10" s="269"/>
      <c r="B10" s="269"/>
      <c r="C10" s="269"/>
      <c r="D10" s="112" t="s">
        <v>844</v>
      </c>
      <c r="E10" s="95" t="str" cm="1">
        <f t="array" ref="E10:F10">TRANSPOSE(_xlfn._xlws.SORT(_xlfn._xlws.FILTER(Table_NhaCungCap[Mã Đối tác],Table_NhaCungCap[Loại đối tác]=D10,"")))</f>
        <v>Ad1</v>
      </c>
      <c r="F10" s="269" t="str">
        <v>Agency1</v>
      </c>
      <c r="G10" s="269"/>
      <c r="H10" s="269"/>
      <c r="I10" s="269"/>
      <c r="J10" s="269"/>
    </row>
    <row r="11" spans="1:15" s="95" customFormat="1" ht="18" customHeight="1" outlineLevel="1" x14ac:dyDescent="0.3">
      <c r="A11" s="269"/>
      <c r="B11" s="269"/>
      <c r="C11" s="269"/>
      <c r="D11" s="112" t="s">
        <v>845</v>
      </c>
      <c r="E11" s="95" t="str" cm="1">
        <f t="array" ref="E11:F11">TRANSPOSE(_xlfn._xlws.SORT(_xlfn._xlws.FILTER(Table_NhaCungCap[Mã Đối tác],Table_NhaCungCap[Loại đối tác]=D11,"")))</f>
        <v>Secu</v>
      </c>
      <c r="F11" s="269" t="str">
        <v>Soft1</v>
      </c>
      <c r="G11" s="269"/>
      <c r="H11" s="269"/>
      <c r="I11" s="269"/>
      <c r="J11" s="269"/>
    </row>
    <row r="12" spans="1:15" s="95" customFormat="1" ht="18" customHeight="1" outlineLevel="1" x14ac:dyDescent="0.3">
      <c r="A12" s="269"/>
      <c r="B12" s="269"/>
      <c r="C12" s="269"/>
      <c r="D12" s="112" t="s">
        <v>842</v>
      </c>
      <c r="E12" s="95" t="str" cm="1">
        <f t="array" ref="E12">TRANSPOSE(_xlfn._xlws.SORT(_xlfn._xlws.FILTER(Table_NhaCungCap[Mã Đối tác],Table_NhaCungCap[Loại đối tác]=D12,"")))</f>
        <v/>
      </c>
      <c r="F12" s="269"/>
      <c r="G12" s="269"/>
      <c r="H12" s="269"/>
      <c r="I12" s="269"/>
      <c r="J12" s="269"/>
    </row>
    <row r="13" spans="1:15" s="95" customFormat="1" ht="18" customHeight="1" outlineLevel="1" x14ac:dyDescent="0.3">
      <c r="A13" s="269"/>
      <c r="B13" s="269"/>
      <c r="C13" s="269"/>
      <c r="D13" s="112" t="s">
        <v>798</v>
      </c>
      <c r="E13" s="269" t="str" cm="1">
        <f t="array" ref="E13:O13">TRANSPOSE(_xlfn._xlws.SORT(Table_NhaCungCap[Mã Đối tác]))</f>
        <v>Ad1</v>
      </c>
      <c r="F13" s="269" t="str">
        <v>Agency1</v>
      </c>
      <c r="G13" s="269" t="str">
        <v>EVN</v>
      </c>
      <c r="H13" s="269" t="str">
        <v>MT</v>
      </c>
      <c r="I13" s="269" t="str">
        <v>NCC1</v>
      </c>
      <c r="J13" s="269" t="str">
        <v>NCC2</v>
      </c>
      <c r="K13" s="95" t="str">
        <v>NCC3</v>
      </c>
      <c r="L13" s="95" t="str">
        <v>NSG</v>
      </c>
      <c r="M13" s="95" t="str">
        <v>O&amp;M</v>
      </c>
      <c r="N13" s="95" t="str">
        <v>Secu</v>
      </c>
      <c r="O13" s="95" t="str">
        <v>Soft1</v>
      </c>
    </row>
    <row r="14" spans="1:15" s="112" customFormat="1" ht="18" customHeight="1" x14ac:dyDescent="0.3">
      <c r="A14" s="270"/>
      <c r="B14" s="172" t="s">
        <v>693</v>
      </c>
      <c r="C14" s="172" t="s">
        <v>664</v>
      </c>
      <c r="D14" s="172" t="s">
        <v>846</v>
      </c>
      <c r="E14" s="172" t="s">
        <v>536</v>
      </c>
      <c r="F14" s="172" t="s">
        <v>785</v>
      </c>
      <c r="G14" s="172" t="s">
        <v>833</v>
      </c>
      <c r="H14" s="172" t="s">
        <v>266</v>
      </c>
      <c r="I14" s="172" t="s">
        <v>168</v>
      </c>
      <c r="J14" s="7" t="s">
        <v>873</v>
      </c>
    </row>
    <row r="15" spans="1:15" ht="18" customHeight="1" x14ac:dyDescent="0.3">
      <c r="A15" s="240"/>
      <c r="B15" s="259" t="s">
        <v>1260</v>
      </c>
      <c r="C15" s="259" t="s">
        <v>1261</v>
      </c>
      <c r="D15" s="259" t="s">
        <v>845</v>
      </c>
      <c r="E15" s="259"/>
      <c r="F15" s="259"/>
      <c r="G15" s="259"/>
      <c r="H15" s="259"/>
      <c r="I15" s="115">
        <f>IFERROR(VLOOKUP(Table_NhaCungCap[[#This Row],[Mã Đối tác]],Table_PhaiTra[[Đối tác]:[Add]],COUNTA(Table_PhaiTra[[#Headers],[Đối tác]:[Add]])-1,0),0)</f>
        <v>0</v>
      </c>
      <c r="J15" s="259"/>
    </row>
    <row r="16" spans="1:15" ht="18" customHeight="1" x14ac:dyDescent="0.3">
      <c r="B16" s="259" t="s">
        <v>1258</v>
      </c>
      <c r="C16" s="259" t="s">
        <v>1259</v>
      </c>
      <c r="D16" s="259" t="s">
        <v>845</v>
      </c>
      <c r="E16" s="259"/>
      <c r="F16" s="259"/>
      <c r="G16" s="259"/>
      <c r="H16" s="259"/>
      <c r="I16" s="115">
        <f>IFERROR(VLOOKUP(Table_NhaCungCap[[#This Row],[Mã Đối tác]],Table_PhaiTra[[Đối tác]:[Add]],COUNTA(Table_PhaiTra[[#Headers],[Đối tác]:[Add]])-1,0),0)</f>
        <v>0</v>
      </c>
      <c r="J16" s="259"/>
    </row>
    <row r="17" spans="2:10" ht="18" customHeight="1" x14ac:dyDescent="0.3">
      <c r="B17" s="259" t="s">
        <v>1256</v>
      </c>
      <c r="C17" s="259" t="s">
        <v>1257</v>
      </c>
      <c r="D17" s="259" t="s">
        <v>844</v>
      </c>
      <c r="E17" s="259"/>
      <c r="F17" s="259"/>
      <c r="G17" s="259"/>
      <c r="H17" s="259"/>
      <c r="I17" s="115">
        <f>IFERROR(VLOOKUP(Table_NhaCungCap[[#This Row],[Mã Đối tác]],Table_PhaiTra[[Đối tác]:[Add]],COUNTA(Table_PhaiTra[[#Headers],[Đối tác]:[Add]])-1,0),0)</f>
        <v>0</v>
      </c>
      <c r="J17" s="259"/>
    </row>
    <row r="18" spans="2:10" ht="18" customHeight="1" x14ac:dyDescent="0.3">
      <c r="B18" s="259" t="s">
        <v>1254</v>
      </c>
      <c r="C18" s="259" t="s">
        <v>1255</v>
      </c>
      <c r="D18" s="259" t="s">
        <v>844</v>
      </c>
      <c r="E18" s="259"/>
      <c r="F18" s="259"/>
      <c r="G18" s="259"/>
      <c r="H18" s="259"/>
      <c r="I18" s="115">
        <f>IFERROR(VLOOKUP(Table_NhaCungCap[[#This Row],[Mã Đối tác]],Table_PhaiTra[[Đối tác]:[Add]],COUNTA(Table_PhaiTra[[#Headers],[Đối tác]:[Add]])-1,0),0)</f>
        <v>0</v>
      </c>
      <c r="J18" s="259"/>
    </row>
    <row r="19" spans="2:10" ht="18" customHeight="1" x14ac:dyDescent="0.3">
      <c r="B19" s="259" t="s">
        <v>1262</v>
      </c>
      <c r="C19" s="259" t="s">
        <v>1263</v>
      </c>
      <c r="D19" s="259" t="s">
        <v>843</v>
      </c>
      <c r="E19" s="259"/>
      <c r="F19" s="259"/>
      <c r="G19" s="259"/>
      <c r="H19" s="259"/>
      <c r="I19" s="115">
        <f>IFERROR(VLOOKUP(Table_NhaCungCap[[#This Row],[Mã Đối tác]],Table_PhaiTra[[Đối tác]:[Add]],COUNTA(Table_PhaiTra[[#Headers],[Đối tác]:[Add]])-1,0),0)</f>
        <v>0</v>
      </c>
      <c r="J19" s="259"/>
    </row>
    <row r="20" spans="2:10" ht="18" customHeight="1" x14ac:dyDescent="0.3">
      <c r="B20" s="259" t="s">
        <v>1252</v>
      </c>
      <c r="C20" s="259" t="s">
        <v>1253</v>
      </c>
      <c r="D20" s="259" t="s">
        <v>843</v>
      </c>
      <c r="E20" s="259"/>
      <c r="F20" s="259"/>
      <c r="G20" s="259"/>
      <c r="H20" s="259"/>
      <c r="I20" s="115">
        <f>IFERROR(VLOOKUP(Table_NhaCungCap[[#This Row],[Mã Đối tác]],Table_PhaiTra[[Đối tác]:[Add]],COUNTA(Table_PhaiTra[[#Headers],[Đối tác]:[Add]])-1,0),0)</f>
        <v>0</v>
      </c>
      <c r="J20" s="259"/>
    </row>
    <row r="21" spans="2:10" ht="18" customHeight="1" x14ac:dyDescent="0.3">
      <c r="B21" s="259" t="s">
        <v>1250</v>
      </c>
      <c r="C21" s="259" t="s">
        <v>1251</v>
      </c>
      <c r="D21" s="259" t="s">
        <v>139</v>
      </c>
      <c r="E21" s="259"/>
      <c r="F21" s="259"/>
      <c r="G21" s="259"/>
      <c r="H21" s="259"/>
      <c r="I21" s="115">
        <f>IFERROR(VLOOKUP(Table_NhaCungCap[[#This Row],[Mã Đối tác]],Table_PhaiTra[[Đối tác]:[Add]],COUNTA(Table_PhaiTra[[#Headers],[Đối tác]:[Add]])-1,0),0)</f>
        <v>0</v>
      </c>
      <c r="J21" s="259"/>
    </row>
    <row r="22" spans="2:10" ht="18" customHeight="1" x14ac:dyDescent="0.3">
      <c r="B22" s="259" t="s">
        <v>1249</v>
      </c>
      <c r="C22" s="259" t="s">
        <v>1249</v>
      </c>
      <c r="D22" s="259" t="s">
        <v>139</v>
      </c>
      <c r="E22" s="259"/>
      <c r="F22" s="259"/>
      <c r="G22" s="259"/>
      <c r="H22" s="259"/>
      <c r="I22" s="115">
        <f>IFERROR(VLOOKUP(Table_NhaCungCap[[#This Row],[Mã Đối tác]],Table_PhaiTra[[Đối tác]:[Add]],COUNTA(Table_PhaiTra[[#Headers],[Đối tác]:[Add]])-1,0),0)</f>
        <v>0</v>
      </c>
      <c r="J22" s="259"/>
    </row>
    <row r="23" spans="2:10" ht="18" customHeight="1" x14ac:dyDescent="0.3">
      <c r="B23" s="259" t="s">
        <v>1160</v>
      </c>
      <c r="C23" s="259"/>
      <c r="D23" s="259" t="s">
        <v>840</v>
      </c>
      <c r="E23" s="259"/>
      <c r="F23" s="259"/>
      <c r="G23" s="259"/>
      <c r="H23" s="259"/>
      <c r="I23" s="115">
        <f>IFERROR(VLOOKUP(Table_NhaCungCap[[#This Row],[Mã Đối tác]],Table_PhaiTra[[Đối tác]:[Add]],COUNTA(Table_PhaiTra[[#Headers],[Đối tác]:[Add]])-1,0),0)</f>
        <v>-252902</v>
      </c>
      <c r="J23" s="259"/>
    </row>
    <row r="24" spans="2:10" ht="18" customHeight="1" x14ac:dyDescent="0.3">
      <c r="B24" s="259" t="s">
        <v>1159</v>
      </c>
      <c r="C24" s="259"/>
      <c r="D24" s="259" t="s">
        <v>840</v>
      </c>
      <c r="E24" s="259"/>
      <c r="F24" s="259"/>
      <c r="G24" s="259"/>
      <c r="H24" s="259"/>
      <c r="I24" s="115">
        <f>IFERROR(VLOOKUP(Table_NhaCungCap[[#This Row],[Mã Đối tác]],Table_PhaiTra[[Đối tác]:[Add]],COUNTA(Table_PhaiTra[[#Headers],[Đối tác]:[Add]])-1,0),0)</f>
        <v>-376901</v>
      </c>
      <c r="J24" s="259"/>
    </row>
    <row r="25" spans="2:10" ht="18" customHeight="1" x14ac:dyDescent="0.3">
      <c r="B25" s="259" t="s">
        <v>1158</v>
      </c>
      <c r="C25" s="259"/>
      <c r="D25" s="259" t="s">
        <v>840</v>
      </c>
      <c r="E25" s="259"/>
      <c r="F25" s="259"/>
      <c r="G25" s="259"/>
      <c r="H25" s="240"/>
      <c r="I25" s="18">
        <f>IFERROR(VLOOKUP(Table_NhaCungCap[[#This Row],[Mã Đối tác]],Table_PhaiTra[[Đối tác]:[Add]],COUNTA(Table_PhaiTra[[#Headers],[Đối tác]:[Add]])-1,0),0)</f>
        <v>430146</v>
      </c>
      <c r="J25" s="259"/>
    </row>
  </sheetData>
  <sheetProtection algorithmName="SHA-512" hashValue="W+/Dmmb4FhOQKYPuu8wqxBwQR0BdiChG9MZ+jxAmVN2V4wjMtVue1vwHC1T9i7A2qLM2kuPIEZY8PM6tH4VWYA==" saltValue="GYGQIV1pSFrudSK8iBENkQ==" spinCount="100000" sheet="1" scenarios="1" formatCells="0" formatColumns="0" formatRows="0" insertColumns="0" insertRows="0" deleteColumns="0" deleteRows="0" sort="0" autoFilter="0" pivotTables="0"/>
  <protectedRanges>
    <protectedRange sqref="A14:I14 D1:O2 A7:K13 B25:J1048576 A15:A1048576 K14:XFD1048576 B15:I24 D3:K6 P1:XFD6 P7:XFD13 A1:C6" name="Range1"/>
    <protectedRange sqref="J14:J24" name="Range1_1"/>
  </protectedRanges>
  <phoneticPr fontId="14" type="noConversion"/>
  <conditionalFormatting sqref="B15:B25">
    <cfRule type="duplicateValues" dxfId="185" priority="824"/>
  </conditionalFormatting>
  <dataValidations count="1">
    <dataValidation type="list" allowBlank="1" showInputMessage="1" showErrorMessage="1" sqref="D15:D25" xr:uid="{0334B666-6EC9-4A78-92CD-F5B7DD6BDD2A}">
      <formula1>$D$3:$D$13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74" r:id="rId3" name="Option Button 6">
              <controlPr defaultSize="0" autoFill="0" autoLine="0" autoPict="0" macro="[0]!DoiDonViHienThi">
                <anchor moveWithCells="1">
                  <from>
                    <xdr:col>3</xdr:col>
                    <xdr:colOff>95250</xdr:colOff>
                    <xdr:row>0</xdr:row>
                    <xdr:rowOff>152400</xdr:rowOff>
                  </from>
                  <to>
                    <xdr:col>3</xdr:col>
                    <xdr:colOff>685800</xdr:colOff>
                    <xdr:row>1</xdr:row>
                    <xdr:rowOff>142875</xdr:rowOff>
                  </to>
                </anchor>
              </controlPr>
            </control>
          </mc:Choice>
        </mc:AlternateContent>
        <mc:AlternateContent xmlns:mc="http://schemas.openxmlformats.org/markup-compatibility/2006">
          <mc:Choice Requires="x14">
            <control shapeId="83975" r:id="rId4" name="Option Button 7">
              <controlPr defaultSize="0" autoFill="0" autoLine="0" autoPict="0" macro="[0]!DoiDonViHienThi">
                <anchor moveWithCells="1">
                  <from>
                    <xdr:col>3</xdr:col>
                    <xdr:colOff>561975</xdr:colOff>
                    <xdr:row>0</xdr:row>
                    <xdr:rowOff>152400</xdr:rowOff>
                  </from>
                  <to>
                    <xdr:col>3</xdr:col>
                    <xdr:colOff>1152525</xdr:colOff>
                    <xdr:row>1</xdr:row>
                    <xdr:rowOff>142875</xdr:rowOff>
                  </to>
                </anchor>
              </controlPr>
            </control>
          </mc:Choice>
        </mc:AlternateContent>
        <mc:AlternateContent xmlns:mc="http://schemas.openxmlformats.org/markup-compatibility/2006">
          <mc:Choice Requires="x14">
            <control shapeId="83976" r:id="rId5" name="Option Button 8">
              <controlPr defaultSize="0" autoFill="0" autoLine="0" autoPict="0" macro="[0]!DoiDonViHienThi">
                <anchor moveWithCells="1">
                  <from>
                    <xdr:col>3</xdr:col>
                    <xdr:colOff>1028700</xdr:colOff>
                    <xdr:row>0</xdr:row>
                    <xdr:rowOff>152400</xdr:rowOff>
                  </from>
                  <to>
                    <xdr:col>3</xdr:col>
                    <xdr:colOff>1619250</xdr:colOff>
                    <xdr:row>1</xdr:row>
                    <xdr:rowOff>142875</xdr:rowOff>
                  </to>
                </anchor>
              </controlPr>
            </control>
          </mc:Choice>
        </mc:AlternateContent>
        <mc:AlternateContent xmlns:mc="http://schemas.openxmlformats.org/markup-compatibility/2006">
          <mc:Choice Requires="x14">
            <control shapeId="83977" r:id="rId6" name="Option Button 9">
              <controlPr defaultSize="0" autoFill="0" autoLine="0" autoPict="0" macro="[0]!DoiDonViHienThi">
                <anchor moveWithCells="1">
                  <from>
                    <xdr:col>3</xdr:col>
                    <xdr:colOff>1504950</xdr:colOff>
                    <xdr:row>0</xdr:row>
                    <xdr:rowOff>152400</xdr:rowOff>
                  </from>
                  <to>
                    <xdr:col>3</xdr:col>
                    <xdr:colOff>1857375</xdr:colOff>
                    <xdr:row>1</xdr:row>
                    <xdr:rowOff>142875</xdr:rowOff>
                  </to>
                </anchor>
              </controlPr>
            </control>
          </mc:Choice>
        </mc:AlternateContent>
        <mc:AlternateContent xmlns:mc="http://schemas.openxmlformats.org/markup-compatibility/2006">
          <mc:Choice Requires="x14">
            <control shapeId="83978" r:id="rId7" name="Group Box 10">
              <controlPr defaultSize="0" autoFill="0" autoPict="0">
                <anchor moveWithCells="1">
                  <from>
                    <xdr:col>2</xdr:col>
                    <xdr:colOff>800100</xdr:colOff>
                    <xdr:row>0</xdr:row>
                    <xdr:rowOff>104775</xdr:rowOff>
                  </from>
                  <to>
                    <xdr:col>3</xdr:col>
                    <xdr:colOff>1971675</xdr:colOff>
                    <xdr:row>1</xdr:row>
                    <xdr:rowOff>180975</xdr:rowOff>
                  </to>
                </anchor>
              </controlPr>
            </control>
          </mc:Choice>
        </mc:AlternateContent>
        <mc:AlternateContent xmlns:mc="http://schemas.openxmlformats.org/markup-compatibility/2006">
          <mc:Choice Requires="x14">
            <control shapeId="83979" r:id="rId8" name="Group Box 11">
              <controlPr defaultSize="0" autoFill="0" autoPict="0">
                <anchor moveWithCells="1">
                  <from>
                    <xdr:col>1</xdr:col>
                    <xdr:colOff>57150</xdr:colOff>
                    <xdr:row>0</xdr:row>
                    <xdr:rowOff>104775</xdr:rowOff>
                  </from>
                  <to>
                    <xdr:col>2</xdr:col>
                    <xdr:colOff>752475</xdr:colOff>
                    <xdr:row>1</xdr:row>
                    <xdr:rowOff>180975</xdr:rowOff>
                  </to>
                </anchor>
              </controlPr>
            </control>
          </mc:Choice>
        </mc:AlternateContent>
        <mc:AlternateContent xmlns:mc="http://schemas.openxmlformats.org/markup-compatibility/2006">
          <mc:Choice Requires="x14">
            <control shapeId="83980" r:id="rId9" name="Button 12">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3981" r:id="rId10" name="Button 13">
              <controlPr defaultSize="0" autoFill="0" autoPict="0" macro="[0]!NhanTrieu">
                <anchor moveWithCells="1">
                  <from>
                    <xdr:col>1</xdr:col>
                    <xdr:colOff>657225</xdr:colOff>
                    <xdr:row>0</xdr:row>
                    <xdr:rowOff>200025</xdr:rowOff>
                  </from>
                  <to>
                    <xdr:col>2</xdr:col>
                    <xdr:colOff>161925</xdr:colOff>
                    <xdr:row>1</xdr:row>
                    <xdr:rowOff>85725</xdr:rowOff>
                  </to>
                </anchor>
              </controlPr>
            </control>
          </mc:Choice>
        </mc:AlternateContent>
        <mc:AlternateContent xmlns:mc="http://schemas.openxmlformats.org/markup-compatibility/2006">
          <mc:Choice Requires="x14">
            <control shapeId="83982" r:id="rId11" name="Button 14">
              <controlPr defaultSize="0" autoFill="0" autoPict="0" macro="[0]!NhanTy">
                <anchor moveWithCells="1">
                  <from>
                    <xdr:col>2</xdr:col>
                    <xdr:colOff>209550</xdr:colOff>
                    <xdr:row>0</xdr:row>
                    <xdr:rowOff>200025</xdr:rowOff>
                  </from>
                  <to>
                    <xdr:col>2</xdr:col>
                    <xdr:colOff>676275</xdr:colOff>
                    <xdr:row>1</xdr:row>
                    <xdr:rowOff>85725</xdr:rowOff>
                  </to>
                </anchor>
              </controlPr>
            </control>
          </mc:Choice>
        </mc:AlternateContent>
        <mc:AlternateContent xmlns:mc="http://schemas.openxmlformats.org/markup-compatibility/2006">
          <mc:Choice Requires="x14">
            <control shapeId="83983" r:id="rId12" name="Button 15">
              <controlPr defaultSize="0" print="0" autoFill="0" autoPict="0" macro="[0]!AddRow">
                <anchor moveWithCells="1">
                  <from>
                    <xdr:col>3</xdr:col>
                    <xdr:colOff>2143125</xdr:colOff>
                    <xdr:row>0</xdr:row>
                    <xdr:rowOff>142875</xdr:rowOff>
                  </from>
                  <to>
                    <xdr:col>4</xdr:col>
                    <xdr:colOff>447675</xdr:colOff>
                    <xdr:row>1</xdr:row>
                    <xdr:rowOff>114300</xdr:rowOff>
                  </to>
                </anchor>
              </controlPr>
            </control>
          </mc:Choice>
        </mc:AlternateContent>
        <mc:AlternateContent xmlns:mc="http://schemas.openxmlformats.org/markup-compatibility/2006">
          <mc:Choice Requires="x14">
            <control shapeId="83984" r:id="rId13" name="Button 16">
              <controlPr defaultSize="0" print="0" autoFill="0" autoPict="0" macro="[0]!DeleteRow">
                <anchor moveWithCells="1">
                  <from>
                    <xdr:col>4</xdr:col>
                    <xdr:colOff>485775</xdr:colOff>
                    <xdr:row>0</xdr:row>
                    <xdr:rowOff>142875</xdr:rowOff>
                  </from>
                  <to>
                    <xdr:col>5</xdr:col>
                    <xdr:colOff>161925</xdr:colOff>
                    <xdr:row>1</xdr:row>
                    <xdr:rowOff>114300</xdr:rowOff>
                  </to>
                </anchor>
              </controlPr>
            </control>
          </mc:Choice>
        </mc:AlternateContent>
        <mc:AlternateContent xmlns:mc="http://schemas.openxmlformats.org/markup-compatibility/2006">
          <mc:Choice Requires="x14">
            <control shapeId="83985" r:id="rId14" name="Button 17">
              <controlPr defaultSize="0" print="0" autoFill="0" autoPict="0" macro="[0]!AddColumn">
                <anchor moveWithCells="1">
                  <from>
                    <xdr:col>10</xdr:col>
                    <xdr:colOff>85725</xdr:colOff>
                    <xdr:row>0</xdr:row>
                    <xdr:rowOff>133350</xdr:rowOff>
                  </from>
                  <to>
                    <xdr:col>10</xdr:col>
                    <xdr:colOff>600075</xdr:colOff>
                    <xdr:row>1</xdr:row>
                    <xdr:rowOff>104775</xdr:rowOff>
                  </to>
                </anchor>
              </controlPr>
            </control>
          </mc:Choice>
        </mc:AlternateContent>
        <mc:AlternateContent xmlns:mc="http://schemas.openxmlformats.org/markup-compatibility/2006">
          <mc:Choice Requires="x14">
            <control shapeId="83986" r:id="rId15" name="Button 18">
              <controlPr defaultSize="0" print="0" autoFill="0" autoPict="0" macro="[0]!DeleteColumn">
                <anchor moveWithCells="1">
                  <from>
                    <xdr:col>10</xdr:col>
                    <xdr:colOff>638175</xdr:colOff>
                    <xdr:row>0</xdr:row>
                    <xdr:rowOff>133350</xdr:rowOff>
                  </from>
                  <to>
                    <xdr:col>11</xdr:col>
                    <xdr:colOff>495300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207217E6-D46C-4257-A2B5-F4F4AAD87145}">
            <xm:f>Security!$A$1="NO VBA"</xm:f>
            <x14:dxf>
              <font>
                <color theme="0"/>
              </font>
              <border>
                <vertical/>
                <horizontal/>
              </border>
            </x14:dxf>
          </x14:cfRule>
          <xm:sqref>A1:XFD2 A14:XFD1048576 P3:XFD13 A3:K13</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53985-E855-4CB4-B60D-732F2195554C}">
  <sheetPr codeName="Sheet34">
    <tabColor theme="4"/>
  </sheetPr>
  <dimension ref="A1:AC22"/>
  <sheetViews>
    <sheetView showGridLines="0" topLeftCell="U4" workbookViewId="0">
      <selection activeCell="Z16" sqref="Z16:AB16"/>
    </sheetView>
  </sheetViews>
  <sheetFormatPr defaultRowHeight="18" customHeight="1" outlineLevelRow="1" outlineLevelCol="2" x14ac:dyDescent="0.3"/>
  <cols>
    <col min="1" max="1" width="9.625" style="7" customWidth="1"/>
    <col min="2" max="2" width="12.75" style="7" customWidth="1" outlineLevel="1"/>
    <col min="3" max="3" width="13.375" style="7" customWidth="1" outlineLevel="1"/>
    <col min="4" max="4" width="12.75" style="7" customWidth="1" outlineLevel="1"/>
    <col min="5" max="5" width="13.375" style="7" customWidth="1" outlineLevel="1"/>
    <col min="6" max="6" width="4.875" style="7" customWidth="1" outlineLevel="1"/>
    <col min="7" max="7" width="15" style="7" customWidth="1" outlineLevel="1"/>
    <col min="8" max="8" width="15.875" style="7" customWidth="1" outlineLevel="1"/>
    <col min="9" max="9" width="11.625" style="7" customWidth="1" outlineLevel="1"/>
    <col min="10" max="10" width="11" style="7" customWidth="1" outlineLevel="1"/>
    <col min="11" max="11" width="4.875" style="7" customWidth="1" outlineLevel="1"/>
    <col min="12" max="12" width="14.625" style="7" customWidth="1" outlineLevel="1"/>
    <col min="13" max="13" width="11.875" style="7" customWidth="1" outlineLevel="1"/>
    <col min="14" max="14" width="18.875" style="7" customWidth="1" outlineLevel="1"/>
    <col min="15" max="15" width="15.5" style="7" bestFit="1" customWidth="1" outlineLevel="1"/>
    <col min="16" max="16" width="14.5" style="7" bestFit="1" customWidth="1" outlineLevel="1"/>
    <col min="17" max="17" width="7.125" style="7" customWidth="1" outlineLevel="1"/>
    <col min="18" max="18" width="12.375" style="7" customWidth="1"/>
    <col min="19" max="19" width="7.5" style="7" customWidth="1" outlineLevel="1"/>
    <col min="20" max="20" width="8.125" style="7" customWidth="1" outlineLevel="1"/>
    <col min="21" max="21" width="8.5" style="7" customWidth="1" outlineLevel="1"/>
    <col min="22" max="22" width="7.25" style="7" customWidth="1" outlineLevel="2"/>
    <col min="23" max="23" width="10.25" style="7" customWidth="1" outlineLevel="2"/>
    <col min="24" max="24" width="9" style="38" customWidth="1" outlineLevel="1"/>
    <col min="25" max="25" width="19.25" style="38" customWidth="1" outlineLevel="1"/>
    <col min="26" max="26" width="11.25" style="7" bestFit="1" customWidth="1" outlineLevel="1"/>
    <col min="27" max="27" width="14.5" style="7" bestFit="1" customWidth="1" outlineLevel="1"/>
    <col min="28" max="28" width="13.5" style="112" bestFit="1" customWidth="1" outlineLevel="1"/>
    <col min="29" max="29" width="14" style="7" bestFit="1" customWidth="1"/>
    <col min="30" max="30" width="9.375" style="7" bestFit="1" customWidth="1"/>
    <col min="31" max="16384" width="9" style="7"/>
  </cols>
  <sheetData>
    <row r="1" spans="1:29" s="308" customFormat="1" ht="18" customHeight="1" x14ac:dyDescent="0.3">
      <c r="A1" s="307">
        <v>0</v>
      </c>
      <c r="B1" s="307">
        <f>+A1+1</f>
        <v>1</v>
      </c>
      <c r="C1" s="307">
        <f>+B1+1</f>
        <v>2</v>
      </c>
      <c r="D1" s="307">
        <f>+C1+1</f>
        <v>3</v>
      </c>
      <c r="E1" s="307">
        <f>+D1+1</f>
        <v>4</v>
      </c>
      <c r="F1" s="307"/>
      <c r="G1" s="307">
        <v>0</v>
      </c>
      <c r="H1" s="307">
        <f>+G1+1</f>
        <v>1</v>
      </c>
      <c r="I1" s="307">
        <f>+H1+1</f>
        <v>2</v>
      </c>
      <c r="J1" s="307">
        <f>+I1+1</f>
        <v>3</v>
      </c>
      <c r="K1" s="307">
        <f>+J1+1</f>
        <v>4</v>
      </c>
      <c r="L1" s="307"/>
      <c r="M1" s="307"/>
      <c r="N1" s="307"/>
      <c r="O1" s="307"/>
      <c r="P1" s="307"/>
      <c r="Q1" s="307"/>
      <c r="R1" s="307">
        <v>0</v>
      </c>
      <c r="S1" s="307">
        <f>+R1+1</f>
        <v>1</v>
      </c>
      <c r="T1" s="307">
        <f t="shared" ref="T1:Z1" si="0">+S1+1</f>
        <v>2</v>
      </c>
      <c r="U1" s="307">
        <f t="shared" si="0"/>
        <v>3</v>
      </c>
      <c r="V1" s="307">
        <f t="shared" si="0"/>
        <v>4</v>
      </c>
      <c r="W1" s="307">
        <f t="shared" si="0"/>
        <v>5</v>
      </c>
      <c r="X1" s="307">
        <f t="shared" si="0"/>
        <v>6</v>
      </c>
      <c r="Y1" s="307">
        <f t="shared" si="0"/>
        <v>7</v>
      </c>
      <c r="Z1" s="307">
        <f t="shared" si="0"/>
        <v>8</v>
      </c>
      <c r="AA1" s="307"/>
      <c r="AB1" s="307"/>
    </row>
    <row r="2" spans="1:29" s="112" customFormat="1" ht="18" customHeight="1" x14ac:dyDescent="0.3">
      <c r="A2" s="270"/>
      <c r="B2" s="270"/>
      <c r="C2" s="270"/>
      <c r="D2" s="270"/>
      <c r="E2" s="270"/>
      <c r="F2" s="270"/>
      <c r="G2" s="270"/>
      <c r="H2" s="270"/>
      <c r="I2" s="270"/>
      <c r="J2" s="270"/>
      <c r="K2" s="270"/>
      <c r="L2" s="270"/>
      <c r="M2" s="270"/>
      <c r="N2" s="270"/>
      <c r="O2" s="270"/>
      <c r="P2" s="270"/>
      <c r="Q2" s="270"/>
      <c r="R2" s="270"/>
      <c r="S2" s="269"/>
      <c r="T2" s="269"/>
      <c r="U2" s="269"/>
      <c r="V2" s="269"/>
      <c r="W2" s="269"/>
      <c r="X2" s="269"/>
      <c r="Y2" s="269"/>
      <c r="Z2" s="269"/>
      <c r="AA2" s="270"/>
      <c r="AB2" s="270"/>
    </row>
    <row r="3" spans="1:29" s="112" customFormat="1" ht="18" customHeight="1" outlineLevel="1" x14ac:dyDescent="0.3">
      <c r="A3" s="270"/>
      <c r="B3" s="112" t="s">
        <v>805</v>
      </c>
      <c r="C3" s="270"/>
      <c r="D3" s="270"/>
      <c r="E3" s="270"/>
      <c r="F3" s="270"/>
      <c r="G3" s="270"/>
      <c r="H3" s="270"/>
      <c r="I3" s="270"/>
      <c r="J3" s="270"/>
      <c r="K3" s="270"/>
      <c r="L3" s="270"/>
      <c r="M3" s="270"/>
      <c r="N3" s="270"/>
      <c r="O3" s="270"/>
      <c r="P3" s="270"/>
      <c r="Q3" s="270"/>
      <c r="R3" s="270"/>
      <c r="S3" s="270"/>
      <c r="T3" s="270"/>
      <c r="U3" s="270"/>
      <c r="V3" s="270"/>
      <c r="W3" s="270"/>
      <c r="X3" s="270"/>
      <c r="Y3" s="270"/>
      <c r="Z3" s="270"/>
      <c r="AA3" s="270"/>
      <c r="AB3" s="270"/>
    </row>
    <row r="4" spans="1:29" s="112" customFormat="1" ht="18" customHeight="1" outlineLevel="1" x14ac:dyDescent="0.3">
      <c r="A4" s="270"/>
      <c r="B4" s="112" t="s">
        <v>798</v>
      </c>
      <c r="C4" s="270" cm="1">
        <f t="array" ref="C4">TRANSPOSE(_xlfn._xlws.SORT(Table_CauTruc_BoPhan[Tên bộ phận]))</f>
        <v>0</v>
      </c>
      <c r="D4" s="270"/>
      <c r="E4" s="270"/>
      <c r="F4" s="270"/>
      <c r="G4" s="270"/>
      <c r="H4" s="270"/>
      <c r="I4" s="270"/>
      <c r="J4" s="270"/>
      <c r="K4" s="270"/>
      <c r="L4" s="270"/>
      <c r="M4" s="270"/>
      <c r="N4" s="270"/>
      <c r="O4" s="270"/>
      <c r="P4" s="270"/>
      <c r="Q4" s="270"/>
      <c r="R4" s="270"/>
      <c r="S4" s="270"/>
      <c r="T4" s="270"/>
      <c r="U4" s="270"/>
      <c r="V4" s="270"/>
      <c r="W4" s="270"/>
      <c r="X4" s="270"/>
      <c r="Y4" s="270"/>
      <c r="Z4" s="270"/>
      <c r="AA4" s="270"/>
      <c r="AB4" s="270"/>
    </row>
    <row r="5" spans="1:29" s="112" customFormat="1" ht="18" customHeight="1" outlineLevel="1" x14ac:dyDescent="0.3">
      <c r="A5" s="270"/>
      <c r="B5" s="270"/>
      <c r="C5" s="270"/>
      <c r="D5" s="270"/>
      <c r="E5" s="270"/>
      <c r="F5" s="270"/>
      <c r="G5" s="112" t="s">
        <v>755</v>
      </c>
      <c r="H5" s="270"/>
      <c r="J5" s="270"/>
      <c r="K5" s="270"/>
      <c r="L5" s="270"/>
      <c r="M5" s="270"/>
      <c r="N5" s="270"/>
      <c r="O5" s="270"/>
      <c r="P5" s="270"/>
      <c r="Q5" s="270"/>
      <c r="R5" s="270"/>
      <c r="S5" s="270"/>
      <c r="T5" s="270"/>
      <c r="U5" s="270"/>
      <c r="V5" s="270"/>
      <c r="W5" s="270"/>
      <c r="X5" s="270"/>
      <c r="Y5" s="270"/>
      <c r="Z5" s="270"/>
      <c r="AA5" s="270"/>
      <c r="AB5" s="270"/>
    </row>
    <row r="6" spans="1:29" s="112" customFormat="1" ht="18" customHeight="1" outlineLevel="1" x14ac:dyDescent="0.3">
      <c r="A6" s="270"/>
      <c r="B6" s="270"/>
      <c r="C6" s="270"/>
      <c r="D6" s="270"/>
      <c r="E6" s="270"/>
      <c r="F6" s="270"/>
      <c r="G6" s="112" t="s">
        <v>798</v>
      </c>
      <c r="H6" s="270" cm="1">
        <f t="array" ref="H6">TRANSPOSE(_xlfn._xlws.SORT(Table_NhanVien[Mã NV]))</f>
        <v>0</v>
      </c>
      <c r="J6" s="270"/>
      <c r="K6" s="270"/>
      <c r="L6" s="270"/>
      <c r="M6" s="270"/>
      <c r="N6" s="270"/>
      <c r="O6" s="270"/>
      <c r="P6" s="270"/>
      <c r="Q6" s="270"/>
      <c r="R6" s="270"/>
      <c r="S6" s="270"/>
      <c r="T6" s="270"/>
      <c r="U6" s="270"/>
      <c r="V6" s="270"/>
      <c r="W6" s="270"/>
      <c r="X6" s="252"/>
      <c r="Y6" s="252"/>
      <c r="Z6" s="270"/>
      <c r="AA6" s="270"/>
      <c r="AB6" s="270"/>
    </row>
    <row r="7" spans="1:29" s="112" customFormat="1" ht="18" customHeight="1" x14ac:dyDescent="0.3">
      <c r="A7" s="270"/>
      <c r="B7" s="270"/>
      <c r="C7" s="270"/>
      <c r="D7" s="270"/>
      <c r="E7" s="270"/>
      <c r="F7" s="270"/>
      <c r="G7" s="270"/>
      <c r="H7" s="270"/>
      <c r="I7" s="270"/>
      <c r="J7" s="270"/>
      <c r="K7" s="270"/>
      <c r="L7" s="270"/>
      <c r="M7" s="270"/>
      <c r="N7" s="270"/>
      <c r="O7" s="270"/>
      <c r="P7" s="270"/>
      <c r="Q7" s="270"/>
      <c r="R7" s="270"/>
      <c r="S7" s="270"/>
      <c r="T7" s="270"/>
      <c r="U7" s="270"/>
      <c r="V7" s="270"/>
      <c r="W7" s="270"/>
      <c r="X7" s="252"/>
      <c r="Y7" s="252"/>
      <c r="Z7" s="270"/>
      <c r="AA7" s="270"/>
      <c r="AB7" s="270"/>
    </row>
    <row r="8" spans="1:29" s="112" customFormat="1" ht="18" customHeight="1" x14ac:dyDescent="0.3">
      <c r="A8" s="270"/>
      <c r="B8" s="270"/>
      <c r="C8" s="270"/>
      <c r="D8" s="270"/>
      <c r="E8" s="270"/>
      <c r="F8" s="270"/>
      <c r="G8" s="270"/>
      <c r="H8" s="270"/>
      <c r="I8" s="270"/>
      <c r="J8" s="270"/>
      <c r="K8" s="270"/>
      <c r="L8" s="270"/>
      <c r="M8" s="270"/>
      <c r="N8" s="270"/>
      <c r="O8" s="270"/>
      <c r="P8" s="270"/>
      <c r="Q8" s="270"/>
      <c r="R8" s="270"/>
      <c r="S8" s="270"/>
      <c r="T8" s="270"/>
      <c r="U8" s="270"/>
      <c r="V8" s="270"/>
      <c r="W8" s="270"/>
      <c r="X8" s="252"/>
      <c r="Y8" s="252"/>
      <c r="Z8" s="270"/>
      <c r="AA8" s="270"/>
      <c r="AB8" s="270"/>
    </row>
    <row r="9" spans="1:29" s="112" customFormat="1" ht="18" customHeight="1" x14ac:dyDescent="0.3">
      <c r="A9" s="270"/>
      <c r="B9" s="112" t="s">
        <v>799</v>
      </c>
      <c r="C9" s="112" t="s">
        <v>583</v>
      </c>
      <c r="D9" s="112" t="s">
        <v>800</v>
      </c>
      <c r="E9" s="7" t="s">
        <v>873</v>
      </c>
      <c r="F9" s="270"/>
      <c r="G9" s="112" t="s">
        <v>801</v>
      </c>
      <c r="H9" s="112" t="s">
        <v>802</v>
      </c>
      <c r="I9" s="112" t="s">
        <v>803</v>
      </c>
      <c r="J9" s="7" t="s">
        <v>873</v>
      </c>
      <c r="K9" s="7"/>
      <c r="L9" s="7" t="s">
        <v>806</v>
      </c>
      <c r="M9" s="7" t="s">
        <v>755</v>
      </c>
      <c r="N9" s="7" t="s">
        <v>1004</v>
      </c>
      <c r="O9" s="7" t="s">
        <v>1005</v>
      </c>
      <c r="P9" s="7" t="s">
        <v>1006</v>
      </c>
      <c r="Q9" s="7" t="s">
        <v>873</v>
      </c>
      <c r="R9" s="7"/>
      <c r="S9" s="270"/>
      <c r="T9" s="112" t="s">
        <v>35</v>
      </c>
      <c r="U9" s="112" t="s">
        <v>804</v>
      </c>
      <c r="V9" s="112" t="s">
        <v>755</v>
      </c>
      <c r="W9" s="112" t="s">
        <v>805</v>
      </c>
      <c r="X9" s="112" t="s">
        <v>583</v>
      </c>
      <c r="Y9" s="112" t="s">
        <v>806</v>
      </c>
      <c r="Z9" s="112" t="s">
        <v>807</v>
      </c>
      <c r="AA9" s="112" t="s">
        <v>1234</v>
      </c>
      <c r="AB9" s="112" t="s">
        <v>1230</v>
      </c>
      <c r="AC9" s="7" t="s">
        <v>873</v>
      </c>
    </row>
    <row r="10" spans="1:29" ht="18" customHeight="1" x14ac:dyDescent="0.3">
      <c r="A10" s="240"/>
      <c r="B10" s="240"/>
      <c r="C10" s="240"/>
      <c r="D10" s="240"/>
      <c r="E10" s="240"/>
      <c r="F10" s="240"/>
      <c r="G10" s="240"/>
      <c r="H10" s="240"/>
      <c r="I10" s="240"/>
      <c r="J10" s="240"/>
      <c r="K10" s="240"/>
      <c r="L10" s="240"/>
      <c r="M10" s="240"/>
      <c r="N10" s="240"/>
      <c r="O10" s="240"/>
      <c r="P10" s="246">
        <f>IFERROR(
COUNTIFS(Table_NhanVien[[#This Row],[Bộ phận]],Table_CauTruc_ViTri[[#This Row],[Bộ phận]],Table_NhanVien[[#This Row],[Vị trí]],Table_CauTruc_ViTri[[#This Row],[Vị trí]]),0)</f>
        <v>0</v>
      </c>
      <c r="Q10" s="240"/>
      <c r="R10" s="240"/>
      <c r="S10" s="240"/>
      <c r="T10" s="240"/>
      <c r="U10" s="240"/>
      <c r="V10" s="240" t="s">
        <v>798</v>
      </c>
      <c r="W10" s="246">
        <f>IFERROR(VLOOKUP(Table_NhanVien[[#This Row],[Bộ phận]],Table_CauTruc_BoPhan[],COUNTA(Table_CauTruc_BoPhan[[#Headers],[Tên bộ phận]:[Phòng trực thuộc]]),0),0)</f>
        <v>0</v>
      </c>
      <c r="X10" s="246">
        <f>IFERROR(
VLOOKUP(Table_NhanVien[[#This Row],[Phòng]],Table_CauTruc_PhongBan[],COUNTA(Table_CauTruc_PhongBan[[#Headers],[Tên phòng ban]:[Chức năng]]),0),0)</f>
        <v>0</v>
      </c>
      <c r="Y10" s="240"/>
      <c r="Z10" s="15"/>
      <c r="AA10" s="15"/>
      <c r="AB10" s="15"/>
      <c r="AC10" s="240"/>
    </row>
    <row r="11" spans="1:29" ht="18" customHeight="1" x14ac:dyDescent="0.3">
      <c r="A11" s="240"/>
      <c r="B11" s="240"/>
      <c r="C11" s="240"/>
      <c r="D11" s="240"/>
      <c r="E11" s="240"/>
      <c r="F11" s="240"/>
      <c r="G11" s="240"/>
      <c r="H11" s="240"/>
      <c r="I11" s="240"/>
      <c r="J11" s="240"/>
      <c r="K11" s="240"/>
      <c r="L11" s="240"/>
      <c r="M11" s="240"/>
      <c r="N11" s="240"/>
      <c r="O11" s="240"/>
      <c r="P11" s="240"/>
      <c r="Q11" s="240"/>
      <c r="R11" s="240"/>
      <c r="S11" s="240"/>
      <c r="T11" s="240"/>
      <c r="U11" s="240"/>
      <c r="V11" s="240"/>
      <c r="W11" s="240"/>
      <c r="X11" s="241"/>
      <c r="Y11" s="241"/>
      <c r="Z11" s="240"/>
      <c r="AA11" s="240"/>
    </row>
    <row r="12" spans="1:29" ht="18" customHeight="1" x14ac:dyDescent="0.3">
      <c r="A12" s="240"/>
      <c r="B12" s="240"/>
      <c r="C12" s="240"/>
      <c r="D12" s="240"/>
      <c r="E12" s="240"/>
      <c r="F12" s="240"/>
      <c r="G12" s="240"/>
      <c r="H12" s="240"/>
      <c r="I12" s="240"/>
      <c r="J12" s="240"/>
      <c r="K12" s="240"/>
      <c r="L12" s="240"/>
      <c r="M12" s="240"/>
      <c r="N12" s="240"/>
      <c r="O12" s="240"/>
      <c r="P12" s="240"/>
      <c r="Q12" s="240"/>
      <c r="R12" s="240"/>
      <c r="S12" s="240"/>
      <c r="T12" s="240"/>
      <c r="U12" s="240"/>
      <c r="V12" s="240"/>
      <c r="W12" s="240"/>
      <c r="X12" s="241"/>
      <c r="Y12" s="241"/>
      <c r="Z12" s="240"/>
      <c r="AA12" s="240"/>
    </row>
    <row r="13" spans="1:29" ht="18" customHeight="1" collapsed="1" x14ac:dyDescent="0.3">
      <c r="A13" s="240"/>
      <c r="B13" s="240"/>
      <c r="C13" s="240"/>
      <c r="D13" s="240"/>
      <c r="E13" s="240"/>
      <c r="F13" s="240"/>
      <c r="G13" s="240"/>
      <c r="H13" s="240"/>
      <c r="I13" s="240"/>
      <c r="J13" s="240"/>
      <c r="K13" s="240"/>
      <c r="L13" s="240"/>
      <c r="M13" s="240"/>
      <c r="N13" s="240"/>
      <c r="O13" s="240"/>
      <c r="P13" s="240"/>
      <c r="Q13" s="240"/>
      <c r="R13" s="240"/>
      <c r="S13" s="240"/>
      <c r="T13" s="240"/>
      <c r="U13" s="240"/>
      <c r="V13" s="240"/>
      <c r="W13" s="240"/>
      <c r="X13" s="241"/>
      <c r="Y13" s="241"/>
      <c r="Z13" s="240"/>
      <c r="AA13" s="240"/>
    </row>
    <row r="14" spans="1:29" ht="18" customHeight="1" x14ac:dyDescent="0.3">
      <c r="A14" s="240"/>
      <c r="B14" s="240"/>
      <c r="C14" s="240"/>
      <c r="D14" s="240"/>
      <c r="E14" s="240"/>
      <c r="F14" s="240"/>
      <c r="G14" s="240"/>
      <c r="H14" s="240"/>
      <c r="I14" s="240"/>
      <c r="J14" s="240"/>
      <c r="K14" s="240"/>
      <c r="L14" s="240"/>
      <c r="M14" s="240"/>
      <c r="N14" s="240"/>
      <c r="O14" s="240"/>
      <c r="P14" s="240"/>
      <c r="Q14" s="240"/>
      <c r="R14" s="240"/>
      <c r="S14" s="240"/>
      <c r="T14" s="240"/>
      <c r="U14" s="240"/>
      <c r="V14" s="240"/>
      <c r="W14" s="240"/>
      <c r="X14" s="241"/>
      <c r="Y14" s="241"/>
      <c r="Z14" s="240"/>
      <c r="AA14" s="240"/>
    </row>
    <row r="15" spans="1:29" ht="18" customHeight="1" x14ac:dyDescent="0.3">
      <c r="A15" s="240"/>
      <c r="B15" s="240"/>
      <c r="C15" s="240"/>
      <c r="D15" s="240"/>
      <c r="E15" s="240"/>
      <c r="F15" s="240"/>
      <c r="G15" s="240"/>
      <c r="H15" s="240"/>
      <c r="I15" s="240"/>
      <c r="J15" s="240"/>
      <c r="K15" s="240"/>
      <c r="L15" s="240"/>
      <c r="N15" s="240"/>
      <c r="O15" s="240"/>
      <c r="P15" s="240"/>
      <c r="Q15" s="240"/>
      <c r="R15" s="240"/>
      <c r="S15" s="240"/>
      <c r="T15" s="240"/>
      <c r="U15" s="240"/>
      <c r="V15" s="240"/>
      <c r="W15" s="240"/>
      <c r="X15" s="241"/>
      <c r="Y15" s="241"/>
      <c r="Z15" s="240"/>
      <c r="AA15" s="240"/>
    </row>
    <row r="16" spans="1:29" ht="18" customHeight="1" x14ac:dyDescent="0.3">
      <c r="A16" s="240"/>
      <c r="B16" s="240"/>
      <c r="C16" s="240"/>
      <c r="D16" s="240"/>
      <c r="E16" s="240"/>
      <c r="F16" s="240"/>
      <c r="G16" s="240"/>
      <c r="H16" s="240"/>
      <c r="I16" s="240"/>
      <c r="J16" s="240"/>
      <c r="K16" s="240"/>
      <c r="L16" s="240"/>
      <c r="M16" s="240"/>
      <c r="N16" s="240"/>
      <c r="O16" s="240"/>
      <c r="P16" s="240"/>
      <c r="Q16" s="240"/>
      <c r="R16" s="240"/>
      <c r="S16" s="240"/>
      <c r="T16" s="240"/>
      <c r="U16" s="240"/>
      <c r="V16" s="240"/>
      <c r="W16" s="240"/>
      <c r="X16" s="241"/>
      <c r="Y16" s="241"/>
      <c r="Z16" s="240"/>
      <c r="AA16" s="240"/>
    </row>
    <row r="17" spans="1:27" ht="18" customHeight="1" x14ac:dyDescent="0.3">
      <c r="A17" s="240"/>
      <c r="B17" s="240"/>
      <c r="C17" s="240"/>
      <c r="D17" s="240"/>
      <c r="E17" s="240"/>
      <c r="F17" s="240"/>
      <c r="G17" s="240"/>
      <c r="H17" s="240"/>
      <c r="I17" s="240"/>
      <c r="J17" s="240"/>
      <c r="K17" s="240"/>
      <c r="L17" s="240"/>
      <c r="M17" s="240"/>
      <c r="N17" s="240"/>
      <c r="O17" s="240"/>
      <c r="P17" s="240"/>
      <c r="Q17" s="240"/>
      <c r="R17" s="240"/>
      <c r="S17" s="240"/>
      <c r="T17" s="240"/>
      <c r="U17" s="240"/>
      <c r="V17" s="240"/>
      <c r="W17" s="240"/>
      <c r="X17" s="241"/>
      <c r="Y17" s="241"/>
      <c r="Z17" s="240"/>
      <c r="AA17" s="240"/>
    </row>
    <row r="18" spans="1:27" ht="18" customHeight="1" x14ac:dyDescent="0.3">
      <c r="A18" s="240"/>
      <c r="B18" s="240"/>
      <c r="C18" s="240"/>
      <c r="D18" s="240"/>
      <c r="E18" s="240"/>
      <c r="F18" s="240"/>
      <c r="G18" s="240"/>
      <c r="H18" s="240"/>
      <c r="I18" s="240"/>
      <c r="J18" s="240"/>
      <c r="K18" s="240"/>
      <c r="L18" s="240"/>
      <c r="M18" s="240"/>
      <c r="N18" s="240"/>
      <c r="O18" s="240"/>
      <c r="P18" s="240"/>
      <c r="Q18" s="240"/>
      <c r="R18" s="240"/>
      <c r="S18" s="240"/>
      <c r="T18" s="240"/>
      <c r="U18" s="240"/>
      <c r="V18" s="240"/>
      <c r="W18" s="240"/>
      <c r="X18" s="241"/>
      <c r="Y18" s="241"/>
      <c r="Z18" s="240"/>
      <c r="AA18" s="240"/>
    </row>
    <row r="19" spans="1:27" ht="18" customHeight="1" x14ac:dyDescent="0.3">
      <c r="A19" s="240"/>
      <c r="B19" s="240"/>
      <c r="C19" s="240"/>
      <c r="D19" s="240"/>
      <c r="E19" s="240"/>
      <c r="F19" s="240"/>
      <c r="G19" s="240"/>
      <c r="H19" s="240"/>
      <c r="I19" s="240"/>
      <c r="J19" s="240"/>
      <c r="K19" s="240"/>
      <c r="L19" s="240"/>
      <c r="M19" s="240"/>
      <c r="N19" s="240"/>
      <c r="O19" s="240"/>
      <c r="P19" s="240"/>
      <c r="Q19" s="240"/>
      <c r="R19" s="240"/>
      <c r="S19" s="240"/>
      <c r="T19" s="240"/>
      <c r="U19" s="240"/>
      <c r="V19" s="240"/>
      <c r="W19" s="240"/>
      <c r="X19" s="241"/>
      <c r="Y19" s="241"/>
      <c r="Z19" s="240"/>
      <c r="AA19" s="240"/>
    </row>
    <row r="20" spans="1:27" ht="18" customHeight="1" x14ac:dyDescent="0.3">
      <c r="A20" s="240"/>
      <c r="B20" s="240"/>
      <c r="C20" s="240"/>
      <c r="D20" s="240"/>
      <c r="E20" s="240"/>
      <c r="F20" s="240"/>
      <c r="G20" s="240"/>
      <c r="H20" s="240"/>
      <c r="I20" s="240"/>
      <c r="J20" s="240"/>
      <c r="K20" s="240"/>
      <c r="L20" s="240"/>
      <c r="M20" s="240"/>
      <c r="N20" s="240"/>
      <c r="O20" s="240"/>
      <c r="P20" s="240"/>
      <c r="Q20" s="240"/>
      <c r="R20" s="240"/>
      <c r="S20" s="240"/>
      <c r="T20" s="240"/>
      <c r="U20" s="240"/>
      <c r="V20" s="240"/>
      <c r="W20" s="240"/>
      <c r="X20" s="241"/>
      <c r="Y20" s="241"/>
      <c r="Z20" s="240"/>
      <c r="AA20" s="240"/>
    </row>
    <row r="21" spans="1:27" ht="18" customHeight="1" x14ac:dyDescent="0.3">
      <c r="A21" s="240"/>
      <c r="B21" s="240"/>
      <c r="C21" s="240"/>
      <c r="D21" s="240"/>
      <c r="E21" s="240"/>
      <c r="F21" s="240"/>
      <c r="G21" s="240"/>
      <c r="H21" s="240"/>
      <c r="I21" s="240"/>
      <c r="J21" s="240"/>
      <c r="K21" s="240"/>
      <c r="L21" s="240"/>
      <c r="M21" s="240"/>
      <c r="N21" s="240"/>
      <c r="O21" s="240"/>
      <c r="P21" s="240"/>
      <c r="Q21" s="240"/>
      <c r="R21" s="240"/>
      <c r="S21" s="240"/>
      <c r="T21" s="240"/>
      <c r="U21" s="240"/>
      <c r="V21" s="240"/>
      <c r="W21" s="240"/>
      <c r="X21" s="241"/>
      <c r="Y21" s="241"/>
      <c r="Z21" s="240"/>
      <c r="AA21" s="240"/>
    </row>
    <row r="22" spans="1:27" ht="18" customHeight="1" x14ac:dyDescent="0.3">
      <c r="A22" s="240"/>
      <c r="B22" s="240"/>
      <c r="C22" s="240"/>
      <c r="D22" s="240"/>
      <c r="E22" s="240"/>
      <c r="F22" s="240"/>
      <c r="G22" s="240"/>
      <c r="H22" s="240"/>
      <c r="I22" s="240"/>
      <c r="J22" s="240"/>
      <c r="K22" s="240"/>
      <c r="L22" s="240"/>
      <c r="M22" s="240"/>
      <c r="N22" s="240"/>
      <c r="O22" s="240"/>
      <c r="P22" s="240"/>
      <c r="Q22" s="240"/>
      <c r="R22" s="247"/>
      <c r="S22" s="240"/>
      <c r="T22" s="240"/>
      <c r="U22" s="240"/>
      <c r="V22" s="240"/>
      <c r="W22" s="240"/>
      <c r="X22" s="241"/>
      <c r="Y22" s="241"/>
      <c r="Z22" s="240"/>
      <c r="AA22" s="240"/>
    </row>
  </sheetData>
  <sheetProtection algorithmName="SHA-512" hashValue="Sl3ziE1BQbASlzlS1pxZAgTrLHMl+yoGpsiDcvum605m6KSK4BhqsnKsy0ioYj+Lai8DXZd9aopxUvMUiD5HTA==" saltValue="9pBJXpUb335iDaM9Pru/Lw==" spinCount="100000" sheet="1" scenarios="1" formatCells="0" formatColumns="0" formatRows="0" insertColumns="0" insertRows="0" deleteColumns="0" deleteRows="0" sort="0" autoFilter="0" pivotTables="0"/>
  <protectedRanges>
    <protectedRange sqref="AC10 T9:AB10 R12:R13 R22 S1:Z2" name="Range1_2"/>
    <protectedRange sqref="AC9" name="Range1_1_1"/>
  </protectedRanges>
  <phoneticPr fontId="14" type="noConversion"/>
  <conditionalFormatting sqref="T10">
    <cfRule type="duplicateValues" dxfId="169" priority="300"/>
  </conditionalFormatting>
  <dataValidations count="7">
    <dataValidation type="list" allowBlank="1" showInputMessage="1" showErrorMessage="1" sqref="C10" xr:uid="{43D27CD5-A27E-43C4-ABEA-B2CC16C845A8}">
      <formula1>"Sản xuất, Bán hàng, Văn phòng"</formula1>
    </dataValidation>
    <dataValidation type="list" allowBlank="1" showInputMessage="1" sqref="I10 D10" xr:uid="{BB2109E5-C752-4475-B487-0941FE063381}">
      <formula1>MaNhanVien</formula1>
    </dataValidation>
    <dataValidation type="list" allowBlank="1" showInputMessage="1" sqref="H10" xr:uid="{D8658A0C-BBB3-4E40-9A72-AC1CEA53CCAD}">
      <formula1>$B$3:$B$4</formula1>
    </dataValidation>
    <dataValidation type="list" allowBlank="1" showInputMessage="1" showErrorMessage="1" sqref="V10" xr:uid="{2074C1BA-9B84-4CFB-98F1-B35FF48C67DF}">
      <formula1>$G$5:$G$6</formula1>
    </dataValidation>
    <dataValidation type="list" errorStyle="information" allowBlank="1" showInputMessage="1" showErrorMessage="1" sqref="Y10" xr:uid="{06E90D08-3ECB-46C9-8D35-0ACC66170F14}">
      <formula1>MaViTri</formula1>
    </dataValidation>
    <dataValidation type="list" errorStyle="warning" allowBlank="1" showInputMessage="1" sqref="B10" xr:uid="{5AE5DF26-FB43-427A-8D02-0C9A5DA1F7AA}">
      <formula1>$B$3:$B$4</formula1>
    </dataValidation>
    <dataValidation type="list" allowBlank="1" showInputMessage="1" sqref="G10 M10" xr:uid="{535C96FC-E872-473D-B931-3A420367F9F9}">
      <formula1>$G$5:$G$6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AddRow">
                <anchor moveWithCells="1">
                  <from>
                    <xdr:col>1</xdr:col>
                    <xdr:colOff>38100</xdr:colOff>
                    <xdr:row>6</xdr:row>
                    <xdr:rowOff>133350</xdr:rowOff>
                  </from>
                  <to>
                    <xdr:col>1</xdr:col>
                    <xdr:colOff>514350</xdr:colOff>
                    <xdr:row>7</xdr:row>
                    <xdr:rowOff>161925</xdr:rowOff>
                  </to>
                </anchor>
              </controlPr>
            </control>
          </mc:Choice>
        </mc:AlternateContent>
        <mc:AlternateContent xmlns:mc="http://schemas.openxmlformats.org/markup-compatibility/2006">
          <mc:Choice Requires="x14">
            <control shapeId="78850" r:id="rId4" name="Button 2">
              <controlPr defaultSize="0" print="0" autoFill="0" autoPict="0" macro="[0]!DeleteRow">
                <anchor moveWithCells="1">
                  <from>
                    <xdr:col>1</xdr:col>
                    <xdr:colOff>666750</xdr:colOff>
                    <xdr:row>6</xdr:row>
                    <xdr:rowOff>133350</xdr:rowOff>
                  </from>
                  <to>
                    <xdr:col>2</xdr:col>
                    <xdr:colOff>171450</xdr:colOff>
                    <xdr:row>7</xdr:row>
                    <xdr:rowOff>161925</xdr:rowOff>
                  </to>
                </anchor>
              </controlPr>
            </control>
          </mc:Choice>
        </mc:AlternateContent>
        <mc:AlternateContent xmlns:mc="http://schemas.openxmlformats.org/markup-compatibility/2006">
          <mc:Choice Requires="x14">
            <control shapeId="78851" r:id="rId5" name="Button 3">
              <controlPr defaultSize="0" print="0" autoFill="0" autoPict="0" macro="[0]!AddColumn">
                <anchor moveWithCells="1">
                  <from>
                    <xdr:col>2</xdr:col>
                    <xdr:colOff>714375</xdr:colOff>
                    <xdr:row>6</xdr:row>
                    <xdr:rowOff>133350</xdr:rowOff>
                  </from>
                  <to>
                    <xdr:col>3</xdr:col>
                    <xdr:colOff>209550</xdr:colOff>
                    <xdr:row>7</xdr:row>
                    <xdr:rowOff>161925</xdr:rowOff>
                  </to>
                </anchor>
              </controlPr>
            </control>
          </mc:Choice>
        </mc:AlternateContent>
        <mc:AlternateContent xmlns:mc="http://schemas.openxmlformats.org/markup-compatibility/2006">
          <mc:Choice Requires="x14">
            <control shapeId="78852" r:id="rId6" name="Button 4">
              <controlPr defaultSize="0" print="0" autoFill="0" autoPict="0" macro="[0]!DeleteColumn">
                <anchor moveWithCells="1">
                  <from>
                    <xdr:col>3</xdr:col>
                    <xdr:colOff>342900</xdr:colOff>
                    <xdr:row>6</xdr:row>
                    <xdr:rowOff>133350</xdr:rowOff>
                  </from>
                  <to>
                    <xdr:col>3</xdr:col>
                    <xdr:colOff>885825</xdr:colOff>
                    <xdr:row>7</xdr:row>
                    <xdr:rowOff>161925</xdr:rowOff>
                  </to>
                </anchor>
              </controlPr>
            </control>
          </mc:Choice>
        </mc:AlternateContent>
        <mc:AlternateContent xmlns:mc="http://schemas.openxmlformats.org/markup-compatibility/2006">
          <mc:Choice Requires="x14">
            <control shapeId="78853" r:id="rId7" name="Button 5">
              <controlPr defaultSize="0" print="0" autoFill="0" autoPict="0" macro="[0]!AddRow">
                <anchor moveWithCells="1">
                  <from>
                    <xdr:col>6</xdr:col>
                    <xdr:colOff>19050</xdr:colOff>
                    <xdr:row>6</xdr:row>
                    <xdr:rowOff>133350</xdr:rowOff>
                  </from>
                  <to>
                    <xdr:col>6</xdr:col>
                    <xdr:colOff>495300</xdr:colOff>
                    <xdr:row>7</xdr:row>
                    <xdr:rowOff>161925</xdr:rowOff>
                  </to>
                </anchor>
              </controlPr>
            </control>
          </mc:Choice>
        </mc:AlternateContent>
        <mc:AlternateContent xmlns:mc="http://schemas.openxmlformats.org/markup-compatibility/2006">
          <mc:Choice Requires="x14">
            <control shapeId="78854" r:id="rId8" name="Button 6">
              <controlPr defaultSize="0" print="0" autoFill="0" autoPict="0" macro="[0]!DeleteRow">
                <anchor moveWithCells="1">
                  <from>
                    <xdr:col>6</xdr:col>
                    <xdr:colOff>647700</xdr:colOff>
                    <xdr:row>6</xdr:row>
                    <xdr:rowOff>133350</xdr:rowOff>
                  </from>
                  <to>
                    <xdr:col>6</xdr:col>
                    <xdr:colOff>1123950</xdr:colOff>
                    <xdr:row>7</xdr:row>
                    <xdr:rowOff>161925</xdr:rowOff>
                  </to>
                </anchor>
              </controlPr>
            </control>
          </mc:Choice>
        </mc:AlternateContent>
        <mc:AlternateContent xmlns:mc="http://schemas.openxmlformats.org/markup-compatibility/2006">
          <mc:Choice Requires="x14">
            <control shapeId="78855" r:id="rId9" name="Button 7">
              <controlPr defaultSize="0" print="0" autoFill="0" autoPict="0" macro="[0]!AddColumn">
                <anchor moveWithCells="1">
                  <from>
                    <xdr:col>7</xdr:col>
                    <xdr:colOff>742950</xdr:colOff>
                    <xdr:row>6</xdr:row>
                    <xdr:rowOff>133350</xdr:rowOff>
                  </from>
                  <to>
                    <xdr:col>8</xdr:col>
                    <xdr:colOff>47625</xdr:colOff>
                    <xdr:row>7</xdr:row>
                    <xdr:rowOff>161925</xdr:rowOff>
                  </to>
                </anchor>
              </controlPr>
            </control>
          </mc:Choice>
        </mc:AlternateContent>
        <mc:AlternateContent xmlns:mc="http://schemas.openxmlformats.org/markup-compatibility/2006">
          <mc:Choice Requires="x14">
            <control shapeId="78856" r:id="rId10" name="Button 8">
              <controlPr defaultSize="0" print="0" autoFill="0" autoPict="0" macro="[0]!DeleteColumn">
                <anchor moveWithCells="1">
                  <from>
                    <xdr:col>8</xdr:col>
                    <xdr:colOff>180975</xdr:colOff>
                    <xdr:row>6</xdr:row>
                    <xdr:rowOff>133350</xdr:rowOff>
                  </from>
                  <to>
                    <xdr:col>8</xdr:col>
                    <xdr:colOff>723900</xdr:colOff>
                    <xdr:row>7</xdr:row>
                    <xdr:rowOff>161925</xdr:rowOff>
                  </to>
                </anchor>
              </controlPr>
            </control>
          </mc:Choice>
        </mc:AlternateContent>
        <mc:AlternateContent xmlns:mc="http://schemas.openxmlformats.org/markup-compatibility/2006">
          <mc:Choice Requires="x14">
            <control shapeId="78857" r:id="rId11" name="Button 9">
              <controlPr defaultSize="0" print="0" autoFill="0" autoPict="0" macro="[0]!AddRow">
                <anchor moveWithCells="1">
                  <from>
                    <xdr:col>19</xdr:col>
                    <xdr:colOff>85725</xdr:colOff>
                    <xdr:row>6</xdr:row>
                    <xdr:rowOff>133350</xdr:rowOff>
                  </from>
                  <to>
                    <xdr:col>19</xdr:col>
                    <xdr:colOff>561975</xdr:colOff>
                    <xdr:row>7</xdr:row>
                    <xdr:rowOff>161925</xdr:rowOff>
                  </to>
                </anchor>
              </controlPr>
            </control>
          </mc:Choice>
        </mc:AlternateContent>
        <mc:AlternateContent xmlns:mc="http://schemas.openxmlformats.org/markup-compatibility/2006">
          <mc:Choice Requires="x14">
            <control shapeId="78858" r:id="rId12" name="Button 10">
              <controlPr defaultSize="0" print="0" autoFill="0" autoPict="0" macro="[0]!DeleteRow">
                <anchor moveWithCells="1">
                  <from>
                    <xdr:col>20</xdr:col>
                    <xdr:colOff>95250</xdr:colOff>
                    <xdr:row>6</xdr:row>
                    <xdr:rowOff>133350</xdr:rowOff>
                  </from>
                  <to>
                    <xdr:col>20</xdr:col>
                    <xdr:colOff>571500</xdr:colOff>
                    <xdr:row>7</xdr:row>
                    <xdr:rowOff>161925</xdr:rowOff>
                  </to>
                </anchor>
              </controlPr>
            </control>
          </mc:Choice>
        </mc:AlternateContent>
        <mc:AlternateContent xmlns:mc="http://schemas.openxmlformats.org/markup-compatibility/2006">
          <mc:Choice Requires="x14">
            <control shapeId="78859" r:id="rId13" name="Button 11">
              <controlPr defaultSize="0" print="0" autoFill="0" autoPict="0" macro="[0]!AddColumn">
                <anchor moveWithCells="1">
                  <from>
                    <xdr:col>25</xdr:col>
                    <xdr:colOff>828675</xdr:colOff>
                    <xdr:row>6</xdr:row>
                    <xdr:rowOff>133350</xdr:rowOff>
                  </from>
                  <to>
                    <xdr:col>26</xdr:col>
                    <xdr:colOff>485775</xdr:colOff>
                    <xdr:row>7</xdr:row>
                    <xdr:rowOff>161925</xdr:rowOff>
                  </to>
                </anchor>
              </controlPr>
            </control>
          </mc:Choice>
        </mc:AlternateContent>
        <mc:AlternateContent xmlns:mc="http://schemas.openxmlformats.org/markup-compatibility/2006">
          <mc:Choice Requires="x14">
            <control shapeId="78860" r:id="rId14" name="Button 12">
              <controlPr defaultSize="0" print="0" autoFill="0" autoPict="0" macro="[0]!DeleteColumn">
                <anchor moveWithCells="1">
                  <from>
                    <xdr:col>26</xdr:col>
                    <xdr:colOff>619125</xdr:colOff>
                    <xdr:row>6</xdr:row>
                    <xdr:rowOff>133350</xdr:rowOff>
                  </from>
                  <to>
                    <xdr:col>27</xdr:col>
                    <xdr:colOff>57150</xdr:colOff>
                    <xdr:row>7</xdr:row>
                    <xdr:rowOff>161925</xdr:rowOff>
                  </to>
                </anchor>
              </controlPr>
            </control>
          </mc:Choice>
        </mc:AlternateContent>
        <mc:AlternateContent xmlns:mc="http://schemas.openxmlformats.org/markup-compatibility/2006">
          <mc:Choice Requires="x14">
            <control shapeId="78862" r:id="rId15" name="Option Button 14">
              <controlPr defaultSize="0" autoFill="0" autoLine="0" autoPict="0" macro="[0]!DoiDonViHienThi">
                <anchor moveWithCells="1">
                  <from>
                    <xdr:col>22</xdr:col>
                    <xdr:colOff>38100</xdr:colOff>
                    <xdr:row>0</xdr:row>
                    <xdr:rowOff>152400</xdr:rowOff>
                  </from>
                  <to>
                    <xdr:col>22</xdr:col>
                    <xdr:colOff>628650</xdr:colOff>
                    <xdr:row>1</xdr:row>
                    <xdr:rowOff>200025</xdr:rowOff>
                  </to>
                </anchor>
              </controlPr>
            </control>
          </mc:Choice>
        </mc:AlternateContent>
        <mc:AlternateContent xmlns:mc="http://schemas.openxmlformats.org/markup-compatibility/2006">
          <mc:Choice Requires="x14">
            <control shapeId="78863" r:id="rId16" name="Option Button 15">
              <controlPr defaultSize="0" autoFill="0" autoLine="0" autoPict="0" macro="[0]!DoiDonViHienThi">
                <anchor moveWithCells="1">
                  <from>
                    <xdr:col>22</xdr:col>
                    <xdr:colOff>504825</xdr:colOff>
                    <xdr:row>0</xdr:row>
                    <xdr:rowOff>152400</xdr:rowOff>
                  </from>
                  <to>
                    <xdr:col>23</xdr:col>
                    <xdr:colOff>314325</xdr:colOff>
                    <xdr:row>1</xdr:row>
                    <xdr:rowOff>200025</xdr:rowOff>
                  </to>
                </anchor>
              </controlPr>
            </control>
          </mc:Choice>
        </mc:AlternateContent>
        <mc:AlternateContent xmlns:mc="http://schemas.openxmlformats.org/markup-compatibility/2006">
          <mc:Choice Requires="x14">
            <control shapeId="78864" r:id="rId17" name="Option Button 16">
              <controlPr defaultSize="0" autoFill="0" autoLine="0" autoPict="0" macro="[0]!DoiDonViHienThi">
                <anchor moveWithCells="1">
                  <from>
                    <xdr:col>23</xdr:col>
                    <xdr:colOff>190500</xdr:colOff>
                    <xdr:row>0</xdr:row>
                    <xdr:rowOff>152400</xdr:rowOff>
                  </from>
                  <to>
                    <xdr:col>24</xdr:col>
                    <xdr:colOff>95250</xdr:colOff>
                    <xdr:row>1</xdr:row>
                    <xdr:rowOff>200025</xdr:rowOff>
                  </to>
                </anchor>
              </controlPr>
            </control>
          </mc:Choice>
        </mc:AlternateContent>
        <mc:AlternateContent xmlns:mc="http://schemas.openxmlformats.org/markup-compatibility/2006">
          <mc:Choice Requires="x14">
            <control shapeId="78865" r:id="rId18" name="Option Button 17">
              <controlPr defaultSize="0" autoFill="0" autoLine="0" autoPict="0" macro="[0]!DoiDonViHienThi">
                <anchor moveWithCells="1">
                  <from>
                    <xdr:col>23</xdr:col>
                    <xdr:colOff>666750</xdr:colOff>
                    <xdr:row>0</xdr:row>
                    <xdr:rowOff>152400</xdr:rowOff>
                  </from>
                  <to>
                    <xdr:col>24</xdr:col>
                    <xdr:colOff>333375</xdr:colOff>
                    <xdr:row>1</xdr:row>
                    <xdr:rowOff>200025</xdr:rowOff>
                  </to>
                </anchor>
              </controlPr>
            </control>
          </mc:Choice>
        </mc:AlternateContent>
        <mc:AlternateContent xmlns:mc="http://schemas.openxmlformats.org/markup-compatibility/2006">
          <mc:Choice Requires="x14">
            <control shapeId="78866" r:id="rId19" name="Group Box 18">
              <controlPr defaultSize="0" autoFill="0" autoPict="0">
                <anchor moveWithCells="1">
                  <from>
                    <xdr:col>21</xdr:col>
                    <xdr:colOff>476250</xdr:colOff>
                    <xdr:row>0</xdr:row>
                    <xdr:rowOff>104775</xdr:rowOff>
                  </from>
                  <to>
                    <xdr:col>24</xdr:col>
                    <xdr:colOff>447675</xdr:colOff>
                    <xdr:row>2</xdr:row>
                    <xdr:rowOff>9525</xdr:rowOff>
                  </to>
                </anchor>
              </controlPr>
            </control>
          </mc:Choice>
        </mc:AlternateContent>
        <mc:AlternateContent xmlns:mc="http://schemas.openxmlformats.org/markup-compatibility/2006">
          <mc:Choice Requires="x14">
            <control shapeId="78867" r:id="rId20" name="Group Box 19">
              <controlPr defaultSize="0" autoFill="0" autoPict="0">
                <anchor moveWithCells="1">
                  <from>
                    <xdr:col>19</xdr:col>
                    <xdr:colOff>38100</xdr:colOff>
                    <xdr:row>0</xdr:row>
                    <xdr:rowOff>104775</xdr:rowOff>
                  </from>
                  <to>
                    <xdr:col>21</xdr:col>
                    <xdr:colOff>428625</xdr:colOff>
                    <xdr:row>2</xdr:row>
                    <xdr:rowOff>9525</xdr:rowOff>
                  </to>
                </anchor>
              </controlPr>
            </control>
          </mc:Choice>
        </mc:AlternateContent>
        <mc:AlternateContent xmlns:mc="http://schemas.openxmlformats.org/markup-compatibility/2006">
          <mc:Choice Requires="x14">
            <control shapeId="78868" r:id="rId21" name="Button 20">
              <controlPr defaultSize="0" autoFill="0" autoPict="0" macro="[0]!NhanNghin">
                <anchor moveWithCells="1">
                  <from>
                    <xdr:col>19</xdr:col>
                    <xdr:colOff>123825</xdr:colOff>
                    <xdr:row>0</xdr:row>
                    <xdr:rowOff>200025</xdr:rowOff>
                  </from>
                  <to>
                    <xdr:col>19</xdr:col>
                    <xdr:colOff>590550</xdr:colOff>
                    <xdr:row>1</xdr:row>
                    <xdr:rowOff>142875</xdr:rowOff>
                  </to>
                </anchor>
              </controlPr>
            </control>
          </mc:Choice>
        </mc:AlternateContent>
        <mc:AlternateContent xmlns:mc="http://schemas.openxmlformats.org/markup-compatibility/2006">
          <mc:Choice Requires="x14">
            <control shapeId="78869" r:id="rId22" name="Button 21">
              <controlPr defaultSize="0" autoFill="0" autoPict="0" macro="[0]!NhanTrieu">
                <anchor moveWithCells="1">
                  <from>
                    <xdr:col>20</xdr:col>
                    <xdr:colOff>19050</xdr:colOff>
                    <xdr:row>0</xdr:row>
                    <xdr:rowOff>200025</xdr:rowOff>
                  </from>
                  <to>
                    <xdr:col>20</xdr:col>
                    <xdr:colOff>485775</xdr:colOff>
                    <xdr:row>1</xdr:row>
                    <xdr:rowOff>142875</xdr:rowOff>
                  </to>
                </anchor>
              </controlPr>
            </control>
          </mc:Choice>
        </mc:AlternateContent>
        <mc:AlternateContent xmlns:mc="http://schemas.openxmlformats.org/markup-compatibility/2006">
          <mc:Choice Requires="x14">
            <control shapeId="78870" r:id="rId23" name="Button 22">
              <controlPr defaultSize="0" autoFill="0" autoPict="0" macro="[0]!NhanTy">
                <anchor moveWithCells="1">
                  <from>
                    <xdr:col>20</xdr:col>
                    <xdr:colOff>533400</xdr:colOff>
                    <xdr:row>0</xdr:row>
                    <xdr:rowOff>200025</xdr:rowOff>
                  </from>
                  <to>
                    <xdr:col>21</xdr:col>
                    <xdr:colOff>352425</xdr:colOff>
                    <xdr:row>1</xdr:row>
                    <xdr:rowOff>142875</xdr:rowOff>
                  </to>
                </anchor>
              </controlPr>
            </control>
          </mc:Choice>
        </mc:AlternateContent>
        <mc:AlternateContent xmlns:mc="http://schemas.openxmlformats.org/markup-compatibility/2006">
          <mc:Choice Requires="x14">
            <control shapeId="78872" r:id="rId24" name="Button 24">
              <controlPr defaultSize="0" print="0" autoFill="0" autoPict="0" macro="[0]!AddRow">
                <anchor moveWithCells="1">
                  <from>
                    <xdr:col>11</xdr:col>
                    <xdr:colOff>0</xdr:colOff>
                    <xdr:row>6</xdr:row>
                    <xdr:rowOff>95250</xdr:rowOff>
                  </from>
                  <to>
                    <xdr:col>11</xdr:col>
                    <xdr:colOff>504825</xdr:colOff>
                    <xdr:row>7</xdr:row>
                    <xdr:rowOff>123825</xdr:rowOff>
                  </to>
                </anchor>
              </controlPr>
            </control>
          </mc:Choice>
        </mc:AlternateContent>
        <mc:AlternateContent xmlns:mc="http://schemas.openxmlformats.org/markup-compatibility/2006">
          <mc:Choice Requires="x14">
            <control shapeId="78873" r:id="rId25" name="Button 25">
              <controlPr defaultSize="0" print="0" autoFill="0" autoPict="0" macro="[0]!DeleteRow">
                <anchor moveWithCells="1">
                  <from>
                    <xdr:col>11</xdr:col>
                    <xdr:colOff>676275</xdr:colOff>
                    <xdr:row>6</xdr:row>
                    <xdr:rowOff>95250</xdr:rowOff>
                  </from>
                  <to>
                    <xdr:col>12</xdr:col>
                    <xdr:colOff>66675</xdr:colOff>
                    <xdr:row>7</xdr:row>
                    <xdr:rowOff>123825</xdr:rowOff>
                  </to>
                </anchor>
              </controlPr>
            </control>
          </mc:Choice>
        </mc:AlternateContent>
        <mc:AlternateContent xmlns:mc="http://schemas.openxmlformats.org/markup-compatibility/2006">
          <mc:Choice Requires="x14">
            <control shapeId="78874" r:id="rId26" name="Button 26">
              <controlPr defaultSize="0" print="0" autoFill="0" autoPict="0" macro="[0]!AddColumn">
                <anchor moveWithCells="1">
                  <from>
                    <xdr:col>14</xdr:col>
                    <xdr:colOff>933450</xdr:colOff>
                    <xdr:row>6</xdr:row>
                    <xdr:rowOff>133350</xdr:rowOff>
                  </from>
                  <to>
                    <xdr:col>15</xdr:col>
                    <xdr:colOff>266700</xdr:colOff>
                    <xdr:row>7</xdr:row>
                    <xdr:rowOff>161925</xdr:rowOff>
                  </to>
                </anchor>
              </controlPr>
            </control>
          </mc:Choice>
        </mc:AlternateContent>
        <mc:AlternateContent xmlns:mc="http://schemas.openxmlformats.org/markup-compatibility/2006">
          <mc:Choice Requires="x14">
            <control shapeId="78875" r:id="rId27" name="Button 27">
              <controlPr defaultSize="0" print="0" autoFill="0" autoPict="0" macro="[0]!DeleteColumn">
                <anchor moveWithCells="1">
                  <from>
                    <xdr:col>15</xdr:col>
                    <xdr:colOff>400050</xdr:colOff>
                    <xdr:row>6</xdr:row>
                    <xdr:rowOff>133350</xdr:rowOff>
                  </from>
                  <to>
                    <xdr:col>15</xdr:col>
                    <xdr:colOff>942975</xdr:colOff>
                    <xdr:row>7</xdr:row>
                    <xdr:rowOff>161925</xdr:rowOff>
                  </to>
                </anchor>
              </controlPr>
            </control>
          </mc:Choice>
        </mc:AlternateContent>
      </controls>
    </mc:Choice>
  </mc:AlternateContent>
  <tableParts count="4">
    <tablePart r:id="rId28"/>
    <tablePart r:id="rId29"/>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1" id="{D99B998A-15C1-41D9-8867-7EA07290F7BD}">
            <xm:f>Security!$A$1="NO VBA"</xm:f>
            <x14:dxf>
              <font>
                <color theme="0"/>
              </font>
              <border>
                <vertical/>
                <horizontal/>
              </border>
            </x14:dxf>
          </x14:cfRule>
          <xm:sqref>A1:XFD2 A7:XFD9 N15:Q15 L15 R10:XFD1048576 L16:Q1048576 L10:Q14 A10:K1048576 J5:XFD6 C5:H6 E3:XFD4 B3:C4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4"/>
  </sheetPr>
  <dimension ref="B1:AD40"/>
  <sheetViews>
    <sheetView showGridLines="0" workbookViewId="0">
      <selection activeCell="H9" sqref="A7:H9"/>
    </sheetView>
  </sheetViews>
  <sheetFormatPr defaultRowHeight="18" customHeight="1" outlineLevelRow="1" outlineLevelCol="1" x14ac:dyDescent="0.3"/>
  <cols>
    <col min="1" max="1" width="1.25" style="7" customWidth="1"/>
    <col min="2" max="2" width="32.875" style="7" hidden="1" customWidth="1" outlineLevel="1"/>
    <col min="3" max="3" width="15.25" style="7" hidden="1" customWidth="1" outlineLevel="1"/>
    <col min="4" max="4" width="15.5" style="7" hidden="1" customWidth="1" outlineLevel="1"/>
    <col min="5" max="5" width="15" style="7" hidden="1" customWidth="1" outlineLevel="1"/>
    <col min="6" max="6" width="1.25" style="7" hidden="1" customWidth="1" outlineLevel="1"/>
    <col min="7" max="7" width="9.625" style="7" customWidth="1" collapsed="1"/>
    <col min="8" max="8" width="10.125" style="7" bestFit="1" customWidth="1"/>
    <col min="9" max="9" width="15.5" style="7" bestFit="1" customWidth="1"/>
    <col min="10" max="10" width="12.25" style="7" customWidth="1"/>
    <col min="11" max="11" width="26.125" style="7" customWidth="1"/>
    <col min="12" max="13" width="10.25" style="7" customWidth="1"/>
    <col min="14" max="14" width="15.5" style="38" customWidth="1"/>
    <col min="15" max="15" width="16.625" style="7" customWidth="1"/>
    <col min="16" max="16" width="13.25" style="7" customWidth="1"/>
    <col min="17" max="17" width="12.75" style="7" bestFit="1" customWidth="1"/>
    <col min="18" max="18" width="13.875" style="7" customWidth="1"/>
    <col min="19" max="19" width="13.125" style="7" bestFit="1" customWidth="1"/>
    <col min="20" max="20" width="12.375" style="7" hidden="1" customWidth="1" outlineLevel="1"/>
    <col min="21" max="21" width="17.75" style="7" hidden="1" customWidth="1" outlineLevel="1"/>
    <col min="22" max="22" width="19.375" style="7" customWidth="1" collapsed="1"/>
    <col min="23" max="23" width="9" style="7" bestFit="1" customWidth="1"/>
    <col min="24" max="24" width="8.75" style="7" hidden="1" customWidth="1" outlineLevel="1"/>
    <col min="25" max="25" width="15.125" style="7" hidden="1" customWidth="1" outlineLevel="1"/>
    <col min="26" max="26" width="21.5" style="7" hidden="1" customWidth="1" outlineLevel="1"/>
    <col min="27" max="27" width="8.75" style="7" hidden="1" customWidth="1" outlineLevel="1"/>
    <col min="28" max="28" width="13.625" style="7" hidden="1" customWidth="1" outlineLevel="1"/>
    <col min="29" max="29" width="13.25" style="7" hidden="1" customWidth="1" outlineLevel="1"/>
    <col min="30" max="30" width="9" style="7" bestFit="1" customWidth="1" collapsed="1"/>
    <col min="31" max="16384" width="9" style="7"/>
  </cols>
  <sheetData>
    <row r="1" spans="7:30" s="308" customFormat="1" ht="22.5" customHeight="1" x14ac:dyDescent="0.3">
      <c r="G1" s="307">
        <v>0</v>
      </c>
      <c r="H1" s="307">
        <f t="shared" ref="H1:X1" si="0">+G1+1</f>
        <v>1</v>
      </c>
      <c r="I1" s="307">
        <f t="shared" si="0"/>
        <v>2</v>
      </c>
      <c r="J1" s="307">
        <f t="shared" si="0"/>
        <v>3</v>
      </c>
      <c r="K1" s="307">
        <f t="shared" si="0"/>
        <v>4</v>
      </c>
      <c r="L1" s="307">
        <f t="shared" si="0"/>
        <v>5</v>
      </c>
      <c r="M1" s="307">
        <f t="shared" si="0"/>
        <v>6</v>
      </c>
      <c r="N1" s="307">
        <f t="shared" si="0"/>
        <v>7</v>
      </c>
      <c r="O1" s="307">
        <f t="shared" si="0"/>
        <v>8</v>
      </c>
      <c r="P1" s="307">
        <f t="shared" si="0"/>
        <v>9</v>
      </c>
      <c r="Q1" s="307">
        <f t="shared" si="0"/>
        <v>10</v>
      </c>
      <c r="R1" s="307">
        <f t="shared" si="0"/>
        <v>11</v>
      </c>
      <c r="S1" s="307">
        <f t="shared" si="0"/>
        <v>12</v>
      </c>
      <c r="T1" s="307">
        <f t="shared" si="0"/>
        <v>13</v>
      </c>
      <c r="U1" s="307">
        <f t="shared" si="0"/>
        <v>14</v>
      </c>
      <c r="V1" s="307">
        <f t="shared" si="0"/>
        <v>15</v>
      </c>
      <c r="W1" s="307">
        <f t="shared" si="0"/>
        <v>16</v>
      </c>
      <c r="X1" s="307">
        <f t="shared" si="0"/>
        <v>17</v>
      </c>
      <c r="Y1" s="307"/>
      <c r="Z1" s="307"/>
      <c r="AA1" s="307"/>
      <c r="AB1" s="307"/>
      <c r="AC1" s="307"/>
      <c r="AD1" s="307"/>
    </row>
    <row r="2" spans="7:30" s="112" customFormat="1" ht="18" customHeight="1" x14ac:dyDescent="0.3">
      <c r="G2" s="270"/>
      <c r="H2" s="270"/>
      <c r="I2" s="270"/>
      <c r="J2" s="270"/>
      <c r="K2" s="270"/>
      <c r="L2" s="270"/>
      <c r="M2" s="270"/>
      <c r="N2" s="270"/>
      <c r="O2" s="270"/>
      <c r="P2" s="270"/>
      <c r="Q2" s="270"/>
      <c r="R2" s="270"/>
      <c r="S2" s="270"/>
      <c r="T2" s="270"/>
      <c r="U2" s="270"/>
      <c r="V2" s="270"/>
      <c r="W2" s="270"/>
      <c r="X2" s="270"/>
      <c r="Y2" s="270"/>
      <c r="Z2" s="270"/>
      <c r="AA2" s="270"/>
      <c r="AB2" s="270"/>
      <c r="AC2" s="270"/>
      <c r="AD2" s="270"/>
    </row>
    <row r="3" spans="7:30" s="308" customFormat="1" ht="18" customHeight="1" outlineLevel="1" x14ac:dyDescent="0.3">
      <c r="G3" s="307"/>
      <c r="H3" s="307"/>
      <c r="I3" s="307"/>
      <c r="J3" s="307"/>
      <c r="K3" s="308" t="s">
        <v>808</v>
      </c>
      <c r="L3" s="308" t="str" cm="1">
        <f t="array" ref="L3">TRANSPOSE(_xlfn._xlws.SORT(_xlfn._xlws.FILTER(Table_TSCD[Mã Tài sản],Table_TSCD[Phân loại]=K3,"")))</f>
        <v/>
      </c>
      <c r="M3" s="307"/>
      <c r="N3" s="307"/>
      <c r="O3" s="307"/>
      <c r="P3" s="307"/>
      <c r="Q3" s="307"/>
      <c r="R3" s="307"/>
      <c r="S3" s="307"/>
      <c r="T3" s="307"/>
      <c r="U3" s="307"/>
      <c r="V3" s="307"/>
      <c r="W3" s="307"/>
      <c r="X3" s="307"/>
      <c r="Y3" s="307"/>
      <c r="Z3" s="307"/>
      <c r="AA3" s="307"/>
      <c r="AB3" s="307"/>
      <c r="AC3" s="307"/>
      <c r="AD3" s="307"/>
    </row>
    <row r="4" spans="7:30" s="308" customFormat="1" ht="18" customHeight="1" outlineLevel="1" x14ac:dyDescent="0.3">
      <c r="G4" s="307"/>
      <c r="H4" s="512"/>
      <c r="I4" s="307"/>
      <c r="J4" s="307"/>
      <c r="K4" s="308" t="s">
        <v>809</v>
      </c>
      <c r="L4" s="308" t="str" cm="1">
        <f t="array" ref="L4">TRANSPOSE(_xlfn._xlws.SORT(_xlfn._xlws.FILTER(Table_TSCD[Mã Tài sản],Table_TSCD[Phân loại]=K4,"")))</f>
        <v>TS1</v>
      </c>
      <c r="M4" s="307"/>
      <c r="N4" s="307"/>
      <c r="O4" s="307"/>
      <c r="P4" s="307"/>
      <c r="Q4" s="307"/>
      <c r="R4" s="307"/>
      <c r="S4" s="307"/>
      <c r="T4" s="307"/>
      <c r="U4" s="307"/>
      <c r="V4" s="307"/>
      <c r="W4" s="307"/>
      <c r="X4" s="307"/>
      <c r="Y4" s="307"/>
      <c r="Z4" s="307"/>
      <c r="AA4" s="307"/>
      <c r="AB4" s="307"/>
      <c r="AC4" s="307"/>
      <c r="AD4" s="307"/>
    </row>
    <row r="5" spans="7:30" s="308" customFormat="1" ht="18" customHeight="1" outlineLevel="1" x14ac:dyDescent="0.3">
      <c r="G5" s="307"/>
      <c r="H5" s="512"/>
      <c r="I5" s="307"/>
      <c r="J5" s="307"/>
      <c r="K5" s="308" t="s">
        <v>810</v>
      </c>
      <c r="L5" s="308" t="str" cm="1">
        <f t="array" ref="L5">TRANSPOSE(_xlfn._xlws.SORT(_xlfn._xlws.FILTER(Table_TSCD[Mã Tài sản],Table_TSCD[Phân loại]=K5,"")))</f>
        <v>TS2</v>
      </c>
      <c r="M5" s="307"/>
      <c r="N5" s="307"/>
      <c r="O5" s="307"/>
      <c r="P5" s="307"/>
      <c r="Q5" s="307"/>
      <c r="R5" s="307"/>
      <c r="S5" s="307"/>
      <c r="T5" s="307"/>
      <c r="U5" s="307"/>
      <c r="V5" s="307"/>
      <c r="W5" s="307"/>
      <c r="X5" s="307"/>
      <c r="Y5" s="307"/>
      <c r="Z5" s="307"/>
      <c r="AA5" s="307"/>
      <c r="AB5" s="307"/>
      <c r="AC5" s="307"/>
      <c r="AD5" s="307"/>
    </row>
    <row r="6" spans="7:30" s="308" customFormat="1" ht="18" customHeight="1" outlineLevel="1" x14ac:dyDescent="0.3">
      <c r="G6" s="307"/>
      <c r="H6" s="512"/>
      <c r="I6" s="307"/>
      <c r="J6" s="307"/>
      <c r="K6" s="308" t="s">
        <v>811</v>
      </c>
      <c r="L6" s="308" t="str" cm="1">
        <f t="array" ref="L6">TRANSPOSE(_xlfn._xlws.SORT(_xlfn._xlws.FILTER(Table_TSCD[Mã Tài sản],Table_TSCD[Phân loại]=K6,"")))</f>
        <v>TS3</v>
      </c>
      <c r="M6" s="307"/>
      <c r="N6" s="307"/>
      <c r="O6" s="307"/>
      <c r="P6" s="307"/>
      <c r="Q6" s="307"/>
      <c r="R6" s="307"/>
      <c r="S6" s="307"/>
      <c r="T6" s="307"/>
      <c r="U6" s="307"/>
      <c r="V6" s="307"/>
      <c r="W6" s="307"/>
      <c r="X6" s="307"/>
      <c r="Y6" s="307"/>
      <c r="Z6" s="307"/>
      <c r="AA6" s="307"/>
      <c r="AB6" s="307"/>
      <c r="AC6" s="307"/>
      <c r="AD6" s="307"/>
    </row>
    <row r="7" spans="7:30" s="308" customFormat="1" ht="18" customHeight="1" outlineLevel="1" x14ac:dyDescent="0.3">
      <c r="G7" s="307"/>
      <c r="H7" s="512"/>
      <c r="I7" s="307"/>
      <c r="J7" s="307"/>
      <c r="K7" s="308" t="s">
        <v>812</v>
      </c>
      <c r="L7" s="308" t="str" cm="1">
        <f t="array" ref="L7">TRANSPOSE(_xlfn._xlws.SORT(_xlfn._xlws.FILTER(Table_TSCD[Mã Tài sản],Table_TSCD[Phân loại]=K7,"")))</f>
        <v>TS4</v>
      </c>
      <c r="M7" s="307"/>
      <c r="N7" s="307"/>
      <c r="O7" s="307"/>
      <c r="P7" s="307"/>
      <c r="Q7" s="307"/>
      <c r="R7" s="307"/>
      <c r="S7" s="307"/>
      <c r="T7" s="307"/>
      <c r="U7" s="307"/>
      <c r="V7" s="307"/>
      <c r="W7" s="307"/>
      <c r="X7" s="307"/>
      <c r="AC7" s="307"/>
      <c r="AD7" s="307"/>
    </row>
    <row r="8" spans="7:30" s="308" customFormat="1" ht="18" customHeight="1" outlineLevel="1" x14ac:dyDescent="0.3">
      <c r="G8" s="307"/>
      <c r="H8" s="512"/>
      <c r="I8" s="307"/>
      <c r="J8" s="307"/>
      <c r="K8" s="308" t="s">
        <v>813</v>
      </c>
      <c r="L8" s="308" t="str" cm="1">
        <f t="array" ref="L8">TRANSPOSE(_xlfn._xlws.SORT(_xlfn._xlws.FILTER(Table_TSCD[Mã Tài sản],Table_TSCD[Phân loại]=K8,"")))</f>
        <v/>
      </c>
      <c r="M8" s="307"/>
      <c r="N8" s="307"/>
      <c r="O8" s="307"/>
      <c r="P8" s="307"/>
      <c r="Q8" s="307"/>
      <c r="R8" s="307"/>
      <c r="S8" s="307"/>
      <c r="T8" s="307"/>
      <c r="U8" s="307"/>
      <c r="V8" s="307"/>
      <c r="W8" s="307"/>
      <c r="X8" s="307"/>
      <c r="AC8" s="307"/>
      <c r="AD8" s="307"/>
    </row>
    <row r="9" spans="7:30" s="308" customFormat="1" ht="18" customHeight="1" outlineLevel="1" x14ac:dyDescent="0.3">
      <c r="G9" s="307"/>
      <c r="H9" s="512"/>
      <c r="I9" s="307"/>
      <c r="J9" s="307"/>
      <c r="K9" s="308" t="s">
        <v>814</v>
      </c>
      <c r="L9" s="307"/>
      <c r="M9" s="307"/>
      <c r="N9" s="307"/>
      <c r="O9" s="307"/>
      <c r="P9" s="307"/>
      <c r="Q9" s="307"/>
      <c r="R9" s="307"/>
      <c r="S9" s="307"/>
      <c r="T9" s="307"/>
      <c r="U9" s="307"/>
      <c r="V9" s="307"/>
      <c r="W9" s="307"/>
      <c r="X9" s="307"/>
      <c r="AC9" s="307"/>
      <c r="AD9" s="307"/>
    </row>
    <row r="10" spans="7:30" s="308" customFormat="1" ht="18" customHeight="1" outlineLevel="1" x14ac:dyDescent="0.3">
      <c r="G10" s="307"/>
      <c r="H10" s="512"/>
      <c r="I10" s="307"/>
      <c r="J10" s="307"/>
      <c r="K10" s="308" t="s">
        <v>815</v>
      </c>
      <c r="L10" s="308" t="str" cm="1">
        <f t="array" ref="L10">TRANSPOSE(_xlfn._xlws.SORT(_xlfn._xlws.FILTER(Table_TSCD[Mã Tài sản],Table_TSCD[Phân loại]=K10,"")))</f>
        <v/>
      </c>
      <c r="M10" s="307"/>
      <c r="N10" s="307"/>
      <c r="O10" s="307"/>
      <c r="P10" s="307"/>
      <c r="Q10" s="307"/>
      <c r="R10" s="307"/>
      <c r="S10" s="307"/>
      <c r="T10" s="307"/>
      <c r="U10" s="307"/>
      <c r="V10" s="307"/>
      <c r="W10" s="307"/>
      <c r="X10" s="307"/>
      <c r="AC10" s="307"/>
      <c r="AD10" s="307"/>
    </row>
    <row r="11" spans="7:30" s="308" customFormat="1" ht="18" customHeight="1" outlineLevel="1" x14ac:dyDescent="0.3">
      <c r="G11" s="307"/>
      <c r="H11" s="307"/>
      <c r="I11" s="307"/>
      <c r="J11" s="307"/>
      <c r="K11" s="308" t="s">
        <v>816</v>
      </c>
      <c r="L11" s="308" t="str" cm="1">
        <f t="array" ref="L11">TRANSPOSE(_xlfn._xlws.SORT(_xlfn._xlws.FILTER(Table_TSCD[Mã Tài sản],Table_TSCD[Phân loại]=K11,"")))</f>
        <v>TS6</v>
      </c>
      <c r="M11" s="307"/>
      <c r="N11" s="307"/>
      <c r="O11" s="307"/>
      <c r="P11" s="307"/>
      <c r="Q11" s="307"/>
      <c r="R11" s="307"/>
      <c r="S11" s="307"/>
      <c r="T11" s="307"/>
      <c r="U11" s="307"/>
      <c r="V11" s="307"/>
      <c r="W11" s="307"/>
      <c r="X11" s="307"/>
      <c r="AC11" s="307"/>
      <c r="AD11" s="307"/>
    </row>
    <row r="12" spans="7:30" s="308" customFormat="1" ht="18" customHeight="1" outlineLevel="1" x14ac:dyDescent="0.3">
      <c r="G12" s="307"/>
      <c r="H12" s="307"/>
      <c r="I12" s="307"/>
      <c r="J12" s="307"/>
      <c r="K12" s="308" t="s">
        <v>817</v>
      </c>
      <c r="L12" s="308" t="str" cm="1">
        <f t="array" ref="L12">TRANSPOSE(_xlfn._xlws.SORT(_xlfn._xlws.FILTER(Table_TSCD[Mã Tài sản],Table_TSCD[Phân loại]=K12,"")))</f>
        <v/>
      </c>
      <c r="M12" s="307"/>
      <c r="N12" s="307"/>
      <c r="O12" s="307"/>
      <c r="P12" s="307"/>
      <c r="Q12" s="307"/>
      <c r="R12" s="307"/>
      <c r="S12" s="307"/>
      <c r="T12" s="307"/>
      <c r="U12" s="307"/>
      <c r="V12" s="307"/>
      <c r="W12" s="307"/>
      <c r="X12" s="307"/>
      <c r="AC12" s="307"/>
      <c r="AD12" s="307"/>
    </row>
    <row r="13" spans="7:30" s="308" customFormat="1" ht="18" customHeight="1" outlineLevel="1" x14ac:dyDescent="0.3">
      <c r="G13" s="307"/>
      <c r="H13" s="307"/>
      <c r="I13" s="307"/>
      <c r="J13" s="307"/>
      <c r="K13" s="308" t="s">
        <v>818</v>
      </c>
      <c r="L13" s="308" t="str" cm="1">
        <f t="array" ref="L13">TRANSPOSE(_xlfn._xlws.SORT(_xlfn._xlws.FILTER(Table_TSCD[Mã Tài sản],Table_TSCD[Phân loại]=K13,"")))</f>
        <v/>
      </c>
      <c r="M13" s="307"/>
      <c r="N13" s="307"/>
      <c r="O13" s="307"/>
      <c r="P13" s="307"/>
      <c r="Q13" s="307"/>
      <c r="R13" s="307"/>
      <c r="S13" s="307"/>
      <c r="T13" s="307"/>
      <c r="U13" s="307"/>
      <c r="V13" s="307"/>
      <c r="W13" s="307"/>
      <c r="X13" s="307"/>
      <c r="Z13" s="307"/>
      <c r="AA13" s="307"/>
      <c r="AB13" s="307"/>
      <c r="AC13" s="307"/>
      <c r="AD13" s="307"/>
    </row>
    <row r="14" spans="7:30" s="308" customFormat="1" ht="18" customHeight="1" outlineLevel="1" collapsed="1" x14ac:dyDescent="0.3">
      <c r="G14" s="307"/>
      <c r="H14" s="307"/>
      <c r="I14" s="307"/>
      <c r="J14" s="307"/>
      <c r="K14" s="308" t="s">
        <v>798</v>
      </c>
      <c r="L14" s="307" t="str" cm="1">
        <f t="array" ref="L14:Q14">TRANSPOSE(_xlfn._xlws.SORT(Table_TSCD[Mã Tài sản]))</f>
        <v>TS1</v>
      </c>
      <c r="M14" s="307" t="str">
        <v>TS2</v>
      </c>
      <c r="N14" s="307" t="str">
        <v>TS3</v>
      </c>
      <c r="O14" s="307" t="str">
        <v>TS4</v>
      </c>
      <c r="P14" s="307" t="str">
        <v>TS5</v>
      </c>
      <c r="Q14" s="307" t="str">
        <v>TS6</v>
      </c>
      <c r="R14" s="307"/>
      <c r="S14" s="307"/>
      <c r="T14" s="307"/>
      <c r="U14" s="307"/>
      <c r="V14" s="307"/>
      <c r="W14" s="307"/>
      <c r="X14" s="307"/>
      <c r="Y14" s="307"/>
      <c r="Z14" s="307"/>
      <c r="AA14" s="307"/>
      <c r="AB14" s="307"/>
      <c r="AC14" s="307"/>
      <c r="AD14" s="307"/>
    </row>
    <row r="15" spans="7:30" s="112" customFormat="1" ht="18" customHeight="1" outlineLevel="1" x14ac:dyDescent="0.3">
      <c r="G15" s="270"/>
      <c r="H15" s="270"/>
      <c r="I15" s="270"/>
      <c r="J15" s="270"/>
      <c r="L15" s="270"/>
      <c r="M15" s="270"/>
      <c r="N15" s="270"/>
      <c r="O15" s="270"/>
      <c r="P15" s="270"/>
      <c r="Q15" s="270"/>
      <c r="R15" s="270"/>
      <c r="S15" s="270"/>
      <c r="T15" s="270"/>
      <c r="U15" s="270"/>
      <c r="V15" s="270"/>
      <c r="W15" s="270"/>
      <c r="X15" s="270"/>
      <c r="Y15" s="270"/>
      <c r="Z15" s="270"/>
      <c r="AA15" s="270"/>
      <c r="AB15" s="270"/>
      <c r="AC15" s="270"/>
      <c r="AD15" s="270"/>
    </row>
    <row r="16" spans="7:30" s="112" customFormat="1" ht="18" customHeight="1" outlineLevel="1" x14ac:dyDescent="0.3">
      <c r="G16" s="270"/>
      <c r="H16" s="509" t="s">
        <v>1134</v>
      </c>
      <c r="I16" s="270"/>
      <c r="J16" s="270"/>
      <c r="K16" s="511" t="s">
        <v>1123</v>
      </c>
      <c r="L16" s="270"/>
      <c r="M16" s="270"/>
      <c r="N16" s="270"/>
      <c r="O16" s="270"/>
      <c r="P16" s="270"/>
      <c r="Q16" s="270"/>
      <c r="R16" s="270"/>
      <c r="S16" s="270"/>
      <c r="T16" s="270"/>
      <c r="U16" s="270"/>
      <c r="V16" s="270"/>
      <c r="W16" s="270"/>
      <c r="X16" s="270"/>
      <c r="Y16" s="270"/>
      <c r="Z16" s="270"/>
      <c r="AA16" s="270"/>
      <c r="AB16" s="270"/>
      <c r="AC16" s="270"/>
      <c r="AD16" s="270"/>
    </row>
    <row r="17" spans="2:30" s="112" customFormat="1" ht="18" customHeight="1" outlineLevel="1" x14ac:dyDescent="0.3">
      <c r="G17" s="270"/>
      <c r="H17" s="509" t="s">
        <v>1139</v>
      </c>
      <c r="K17" s="510">
        <f>VLOOKUP($K$16,Table_TSCD[],COUNTA(Table_TSCD[[#Headers],[Mã Tài sản]:[Giá trị sổ sách]]),0)</f>
        <v>500000000</v>
      </c>
      <c r="L17" s="270"/>
      <c r="M17" s="270"/>
      <c r="N17" s="270"/>
      <c r="O17" s="270"/>
      <c r="P17" s="270"/>
      <c r="Q17" s="270"/>
      <c r="R17" s="270"/>
      <c r="S17" s="270"/>
      <c r="T17" s="270"/>
      <c r="U17" s="270"/>
      <c r="V17" s="270"/>
      <c r="W17" s="270"/>
      <c r="X17" s="270"/>
      <c r="Y17" s="270"/>
      <c r="Z17" s="270"/>
      <c r="AA17" s="270"/>
      <c r="AB17" s="270"/>
      <c r="AC17" s="270"/>
      <c r="AD17" s="270"/>
    </row>
    <row r="18" spans="2:30" s="112" customFormat="1" ht="18" customHeight="1" outlineLevel="1" x14ac:dyDescent="0.3">
      <c r="G18" s="270"/>
      <c r="H18" s="509" t="s">
        <v>1135</v>
      </c>
      <c r="I18" s="270"/>
      <c r="J18" s="270"/>
      <c r="K18" s="510">
        <f>VLOOKUP($K$16,Table_TSCD[],COUNTA(Table_TSCD[[#Headers],[Mã Tài sản]:[Giá trị khấu hao (tháng)]]),0)</f>
        <v>8333333.333333333</v>
      </c>
      <c r="L18" s="270"/>
      <c r="M18" s="270"/>
      <c r="N18" s="270"/>
      <c r="O18" s="270"/>
      <c r="P18" s="270"/>
      <c r="Q18" s="270"/>
      <c r="R18" s="270"/>
      <c r="S18" s="270"/>
      <c r="T18" s="270"/>
      <c r="U18" s="270"/>
      <c r="V18" s="270"/>
      <c r="W18" s="270"/>
      <c r="X18" s="270"/>
      <c r="Y18" s="270"/>
      <c r="Z18" s="270"/>
      <c r="AA18" s="270"/>
      <c r="AB18" s="270"/>
      <c r="AC18" s="270"/>
      <c r="AD18" s="270"/>
    </row>
    <row r="19" spans="2:30" s="112" customFormat="1" ht="18" customHeight="1" outlineLevel="1" x14ac:dyDescent="0.3">
      <c r="G19" s="270"/>
      <c r="H19" s="509" t="s">
        <v>1136</v>
      </c>
      <c r="I19" s="270"/>
      <c r="J19" s="270"/>
      <c r="K19" s="513">
        <f ca="1">VLOOKUP($K$16,Table_TSCD[],COUNTA(Table_TSCD[[#Headers],[Mã Tài sản]:[Tỷ lệ khấu hao]]),0)</f>
        <v>0.24750171115674194</v>
      </c>
      <c r="L19" s="270"/>
      <c r="M19" s="270"/>
      <c r="N19" s="270"/>
      <c r="O19" s="270"/>
      <c r="P19" s="270"/>
      <c r="Q19" s="270"/>
      <c r="R19" s="270"/>
      <c r="S19" s="270"/>
      <c r="T19" s="270"/>
      <c r="U19" s="270"/>
      <c r="V19" s="270"/>
      <c r="W19" s="270"/>
      <c r="X19" s="270"/>
      <c r="Y19" s="270"/>
      <c r="Z19" s="270"/>
      <c r="AA19" s="270"/>
      <c r="AB19" s="270"/>
      <c r="AC19" s="270"/>
      <c r="AD19" s="270"/>
    </row>
    <row r="20" spans="2:30" s="112" customFormat="1" ht="18" customHeight="1" outlineLevel="1" x14ac:dyDescent="0.3">
      <c r="G20" s="270"/>
      <c r="H20" s="509" t="s">
        <v>1137</v>
      </c>
      <c r="I20" s="270"/>
      <c r="J20" s="270"/>
      <c r="K20" s="514">
        <f>VLOOKUP($K$16,Table_TSCD[],COUNTA(Table_TSCD[[#Headers],[Mã Tài sản]:[Ngày kết thúc]]),0)</f>
        <v>47226</v>
      </c>
      <c r="L20" s="270"/>
      <c r="M20" s="270"/>
      <c r="N20" s="270"/>
      <c r="O20" s="270"/>
      <c r="P20" s="270"/>
      <c r="Q20" s="270"/>
      <c r="R20" s="270"/>
      <c r="S20" s="270"/>
      <c r="T20" s="270"/>
      <c r="U20" s="270"/>
      <c r="V20" s="270"/>
      <c r="W20" s="270"/>
      <c r="X20" s="270"/>
      <c r="Y20" s="270"/>
      <c r="Z20" s="270"/>
      <c r="AA20" s="270"/>
      <c r="AB20" s="270"/>
      <c r="AC20" s="270"/>
      <c r="AD20" s="270"/>
    </row>
    <row r="21" spans="2:30" s="112" customFormat="1" ht="18" customHeight="1" outlineLevel="1" x14ac:dyDescent="0.3">
      <c r="G21" s="270"/>
      <c r="H21" s="509" t="s">
        <v>1138</v>
      </c>
      <c r="I21" s="270"/>
      <c r="J21" s="270"/>
      <c r="K21" s="510">
        <f ca="1">K20-TODAY()</f>
        <v>1374</v>
      </c>
      <c r="L21" s="270"/>
      <c r="M21" s="270"/>
      <c r="N21" s="270"/>
      <c r="O21" s="270"/>
      <c r="P21" s="270"/>
      <c r="Q21" s="270"/>
      <c r="R21" s="270"/>
      <c r="S21" s="270"/>
      <c r="T21" s="270"/>
      <c r="U21" s="270"/>
      <c r="V21" s="270"/>
      <c r="W21" s="270"/>
      <c r="X21" s="270"/>
      <c r="Y21" s="270"/>
      <c r="Z21" s="270"/>
      <c r="AA21" s="270"/>
      <c r="AB21" s="270"/>
      <c r="AC21" s="270"/>
      <c r="AD21" s="270"/>
    </row>
    <row r="22" spans="2:30" s="112" customFormat="1" ht="18" customHeight="1" outlineLevel="1" x14ac:dyDescent="0.3">
      <c r="G22" s="270"/>
      <c r="H22" s="270"/>
      <c r="I22" s="270"/>
      <c r="J22" s="270"/>
      <c r="L22" s="270"/>
      <c r="M22" s="270"/>
      <c r="N22" s="270"/>
      <c r="O22" s="270"/>
      <c r="P22" s="270"/>
      <c r="Q22" s="270"/>
      <c r="R22" s="270"/>
      <c r="S22" s="270"/>
      <c r="T22" s="270"/>
      <c r="U22" s="270"/>
      <c r="V22" s="270"/>
      <c r="W22" s="270"/>
      <c r="X22" s="270"/>
      <c r="Y22" s="270"/>
      <c r="Z22" s="270"/>
      <c r="AA22" s="270"/>
      <c r="AB22" s="270"/>
      <c r="AC22" s="270"/>
      <c r="AD22" s="270"/>
    </row>
    <row r="23" spans="2:30" s="112" customFormat="1" ht="16.5" x14ac:dyDescent="0.3">
      <c r="B23" s="97" t="s">
        <v>23</v>
      </c>
      <c r="C23" t="s">
        <v>856</v>
      </c>
      <c r="D23" t="s">
        <v>1132</v>
      </c>
      <c r="E23" t="s">
        <v>1133</v>
      </c>
      <c r="G23" s="270"/>
      <c r="H23" s="112" t="s">
        <v>819</v>
      </c>
      <c r="I23" s="112" t="s">
        <v>820</v>
      </c>
      <c r="J23" s="112" t="s">
        <v>583</v>
      </c>
      <c r="K23" s="112" t="s">
        <v>765</v>
      </c>
      <c r="L23" s="112" t="s">
        <v>821</v>
      </c>
      <c r="M23" s="112" t="s">
        <v>822</v>
      </c>
      <c r="N23" s="112" t="s">
        <v>823</v>
      </c>
      <c r="O23" s="112" t="s">
        <v>824</v>
      </c>
      <c r="P23" s="112" t="s">
        <v>825</v>
      </c>
      <c r="Q23" s="112" t="s">
        <v>826</v>
      </c>
      <c r="R23" s="112" t="s">
        <v>827</v>
      </c>
      <c r="S23" s="112" t="s">
        <v>828</v>
      </c>
      <c r="T23" s="112" t="s">
        <v>656</v>
      </c>
      <c r="U23" s="112" t="s">
        <v>829</v>
      </c>
      <c r="V23" s="112" t="s">
        <v>830</v>
      </c>
      <c r="W23" s="112" t="s">
        <v>705</v>
      </c>
      <c r="X23" s="112" t="s">
        <v>681</v>
      </c>
      <c r="Y23" s="112" t="s">
        <v>1127</v>
      </c>
      <c r="Z23" s="112" t="s">
        <v>1128</v>
      </c>
      <c r="AA23" s="507" t="s">
        <v>1129</v>
      </c>
      <c r="AB23" s="112" t="s">
        <v>1130</v>
      </c>
      <c r="AC23" s="112" t="s">
        <v>1131</v>
      </c>
      <c r="AD23" s="7" t="s">
        <v>873</v>
      </c>
    </row>
    <row r="24" spans="2:30" ht="16.5" x14ac:dyDescent="0.3">
      <c r="B24" s="98" t="s">
        <v>810</v>
      </c>
      <c r="C24" s="504">
        <v>5000000000</v>
      </c>
      <c r="D24" s="504">
        <v>440109514.03148526</v>
      </c>
      <c r="E24" s="508">
        <v>8.8021902806297056E-2</v>
      </c>
      <c r="G24" s="240"/>
      <c r="H24" s="240" t="s">
        <v>1121</v>
      </c>
      <c r="I24" s="240"/>
      <c r="J24" s="240" t="s">
        <v>759</v>
      </c>
      <c r="K24" s="240" t="s">
        <v>816</v>
      </c>
      <c r="L24" s="15"/>
      <c r="M24" s="240"/>
      <c r="N24" s="15">
        <v>350000000</v>
      </c>
      <c r="O24" s="403">
        <v>45175</v>
      </c>
      <c r="P24" s="15">
        <v>10</v>
      </c>
      <c r="Q24" s="18">
        <f>Table_TSCD[[#This Row],[Năm khấu hao]]*12</f>
        <v>120</v>
      </c>
      <c r="R24" s="403">
        <v>45175</v>
      </c>
      <c r="S24" s="403"/>
      <c r="T24" s="268">
        <f xml:space="preserve">
IF(
ISBLANK(Table_TSCD[[#This Row],[Ngày vận hành]]),
0,
Table_TSCD[[#This Row],[Ngày vận hành]] + ROUND(Table_TSCD[[#This Row],[Tháng khấu hao]] * (365.25/12), 0)
)</f>
        <v>48828</v>
      </c>
      <c r="U24" s="18">
        <f>IFERROR(
Table_TSCD[[#This Row],[Giá trị sổ sách]]/Table_TSCD[[#This Row],[Tháng khấu hao]],
0)</f>
        <v>2916666.6666666665</v>
      </c>
      <c r="V24" s="247"/>
      <c r="W24" s="68"/>
      <c r="X24" s="18">
        <f>IFERROR(
IF(Table_TSCD[[#This Row],[Tình trạng VAT]] = "Chưa khấu trừ / bồi hoàn",
Table_TSCD[[#This Row],[Tỷ suất VAT]]*(Table_TSCD[[#This Row],[Giá trị sổ sách]]/(1+Table_TSCD[[#This Row],[Tỷ suất VAT]])),
0),0)</f>
        <v>0</v>
      </c>
      <c r="Y24" s="18">
        <f ca="1">MAX(0,IF(ISBLANK(Table_TSCD[[#This Row],[Ngày vận hành]]),0,
IF(ISBLANK(Table_TSCD[[#This Row],[Ngày thanh lý]]),
TODAY()-Table_TSCD[[#This Row],[Ngày vận hành]],
MIN(TODAY(),Table_TSCD[[#This Row],[Ngày thanh lý]])-Table_TSCD[[#This Row],[Ngày vận hành]]
)))</f>
        <v>677</v>
      </c>
      <c r="Z24" s="18">
        <f ca="1">MIN(Table_TSCD[[#This Row],[Giá trị sổ sách]],Table_TSCD[[#This Row],[Giá trị sổ sách]]/(Table_TSCD[[#This Row],[Tháng khấu hao]]*365.25/12)*Table_TSCD[[#This Row],[Số ngày vận hành]])</f>
        <v>64873374.401095137</v>
      </c>
      <c r="AA24" s="71">
        <f ca="1">Table_TSCD[[#This Row],[Khấu hao lũy kế theo ngày]]/Table_TSCD[[#This Row],[Giá trị sổ sách]]</f>
        <v>0.18535249828884326</v>
      </c>
      <c r="AB24" s="18">
        <f ca="1">Table_TSCD[[#This Row],[Giá trị sổ sách]]-Table_TSCD[[#This Row],[Khấu hao lũy kế theo ngày]]</f>
        <v>285126625.59890485</v>
      </c>
      <c r="AC24" s="18">
        <f ca="1">MAX(0,IF(ISBLANK(Table_TSCD[[#This Row],[Ngày vận hành]]),0,
IF(ISBLANK(Table_TSCD[[#This Row],[Ngày thanh lý]]),
Table_TSCD[[#This Row],[Ngày kết thúc]]-TODAY(),0
)))</f>
        <v>2976</v>
      </c>
      <c r="AD24" s="240"/>
    </row>
    <row r="25" spans="2:30" ht="16.5" x14ac:dyDescent="0.3">
      <c r="B25" s="503" t="s">
        <v>1125</v>
      </c>
      <c r="C25" s="504">
        <v>5000000000</v>
      </c>
      <c r="D25" s="504">
        <v>440109514.03148526</v>
      </c>
      <c r="E25" s="508">
        <v>8.8021902806297056E-2</v>
      </c>
      <c r="G25" s="7" t="s">
        <v>999</v>
      </c>
      <c r="H25" s="240" t="s">
        <v>1122</v>
      </c>
      <c r="I25" s="240"/>
      <c r="J25" s="240" t="s">
        <v>760</v>
      </c>
      <c r="K25" s="240" t="s">
        <v>814</v>
      </c>
      <c r="L25" s="15"/>
      <c r="M25" s="240"/>
      <c r="N25" s="15">
        <v>25000000</v>
      </c>
      <c r="O25" s="403">
        <v>45336</v>
      </c>
      <c r="P25" s="15">
        <v>3</v>
      </c>
      <c r="Q25" s="18">
        <f>Table_TSCD[[#This Row],[Năm khấu hao]]*12</f>
        <v>36</v>
      </c>
      <c r="R25" s="403">
        <v>45336</v>
      </c>
      <c r="S25" s="403"/>
      <c r="T25" s="268">
        <f xml:space="preserve">
IF(
ISBLANK(Table_TSCD[[#This Row],[Ngày vận hành]]),
0,
Table_TSCD[[#This Row],[Ngày vận hành]] + ROUND(Table_TSCD[[#This Row],[Tháng khấu hao]] * (365.25/12), 0)
)</f>
        <v>46432</v>
      </c>
      <c r="U25" s="18">
        <f>IFERROR(
Table_TSCD[[#This Row],[Giá trị sổ sách]]/Table_TSCD[[#This Row],[Tháng khấu hao]],
0)</f>
        <v>694444.4444444445</v>
      </c>
      <c r="V25" s="247"/>
      <c r="W25" s="68"/>
      <c r="X25" s="18">
        <f>IFERROR(
IF(Table_TSCD[[#This Row],[Tình trạng VAT]] = "Chưa khấu trừ / bồi hoàn",
Table_TSCD[[#This Row],[Tỷ suất VAT]]*(Table_TSCD[[#This Row],[Giá trị sổ sách]]/(1+Table_TSCD[[#This Row],[Tỷ suất VAT]])),
0),0)</f>
        <v>0</v>
      </c>
      <c r="Y25" s="18">
        <f ca="1">MAX(0,IF(ISBLANK(Table_TSCD[[#This Row],[Ngày vận hành]]),0,
IF(ISBLANK(Table_TSCD[[#This Row],[Ngày thanh lý]]),
TODAY()-Table_TSCD[[#This Row],[Ngày vận hành]],
MIN(TODAY(),Table_TSCD[[#This Row],[Ngày thanh lý]])-Table_TSCD[[#This Row],[Ngày vận hành]]
)))</f>
        <v>516</v>
      </c>
      <c r="Z25" s="18">
        <f ca="1">MIN(Table_TSCD[[#This Row],[Giá trị sổ sách]],Table_TSCD[[#This Row],[Giá trị sổ sách]]/(Table_TSCD[[#This Row],[Tháng khấu hao]]*365.25/12)*Table_TSCD[[#This Row],[Số ngày vận hành]])</f>
        <v>11772758.384668035</v>
      </c>
      <c r="AA25" s="71">
        <f ca="1">Table_TSCD[[#This Row],[Khấu hao lũy kế theo ngày]]/Table_TSCD[[#This Row],[Giá trị sổ sách]]</f>
        <v>0.47091033538672139</v>
      </c>
      <c r="AB25" s="18">
        <f ca="1">Table_TSCD[[#This Row],[Giá trị sổ sách]]-Table_TSCD[[#This Row],[Khấu hao lũy kế theo ngày]]</f>
        <v>13227241.615331965</v>
      </c>
      <c r="AC25" s="18">
        <f ca="1">MAX(0,IF(ISBLANK(Table_TSCD[[#This Row],[Ngày vận hành]]),0,
IF(ISBLANK(Table_TSCD[[#This Row],[Ngày thanh lý]]),
Table_TSCD[[#This Row],[Ngày kết thúc]]-TODAY(),0
)))</f>
        <v>580</v>
      </c>
      <c r="AD25" s="240"/>
    </row>
    <row r="26" spans="2:30" ht="16.5" x14ac:dyDescent="0.3">
      <c r="B26" s="98" t="s">
        <v>809</v>
      </c>
      <c r="C26" s="504">
        <v>3000000000</v>
      </c>
      <c r="D26" s="504">
        <v>269733059.54825461</v>
      </c>
      <c r="E26" s="508">
        <v>8.9911019849418197E-2</v>
      </c>
      <c r="H26" s="240" t="s">
        <v>1123</v>
      </c>
      <c r="I26" s="240"/>
      <c r="J26" s="240" t="s">
        <v>760</v>
      </c>
      <c r="K26" s="240" t="s">
        <v>812</v>
      </c>
      <c r="L26" s="15"/>
      <c r="M26" s="240"/>
      <c r="N26" s="15">
        <v>500000000</v>
      </c>
      <c r="O26" s="403">
        <v>45336</v>
      </c>
      <c r="P26" s="15">
        <v>5</v>
      </c>
      <c r="Q26" s="18">
        <f>Table_TSCD[[#This Row],[Năm khấu hao]]*12</f>
        <v>60</v>
      </c>
      <c r="R26" s="403">
        <v>45400</v>
      </c>
      <c r="S26" s="403"/>
      <c r="T26" s="268">
        <f xml:space="preserve">
IF(
ISBLANK(Table_TSCD[[#This Row],[Ngày vận hành]]),
0,
Table_TSCD[[#This Row],[Ngày vận hành]] + ROUND(Table_TSCD[[#This Row],[Tháng khấu hao]] * (365.25/12), 0)
)</f>
        <v>47226</v>
      </c>
      <c r="U26" s="18">
        <f>IFERROR(
Table_TSCD[[#This Row],[Giá trị sổ sách]]/Table_TSCD[[#This Row],[Tháng khấu hao]],
0)</f>
        <v>8333333.333333333</v>
      </c>
      <c r="V26" s="247"/>
      <c r="W26" s="68"/>
      <c r="X26" s="18">
        <f>IFERROR(
IF(Table_TSCD[[#This Row],[Tình trạng VAT]] = "Chưa khấu trừ / bồi hoàn",
Table_TSCD[[#This Row],[Tỷ suất VAT]]*(Table_TSCD[[#This Row],[Giá trị sổ sách]]/(1+Table_TSCD[[#This Row],[Tỷ suất VAT]])),
0),0)</f>
        <v>0</v>
      </c>
      <c r="Y26" s="18">
        <f ca="1">MAX(0,IF(ISBLANK(Table_TSCD[[#This Row],[Ngày vận hành]]),0,
IF(ISBLANK(Table_TSCD[[#This Row],[Ngày thanh lý]]),
TODAY()-Table_TSCD[[#This Row],[Ngày vận hành]],
MIN(TODAY(),Table_TSCD[[#This Row],[Ngày thanh lý]])-Table_TSCD[[#This Row],[Ngày vận hành]]
)))</f>
        <v>452</v>
      </c>
      <c r="Z26" s="18">
        <f ca="1">MIN(Table_TSCD[[#This Row],[Giá trị sổ sách]],Table_TSCD[[#This Row],[Giá trị sổ sách]]/(Table_TSCD[[#This Row],[Tháng khấu hao]]*365.25/12)*Table_TSCD[[#This Row],[Số ngày vận hành]])</f>
        <v>123750855.57837097</v>
      </c>
      <c r="AA26" s="71">
        <f ca="1">Table_TSCD[[#This Row],[Khấu hao lũy kế theo ngày]]/Table_TSCD[[#This Row],[Giá trị sổ sách]]</f>
        <v>0.24750171115674194</v>
      </c>
      <c r="AB26" s="18">
        <f ca="1">Table_TSCD[[#This Row],[Giá trị sổ sách]]-Table_TSCD[[#This Row],[Khấu hao lũy kế theo ngày]]</f>
        <v>376249144.42162901</v>
      </c>
      <c r="AC26" s="18">
        <f ca="1">MAX(0,IF(ISBLANK(Table_TSCD[[#This Row],[Ngày vận hành]]),0,
IF(ISBLANK(Table_TSCD[[#This Row],[Ngày thanh lý]]),
Table_TSCD[[#This Row],[Ngày kết thúc]]-TODAY(),0
)))</f>
        <v>1374</v>
      </c>
      <c r="AD26" s="240"/>
    </row>
    <row r="27" spans="2:30" ht="16.5" x14ac:dyDescent="0.3">
      <c r="B27" s="503" t="s">
        <v>1126</v>
      </c>
      <c r="C27" s="504">
        <v>3000000000</v>
      </c>
      <c r="D27" s="504">
        <v>269733059.54825461</v>
      </c>
      <c r="E27" s="508">
        <v>8.9911019849418197E-2</v>
      </c>
      <c r="H27" s="240" t="s">
        <v>1124</v>
      </c>
      <c r="I27" s="240"/>
      <c r="J27" s="240" t="s">
        <v>759</v>
      </c>
      <c r="K27" s="240" t="s">
        <v>811</v>
      </c>
      <c r="L27" s="15"/>
      <c r="M27" s="240"/>
      <c r="N27" s="15">
        <v>1000000000</v>
      </c>
      <c r="O27" s="403">
        <v>45223</v>
      </c>
      <c r="P27" s="15">
        <v>10</v>
      </c>
      <c r="Q27" s="18">
        <f>Table_TSCD[[#This Row],[Năm khấu hao]]*12</f>
        <v>120</v>
      </c>
      <c r="R27" s="403">
        <v>45223</v>
      </c>
      <c r="S27" s="403"/>
      <c r="T27" s="268">
        <f xml:space="preserve">
IF(
ISBLANK(Table_TSCD[[#This Row],[Ngày vận hành]]),
0,
Table_TSCD[[#This Row],[Ngày vận hành]] + ROUND(Table_TSCD[[#This Row],[Tháng khấu hao]] * (365.25/12), 0)
)</f>
        <v>48876</v>
      </c>
      <c r="U27" s="18">
        <f>IFERROR(
Table_TSCD[[#This Row],[Giá trị sổ sách]]/Table_TSCD[[#This Row],[Tháng khấu hao]],
0)</f>
        <v>8333333.333333333</v>
      </c>
      <c r="V27" s="247"/>
      <c r="W27" s="68"/>
      <c r="X27" s="18">
        <f>IFERROR(
IF(Table_TSCD[[#This Row],[Tình trạng VAT]] = "Chưa khấu trừ / bồi hoàn",
Table_TSCD[[#This Row],[Tỷ suất VAT]]*(Table_TSCD[[#This Row],[Giá trị sổ sách]]/(1+Table_TSCD[[#This Row],[Tỷ suất VAT]])),
0),0)</f>
        <v>0</v>
      </c>
      <c r="Y27" s="18">
        <f ca="1">MAX(0,IF(ISBLANK(Table_TSCD[[#This Row],[Ngày vận hành]]),0,
IF(ISBLANK(Table_TSCD[[#This Row],[Ngày thanh lý]]),
TODAY()-Table_TSCD[[#This Row],[Ngày vận hành]],
MIN(TODAY(),Table_TSCD[[#This Row],[Ngày thanh lý]])-Table_TSCD[[#This Row],[Ngày vận hành]]
)))</f>
        <v>629</v>
      </c>
      <c r="Z27" s="18">
        <f ca="1">MIN(Table_TSCD[[#This Row],[Giá trị sổ sách]],Table_TSCD[[#This Row],[Giá trị sổ sách]]/(Table_TSCD[[#This Row],[Tháng khấu hao]]*365.25/12)*Table_TSCD[[#This Row],[Số ngày vận hành]])</f>
        <v>172210814.51060918</v>
      </c>
      <c r="AA27" s="71">
        <f ca="1">Table_TSCD[[#This Row],[Khấu hao lũy kế theo ngày]]/Table_TSCD[[#This Row],[Giá trị sổ sách]]</f>
        <v>0.17221081451060918</v>
      </c>
      <c r="AB27" s="18">
        <f ca="1">Table_TSCD[[#This Row],[Giá trị sổ sách]]-Table_TSCD[[#This Row],[Khấu hao lũy kế theo ngày]]</f>
        <v>827789185.48939085</v>
      </c>
      <c r="AC27" s="18">
        <f ca="1">MAX(0,IF(ISBLANK(Table_TSCD[[#This Row],[Ngày vận hành]]),0,
IF(ISBLANK(Table_TSCD[[#This Row],[Ngày thanh lý]]),
Table_TSCD[[#This Row],[Ngày kết thúc]]-TODAY(),0
)))</f>
        <v>3024</v>
      </c>
      <c r="AD27" s="240"/>
    </row>
    <row r="28" spans="2:30" ht="16.5" x14ac:dyDescent="0.3">
      <c r="B28" s="98" t="s">
        <v>811</v>
      </c>
      <c r="C28" s="504">
        <v>1000000000</v>
      </c>
      <c r="D28" s="504">
        <v>162902121.83436003</v>
      </c>
      <c r="E28" s="508">
        <v>0.16290212183436004</v>
      </c>
      <c r="H28" s="240" t="s">
        <v>1125</v>
      </c>
      <c r="I28" s="240"/>
      <c r="J28" s="240" t="s">
        <v>590</v>
      </c>
      <c r="K28" s="240" t="s">
        <v>810</v>
      </c>
      <c r="L28" s="15"/>
      <c r="M28" s="240"/>
      <c r="N28" s="15">
        <v>5000000000</v>
      </c>
      <c r="O28" s="403">
        <v>45175</v>
      </c>
      <c r="P28" s="15">
        <v>20</v>
      </c>
      <c r="Q28" s="18">
        <f>Table_TSCD[[#This Row],[Năm khấu hao]]*12</f>
        <v>240</v>
      </c>
      <c r="R28" s="403">
        <v>45175</v>
      </c>
      <c r="S28" s="403"/>
      <c r="T28" s="268">
        <f xml:space="preserve">
IF(
ISBLANK(Table_TSCD[[#This Row],[Ngày vận hành]]),
0,
Table_TSCD[[#This Row],[Ngày vận hành]] + ROUND(Table_TSCD[[#This Row],[Tháng khấu hao]] * (365.25/12), 0)
)</f>
        <v>52480</v>
      </c>
      <c r="U28" s="18">
        <f>IFERROR(
Table_TSCD[[#This Row],[Giá trị sổ sách]]/Table_TSCD[[#This Row],[Tháng khấu hao]],
0)</f>
        <v>20833333.333333332</v>
      </c>
      <c r="V28" s="247"/>
      <c r="W28" s="68"/>
      <c r="X28" s="18">
        <f>IFERROR(
IF(Table_TSCD[[#This Row],[Tình trạng VAT]] = "Chưa khấu trừ / bồi hoàn",
Table_TSCD[[#This Row],[Tỷ suất VAT]]*(Table_TSCD[[#This Row],[Giá trị sổ sách]]/(1+Table_TSCD[[#This Row],[Tỷ suất VAT]])),
0),0)</f>
        <v>0</v>
      </c>
      <c r="Y28" s="18">
        <f ca="1">MAX(0,IF(ISBLANK(Table_TSCD[[#This Row],[Ngày vận hành]]),0,
IF(ISBLANK(Table_TSCD[[#This Row],[Ngày thanh lý]]),
TODAY()-Table_TSCD[[#This Row],[Ngày vận hành]],
MIN(TODAY(),Table_TSCD[[#This Row],[Ngày thanh lý]])-Table_TSCD[[#This Row],[Ngày vận hành]]
)))</f>
        <v>677</v>
      </c>
      <c r="Z28" s="18">
        <f ca="1">MIN(Table_TSCD[[#This Row],[Giá trị sổ sách]],Table_TSCD[[#This Row],[Giá trị sổ sách]]/(Table_TSCD[[#This Row],[Tháng khấu hao]]*365.25/12)*Table_TSCD[[#This Row],[Số ngày vận hành]])</f>
        <v>463381245.72210813</v>
      </c>
      <c r="AA28" s="71">
        <f ca="1">Table_TSCD[[#This Row],[Khấu hao lũy kế theo ngày]]/Table_TSCD[[#This Row],[Giá trị sổ sách]]</f>
        <v>9.267624914442163E-2</v>
      </c>
      <c r="AB28" s="18">
        <f ca="1">Table_TSCD[[#This Row],[Giá trị sổ sách]]-Table_TSCD[[#This Row],[Khấu hao lũy kế theo ngày]]</f>
        <v>4536618754.2778921</v>
      </c>
      <c r="AC28" s="18">
        <f ca="1">MAX(0,IF(ISBLANK(Table_TSCD[[#This Row],[Ngày vận hành]]),0,
IF(ISBLANK(Table_TSCD[[#This Row],[Ngày thanh lý]]),
Table_TSCD[[#This Row],[Ngày kết thúc]]-TODAY(),0
)))</f>
        <v>6628</v>
      </c>
      <c r="AD28" s="240"/>
    </row>
    <row r="29" spans="2:30" ht="16.5" x14ac:dyDescent="0.3">
      <c r="B29" s="503" t="s">
        <v>1124</v>
      </c>
      <c r="C29" s="504">
        <v>1000000000</v>
      </c>
      <c r="D29" s="504">
        <v>162902121.83436003</v>
      </c>
      <c r="E29" s="508">
        <v>0.16290212183436004</v>
      </c>
      <c r="H29" s="240" t="s">
        <v>1126</v>
      </c>
      <c r="I29" s="240"/>
      <c r="J29" s="240" t="s">
        <v>590</v>
      </c>
      <c r="K29" s="240" t="s">
        <v>809</v>
      </c>
      <c r="L29" s="15"/>
      <c r="M29" s="240"/>
      <c r="N29" s="15">
        <v>3000000000</v>
      </c>
      <c r="O29" s="403">
        <v>44997</v>
      </c>
      <c r="P29" s="15">
        <v>25</v>
      </c>
      <c r="Q29" s="18">
        <f>Table_TSCD[[#This Row],[Năm khấu hao]]*12</f>
        <v>300</v>
      </c>
      <c r="R29" s="403">
        <v>44997</v>
      </c>
      <c r="S29" s="403"/>
      <c r="T29" s="268">
        <f xml:space="preserve">
IF(
ISBLANK(Table_TSCD[[#This Row],[Ngày vận hành]]),
0,
Table_TSCD[[#This Row],[Ngày vận hành]] + ROUND(Table_TSCD[[#This Row],[Tháng khấu hao]] * (365.25/12), 0)
)</f>
        <v>54128</v>
      </c>
      <c r="U29" s="18">
        <f>IFERROR(
Table_TSCD[[#This Row],[Giá trị sổ sách]]/Table_TSCD[[#This Row],[Tháng khấu hao]],
0)</f>
        <v>10000000</v>
      </c>
      <c r="V29" s="247"/>
      <c r="W29" s="68"/>
      <c r="X29" s="18">
        <f>IFERROR(
IF(Table_TSCD[[#This Row],[Tình trạng VAT]] = "Chưa khấu trừ / bồi hoàn",
Table_TSCD[[#This Row],[Tỷ suất VAT]]*(Table_TSCD[[#This Row],[Giá trị sổ sách]]/(1+Table_TSCD[[#This Row],[Tỷ suất VAT]])),
0),0)</f>
        <v>0</v>
      </c>
      <c r="Y29" s="18">
        <f ca="1">MAX(0,IF(ISBLANK(Table_TSCD[[#This Row],[Ngày vận hành]]),0,
IF(ISBLANK(Table_TSCD[[#This Row],[Ngày thanh lý]]),
TODAY()-Table_TSCD[[#This Row],[Ngày vận hành]],
MIN(TODAY(),Table_TSCD[[#This Row],[Ngày thanh lý]])-Table_TSCD[[#This Row],[Ngày vận hành]]
)))</f>
        <v>855</v>
      </c>
      <c r="Z29" s="18">
        <f ca="1">MIN(Table_TSCD[[#This Row],[Giá trị sổ sách]],Table_TSCD[[#This Row],[Giá trị sổ sách]]/(Table_TSCD[[#This Row],[Tháng khấu hao]]*365.25/12)*Table_TSCD[[#This Row],[Số ngày vận hành]])</f>
        <v>280903490.75975358</v>
      </c>
      <c r="AA29" s="71">
        <f ca="1">Table_TSCD[[#This Row],[Khấu hao lũy kế theo ngày]]/Table_TSCD[[#This Row],[Giá trị sổ sách]]</f>
        <v>9.3634496919917862E-2</v>
      </c>
      <c r="AB29" s="18">
        <f ca="1">Table_TSCD[[#This Row],[Giá trị sổ sách]]-Table_TSCD[[#This Row],[Khấu hao lũy kế theo ngày]]</f>
        <v>2719096509.2402463</v>
      </c>
      <c r="AC29" s="18">
        <f ca="1">MAX(0,IF(ISBLANK(Table_TSCD[[#This Row],[Ngày vận hành]]),0,
IF(ISBLANK(Table_TSCD[[#This Row],[Ngày thanh lý]]),
Table_TSCD[[#This Row],[Ngày kết thúc]]-TODAY(),0
)))</f>
        <v>8276</v>
      </c>
      <c r="AD29" s="240"/>
    </row>
    <row r="30" spans="2:30" ht="16.5" x14ac:dyDescent="0.3">
      <c r="B30" s="98" t="s">
        <v>812</v>
      </c>
      <c r="C30" s="504">
        <v>500000000</v>
      </c>
      <c r="D30" s="504">
        <v>114442162.90212183</v>
      </c>
      <c r="E30" s="508">
        <v>0.22888432580424364</v>
      </c>
    </row>
    <row r="31" spans="2:30" ht="16.5" x14ac:dyDescent="0.3">
      <c r="B31" s="503" t="s">
        <v>1123</v>
      </c>
      <c r="C31" s="504">
        <v>500000000</v>
      </c>
      <c r="D31" s="504">
        <v>114442162.90212183</v>
      </c>
      <c r="E31" s="508">
        <v>0.22888432580424364</v>
      </c>
    </row>
    <row r="32" spans="2:30" ht="16.5" x14ac:dyDescent="0.3">
      <c r="B32" s="98" t="s">
        <v>816</v>
      </c>
      <c r="C32" s="504">
        <v>350000000</v>
      </c>
      <c r="D32" s="504">
        <v>61615331.964407936</v>
      </c>
      <c r="E32" s="508">
        <v>0.17604380561259411</v>
      </c>
      <c r="N32" s="7"/>
    </row>
    <row r="33" spans="2:14" ht="16.5" x14ac:dyDescent="0.3">
      <c r="B33" s="503" t="s">
        <v>1121</v>
      </c>
      <c r="C33" s="504">
        <v>350000000</v>
      </c>
      <c r="D33" s="504">
        <v>61615331.964407936</v>
      </c>
      <c r="E33" s="508">
        <v>0.17604380561259411</v>
      </c>
      <c r="N33" s="7"/>
    </row>
    <row r="34" spans="2:14" ht="16.5" x14ac:dyDescent="0.3">
      <c r="B34" s="98" t="s">
        <v>814</v>
      </c>
      <c r="C34" s="504">
        <v>25000000</v>
      </c>
      <c r="D34" s="504">
        <v>10997033.994980607</v>
      </c>
      <c r="E34" s="508">
        <v>0.43988135979922427</v>
      </c>
      <c r="N34" s="7"/>
    </row>
    <row r="35" spans="2:14" ht="16.5" x14ac:dyDescent="0.3">
      <c r="B35" s="503" t="s">
        <v>1122</v>
      </c>
      <c r="C35" s="504">
        <v>25000000</v>
      </c>
      <c r="D35" s="504">
        <v>10997033.994980607</v>
      </c>
      <c r="E35" s="508">
        <v>0.43988135979922427</v>
      </c>
      <c r="N35" s="7"/>
    </row>
    <row r="36" spans="2:14" ht="16.5" x14ac:dyDescent="0.3">
      <c r="B36" s="98" t="s">
        <v>1102</v>
      </c>
      <c r="C36" s="504">
        <v>9875000000</v>
      </c>
      <c r="D36" s="504">
        <v>1059799224.2756101</v>
      </c>
      <c r="E36" s="508">
        <v>1.1856445357061374</v>
      </c>
      <c r="N36" s="7"/>
    </row>
    <row r="37" spans="2:14" ht="16.5" x14ac:dyDescent="0.3">
      <c r="B37"/>
      <c r="C37"/>
      <c r="D37"/>
      <c r="N37" s="7"/>
    </row>
    <row r="38" spans="2:14" ht="16.5" x14ac:dyDescent="0.3">
      <c r="B38"/>
      <c r="C38"/>
      <c r="D38"/>
      <c r="N38" s="7"/>
    </row>
    <row r="39" spans="2:14" ht="16.5" x14ac:dyDescent="0.3">
      <c r="B39"/>
      <c r="C39"/>
      <c r="D39"/>
      <c r="N39" s="7"/>
    </row>
    <row r="40" spans="2:14" ht="16.5" x14ac:dyDescent="0.3">
      <c r="B40"/>
      <c r="C40"/>
      <c r="D40"/>
      <c r="N40" s="7"/>
    </row>
  </sheetData>
  <sheetProtection algorithmName="SHA-512" hashValue="YaWaKASrk+MwqV4vsLxG/XBAwrNHXpnezK3Y1jGQx1mOyjUGU++d6RkR6zGSbgml3o+kae/V/7uRsRIxH64Z4A==" saltValue="ln3c9fZHr29hlqAaTOAagA==" spinCount="100000" sheet="1" scenarios="1" formatCells="0" formatColumns="0" formatRows="0" insertColumns="0" insertRows="0" deleteColumns="0" deleteRows="0" sort="0" autoFilter="0" pivotTables="0"/>
  <phoneticPr fontId="14" type="noConversion"/>
  <dataValidations count="4">
    <dataValidation type="list" allowBlank="1" showInputMessage="1" showErrorMessage="1" sqref="J24:J29" xr:uid="{5CA07399-52DE-4FB7-A811-ADD3CE8DDDFE}">
      <formula1>"Sản xuất, Bán hàng, Văn phòng"</formula1>
    </dataValidation>
    <dataValidation type="list" allowBlank="1" showInputMessage="1" showErrorMessage="1" sqref="V24:V29" xr:uid="{D0C176F8-330C-4233-9D88-A5228689979B}">
      <formula1>"Đã khấu trừ / bồi hoàn, Chưa khấu trừ / bồi hoàn"</formula1>
    </dataValidation>
    <dataValidation type="list" allowBlank="1" showInputMessage="1" showErrorMessage="1" sqref="K24:K29" xr:uid="{2E2EFDA6-0447-42CA-976A-D4956DD10C2F}">
      <formula1>$K$3:$K$13</formula1>
    </dataValidation>
    <dataValidation type="list" allowBlank="1" showInputMessage="1" showErrorMessage="1" sqref="K16" xr:uid="{FB910BE8-678F-44E9-B4E9-544178CAF9E7}">
      <formula1>MaTaiSan</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8" r:id="rId4" name="Option Button 6">
              <controlPr defaultSize="0" autoFill="0" autoLine="0" autoPict="0" macro="[0]!DoiDonViHienThi">
                <anchor moveWithCells="1">
                  <from>
                    <xdr:col>8</xdr:col>
                    <xdr:colOff>1104900</xdr:colOff>
                    <xdr:row>0</xdr:row>
                    <xdr:rowOff>152400</xdr:rowOff>
                  </from>
                  <to>
                    <xdr:col>9</xdr:col>
                    <xdr:colOff>514350</xdr:colOff>
                    <xdr:row>1</xdr:row>
                    <xdr:rowOff>142875</xdr:rowOff>
                  </to>
                </anchor>
              </controlPr>
            </control>
          </mc:Choice>
        </mc:AlternateContent>
        <mc:AlternateContent xmlns:mc="http://schemas.openxmlformats.org/markup-compatibility/2006">
          <mc:Choice Requires="x14">
            <control shapeId="79879" r:id="rId5" name="Option Button 7">
              <controlPr defaultSize="0" autoFill="0" autoLine="0" autoPict="0" macro="[0]!DoiDonViHienThi">
                <anchor moveWithCells="1">
                  <from>
                    <xdr:col>9</xdr:col>
                    <xdr:colOff>390525</xdr:colOff>
                    <xdr:row>0</xdr:row>
                    <xdr:rowOff>152400</xdr:rowOff>
                  </from>
                  <to>
                    <xdr:col>10</xdr:col>
                    <xdr:colOff>47625</xdr:colOff>
                    <xdr:row>1</xdr:row>
                    <xdr:rowOff>142875</xdr:rowOff>
                  </to>
                </anchor>
              </controlPr>
            </control>
          </mc:Choice>
        </mc:AlternateContent>
        <mc:AlternateContent xmlns:mc="http://schemas.openxmlformats.org/markup-compatibility/2006">
          <mc:Choice Requires="x14">
            <control shapeId="79880" r:id="rId6" name="Option Button 8">
              <controlPr defaultSize="0" autoFill="0" autoLine="0" autoPict="0" macro="[0]!DoiDonViHienThi">
                <anchor moveWithCells="1">
                  <from>
                    <xdr:col>9</xdr:col>
                    <xdr:colOff>857250</xdr:colOff>
                    <xdr:row>0</xdr:row>
                    <xdr:rowOff>152400</xdr:rowOff>
                  </from>
                  <to>
                    <xdr:col>10</xdr:col>
                    <xdr:colOff>514350</xdr:colOff>
                    <xdr:row>1</xdr:row>
                    <xdr:rowOff>142875</xdr:rowOff>
                  </to>
                </anchor>
              </controlPr>
            </control>
          </mc:Choice>
        </mc:AlternateContent>
        <mc:AlternateContent xmlns:mc="http://schemas.openxmlformats.org/markup-compatibility/2006">
          <mc:Choice Requires="x14">
            <control shapeId="79881" r:id="rId7" name="Option Button 9">
              <controlPr defaultSize="0" autoFill="0" autoLine="0" autoPict="0" macro="[0]!DoiDonViHienThi">
                <anchor moveWithCells="1">
                  <from>
                    <xdr:col>10</xdr:col>
                    <xdr:colOff>400050</xdr:colOff>
                    <xdr:row>0</xdr:row>
                    <xdr:rowOff>152400</xdr:rowOff>
                  </from>
                  <to>
                    <xdr:col>10</xdr:col>
                    <xdr:colOff>752475</xdr:colOff>
                    <xdr:row>1</xdr:row>
                    <xdr:rowOff>142875</xdr:rowOff>
                  </to>
                </anchor>
              </controlPr>
            </control>
          </mc:Choice>
        </mc:AlternateContent>
        <mc:AlternateContent xmlns:mc="http://schemas.openxmlformats.org/markup-compatibility/2006">
          <mc:Choice Requires="x14">
            <control shapeId="79882" r:id="rId8" name="Group Box 10">
              <controlPr defaultSize="0" autoFill="0" autoPict="0">
                <anchor moveWithCells="1">
                  <from>
                    <xdr:col>8</xdr:col>
                    <xdr:colOff>990600</xdr:colOff>
                    <xdr:row>0</xdr:row>
                    <xdr:rowOff>104775</xdr:rowOff>
                  </from>
                  <to>
                    <xdr:col>10</xdr:col>
                    <xdr:colOff>866775</xdr:colOff>
                    <xdr:row>1</xdr:row>
                    <xdr:rowOff>180975</xdr:rowOff>
                  </to>
                </anchor>
              </controlPr>
            </control>
          </mc:Choice>
        </mc:AlternateContent>
        <mc:AlternateContent xmlns:mc="http://schemas.openxmlformats.org/markup-compatibility/2006">
          <mc:Choice Requires="x14">
            <control shapeId="79883" r:id="rId9" name="Group Box 11">
              <controlPr defaultSize="0" autoFill="0" autoPict="0">
                <anchor moveWithCells="1">
                  <from>
                    <xdr:col>7</xdr:col>
                    <xdr:colOff>57150</xdr:colOff>
                    <xdr:row>0</xdr:row>
                    <xdr:rowOff>104775</xdr:rowOff>
                  </from>
                  <to>
                    <xdr:col>8</xdr:col>
                    <xdr:colOff>942975</xdr:colOff>
                    <xdr:row>1</xdr:row>
                    <xdr:rowOff>180975</xdr:rowOff>
                  </to>
                </anchor>
              </controlPr>
            </control>
          </mc:Choice>
        </mc:AlternateContent>
        <mc:AlternateContent xmlns:mc="http://schemas.openxmlformats.org/markup-compatibility/2006">
          <mc:Choice Requires="x14">
            <control shapeId="79884" r:id="rId10" name="Button 12">
              <controlPr defaultSize="0" autoFill="0" autoPict="0" macro="[0]!NhanNghin">
                <anchor moveWithCells="1">
                  <from>
                    <xdr:col>7</xdr:col>
                    <xdr:colOff>142875</xdr:colOff>
                    <xdr:row>0</xdr:row>
                    <xdr:rowOff>200025</xdr:rowOff>
                  </from>
                  <to>
                    <xdr:col>7</xdr:col>
                    <xdr:colOff>609600</xdr:colOff>
                    <xdr:row>1</xdr:row>
                    <xdr:rowOff>85725</xdr:rowOff>
                  </to>
                </anchor>
              </controlPr>
            </control>
          </mc:Choice>
        </mc:AlternateContent>
        <mc:AlternateContent xmlns:mc="http://schemas.openxmlformats.org/markup-compatibility/2006">
          <mc:Choice Requires="x14">
            <control shapeId="79885" r:id="rId11" name="Button 13">
              <controlPr defaultSize="0" autoFill="0" autoPict="0" macro="[0]!NhanTrieu">
                <anchor moveWithCells="1">
                  <from>
                    <xdr:col>7</xdr:col>
                    <xdr:colOff>657225</xdr:colOff>
                    <xdr:row>0</xdr:row>
                    <xdr:rowOff>200025</xdr:rowOff>
                  </from>
                  <to>
                    <xdr:col>8</xdr:col>
                    <xdr:colOff>352425</xdr:colOff>
                    <xdr:row>1</xdr:row>
                    <xdr:rowOff>85725</xdr:rowOff>
                  </to>
                </anchor>
              </controlPr>
            </control>
          </mc:Choice>
        </mc:AlternateContent>
        <mc:AlternateContent xmlns:mc="http://schemas.openxmlformats.org/markup-compatibility/2006">
          <mc:Choice Requires="x14">
            <control shapeId="79886" r:id="rId12" name="Button 14">
              <controlPr defaultSize="0" autoFill="0" autoPict="0" macro="[0]!NhanTy">
                <anchor moveWithCells="1">
                  <from>
                    <xdr:col>8</xdr:col>
                    <xdr:colOff>400050</xdr:colOff>
                    <xdr:row>0</xdr:row>
                    <xdr:rowOff>200025</xdr:rowOff>
                  </from>
                  <to>
                    <xdr:col>8</xdr:col>
                    <xdr:colOff>866775</xdr:colOff>
                    <xdr:row>1</xdr:row>
                    <xdr:rowOff>85725</xdr:rowOff>
                  </to>
                </anchor>
              </controlPr>
            </control>
          </mc:Choice>
        </mc:AlternateContent>
        <mc:AlternateContent xmlns:mc="http://schemas.openxmlformats.org/markup-compatibility/2006">
          <mc:Choice Requires="x14">
            <control shapeId="79887" r:id="rId13" name="Button 15">
              <controlPr defaultSize="0" print="0" autoFill="0" autoPict="0" macro="[0]!AddRow">
                <anchor moveWithCells="1">
                  <from>
                    <xdr:col>11</xdr:col>
                    <xdr:colOff>0</xdr:colOff>
                    <xdr:row>0</xdr:row>
                    <xdr:rowOff>123825</xdr:rowOff>
                  </from>
                  <to>
                    <xdr:col>11</xdr:col>
                    <xdr:colOff>476250</xdr:colOff>
                    <xdr:row>1</xdr:row>
                    <xdr:rowOff>95250</xdr:rowOff>
                  </to>
                </anchor>
              </controlPr>
            </control>
          </mc:Choice>
        </mc:AlternateContent>
        <mc:AlternateContent xmlns:mc="http://schemas.openxmlformats.org/markup-compatibility/2006">
          <mc:Choice Requires="x14">
            <control shapeId="79888" r:id="rId14" name="Button 16">
              <controlPr defaultSize="0" print="0" autoFill="0" autoPict="0" macro="[0]!DeleteRow">
                <anchor moveWithCells="1">
                  <from>
                    <xdr:col>11</xdr:col>
                    <xdr:colOff>514350</xdr:colOff>
                    <xdr:row>0</xdr:row>
                    <xdr:rowOff>123825</xdr:rowOff>
                  </from>
                  <to>
                    <xdr:col>12</xdr:col>
                    <xdr:colOff>209550</xdr:colOff>
                    <xdr:row>1</xdr:row>
                    <xdr:rowOff>95250</xdr:rowOff>
                  </to>
                </anchor>
              </controlPr>
            </control>
          </mc:Choice>
        </mc:AlternateContent>
        <mc:AlternateContent xmlns:mc="http://schemas.openxmlformats.org/markup-compatibility/2006">
          <mc:Choice Requires="x14">
            <control shapeId="79889" r:id="rId15" name="Button 17">
              <controlPr defaultSize="0" print="0" autoFill="0" autoPict="0" macro="[0]!AddColumn">
                <anchor moveWithCells="1">
                  <from>
                    <xdr:col>30</xdr:col>
                    <xdr:colOff>47625</xdr:colOff>
                    <xdr:row>0</xdr:row>
                    <xdr:rowOff>133350</xdr:rowOff>
                  </from>
                  <to>
                    <xdr:col>30</xdr:col>
                    <xdr:colOff>561975</xdr:colOff>
                    <xdr:row>1</xdr:row>
                    <xdr:rowOff>104775</xdr:rowOff>
                  </to>
                </anchor>
              </controlPr>
            </control>
          </mc:Choice>
        </mc:AlternateContent>
        <mc:AlternateContent xmlns:mc="http://schemas.openxmlformats.org/markup-compatibility/2006">
          <mc:Choice Requires="x14">
            <control shapeId="79890" r:id="rId16" name="Button 18">
              <controlPr defaultSize="0" print="0" autoFill="0" autoPict="0" macro="[0]!DeleteColumn">
                <anchor moveWithCells="1">
                  <from>
                    <xdr:col>30</xdr:col>
                    <xdr:colOff>600075</xdr:colOff>
                    <xdr:row>0</xdr:row>
                    <xdr:rowOff>133350</xdr:rowOff>
                  </from>
                  <to>
                    <xdr:col>31</xdr:col>
                    <xdr:colOff>457200</xdr:colOff>
                    <xdr:row>1</xdr:row>
                    <xdr:rowOff>104775</xdr:rowOff>
                  </to>
                </anchor>
              </controlPr>
            </control>
          </mc:Choice>
        </mc:AlternateContent>
        <mc:AlternateContent xmlns:mc="http://schemas.openxmlformats.org/markup-compatibility/2006">
          <mc:Choice Requires="x14">
            <control shapeId="79896" r:id="rId17" name="Button 24">
              <controlPr defaultSize="0" print="0" autoFill="0" autoPict="0" macro="[0]!RefreshTables">
                <anchor moveWithCells="1">
                  <from>
                    <xdr:col>11</xdr:col>
                    <xdr:colOff>85725</xdr:colOff>
                    <xdr:row>3</xdr:row>
                    <xdr:rowOff>123825</xdr:rowOff>
                  </from>
                  <to>
                    <xdr:col>11</xdr:col>
                    <xdr:colOff>628650</xdr:colOff>
                    <xdr:row>4</xdr:row>
                    <xdr:rowOff>152400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5" id="{6838E0B0-8F7C-4ECB-9973-D9A677444961}">
            <xm:f>Security!$A$1="NO VBA"</xm:f>
            <x14:dxf>
              <font>
                <color theme="0"/>
              </font>
              <border>
                <vertical/>
                <horizontal/>
              </border>
            </x14:dxf>
          </x14:cfRule>
          <xm:sqref>J3:XFD6 G24 T24:XFD24 G37:R37 AE32:XFD37 N31:XFD31 N32:R36 G31:M36 A25:A30 L24:M29 Q24:Q29 S25:XFD29 A38:A40 J14:XFD22 J7:X13 Z13:XFD13 I18:K21 A1:XFD2 A23:XFD23 A41:XFD1048576 F25:G29 E38:XFD40 F30:XFD30 AC7:XFD12 I16:K16</xm:sqref>
        </x14:conditionalFormatting>
        <x14:conditionalFormatting xmlns:xm="http://schemas.microsoft.com/office/excel/2006/main">
          <x14:cfRule type="expression" priority="2" id="{0F1ACBEB-12D9-49A5-B9DA-BBDA9F22F797}">
            <xm:f>Security!$A$1="NO VBA"</xm:f>
            <x14:dxf>
              <font>
                <color theme="0"/>
              </font>
              <border>
                <vertical/>
                <horizontal/>
              </border>
            </x14:dxf>
          </x14:cfRule>
          <xm:sqref>S24:S29</xm:sqref>
        </x14:conditionalFormatting>
        <x14:conditionalFormatting xmlns:xm="http://schemas.microsoft.com/office/excel/2006/main">
          <x14:cfRule type="expression" priority="1" id="{354D5F32-54D0-4E81-B0C3-E6507ED02DC0}">
            <xm:f>Security!$A$1="NO VBA"</xm:f>
            <x14:dxf>
              <font>
                <color theme="0"/>
              </font>
              <border>
                <vertical/>
                <horizontal/>
              </border>
            </x14:dxf>
          </x14:cfRule>
          <xm:sqref>K17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6B08-AF5E-473D-9173-DC3C6917949F}">
  <sheetPr codeName="Sheet37">
    <tabColor theme="4"/>
  </sheetPr>
  <dimension ref="B1:J52"/>
  <sheetViews>
    <sheetView showGridLines="0" zoomScaleNormal="100" workbookViewId="0">
      <selection activeCell="I24" sqref="I24"/>
    </sheetView>
  </sheetViews>
  <sheetFormatPr defaultRowHeight="18" customHeight="1" outlineLevelRow="1" x14ac:dyDescent="0.3"/>
  <cols>
    <col min="1" max="1" width="1.25" style="7" customWidth="1"/>
    <col min="2" max="2" width="9.625" style="7" customWidth="1"/>
    <col min="3" max="3" width="16.75" style="7" customWidth="1"/>
    <col min="4" max="4" width="14.375" style="7" bestFit="1" customWidth="1"/>
    <col min="5" max="5" width="10.25" style="7" bestFit="1" customWidth="1"/>
    <col min="6" max="6" width="7.25" style="7" bestFit="1" customWidth="1"/>
    <col min="7" max="7" width="11.125" style="7" bestFit="1" customWidth="1"/>
    <col min="8" max="8" width="11.125" style="7" customWidth="1"/>
    <col min="9" max="9" width="16.25" style="7" customWidth="1"/>
    <col min="10" max="10" width="6.75" style="7" bestFit="1" customWidth="1"/>
    <col min="11" max="16384" width="9" style="7"/>
  </cols>
  <sheetData>
    <row r="1" spans="2:10" s="308" customFormat="1" ht="22.5" customHeight="1" x14ac:dyDescent="0.3">
      <c r="B1" s="307">
        <v>0</v>
      </c>
      <c r="C1" s="307">
        <f t="shared" ref="C1:G1" si="0">+B1+1</f>
        <v>1</v>
      </c>
      <c r="D1" s="307">
        <f t="shared" si="0"/>
        <v>2</v>
      </c>
      <c r="E1" s="307">
        <f t="shared" si="0"/>
        <v>3</v>
      </c>
      <c r="F1" s="307">
        <f t="shared" si="0"/>
        <v>4</v>
      </c>
      <c r="G1" s="307">
        <f t="shared" si="0"/>
        <v>5</v>
      </c>
      <c r="H1" s="307"/>
      <c r="I1" s="307">
        <f>+G1+1</f>
        <v>6</v>
      </c>
      <c r="J1" s="307"/>
    </row>
    <row r="2" spans="2:10" s="95" customFormat="1" ht="18" customHeight="1" x14ac:dyDescent="0.3">
      <c r="B2" s="269"/>
      <c r="C2" s="269"/>
      <c r="D2" s="269"/>
      <c r="E2" s="269"/>
      <c r="F2" s="269"/>
      <c r="G2" s="269"/>
      <c r="H2" s="269"/>
      <c r="I2" s="269"/>
      <c r="J2" s="269"/>
    </row>
    <row r="3" spans="2:10" s="95" customFormat="1" ht="18" hidden="1" customHeight="1" outlineLevel="1" x14ac:dyDescent="0.3">
      <c r="B3" s="269"/>
      <c r="C3" s="269"/>
      <c r="D3" s="269"/>
      <c r="E3" s="112" t="s">
        <v>138</v>
      </c>
      <c r="F3" s="95" t="str" cm="1">
        <f t="array" ref="F3:G3">TRANSPOSE(_xlfn._xlws.SORT(_xlfn._xlws.FILTER(Table_NguyenLieu[Mã Nguyên liệu],Table_NguyenLieu[Chức năng]=E3,"")))</f>
        <v>NL1</v>
      </c>
      <c r="G3" s="269" t="str">
        <v>NL2</v>
      </c>
      <c r="H3" s="269"/>
      <c r="I3" s="269"/>
      <c r="J3" s="269"/>
    </row>
    <row r="4" spans="2:10" s="95" customFormat="1" ht="18" hidden="1" customHeight="1" outlineLevel="1" x14ac:dyDescent="0.3">
      <c r="B4" s="269"/>
      <c r="C4" s="269"/>
      <c r="D4" s="269"/>
      <c r="E4" s="95" t="s">
        <v>590</v>
      </c>
      <c r="F4" s="95" t="str" cm="1">
        <f t="array" ref="F4">TRANSPOSE(_xlfn._xlws.SORT(_xlfn._xlws.FILTER(Table_NguyenLieu[Mã Nguyên liệu],Table_NguyenLieu[Chức năng]=E4,"")))</f>
        <v/>
      </c>
      <c r="G4" s="269"/>
      <c r="H4" s="269"/>
      <c r="I4" s="269"/>
      <c r="J4" s="269"/>
    </row>
    <row r="5" spans="2:10" s="95" customFormat="1" ht="18" hidden="1" customHeight="1" outlineLevel="1" x14ac:dyDescent="0.3">
      <c r="B5" s="269"/>
      <c r="C5" s="269"/>
      <c r="D5" s="269"/>
      <c r="E5" s="95" t="s">
        <v>759</v>
      </c>
      <c r="F5" s="95" t="str" cm="1">
        <f t="array" ref="F5">TRANSPOSE(_xlfn._xlws.SORT(_xlfn._xlws.FILTER(Table_NguyenLieu[Mã Nguyên liệu],Table_NguyenLieu[Chức năng]=E5,"")))</f>
        <v/>
      </c>
      <c r="G5" s="269"/>
      <c r="H5" s="269"/>
      <c r="I5" s="269"/>
      <c r="J5" s="269"/>
    </row>
    <row r="6" spans="2:10" s="95" customFormat="1" ht="18" hidden="1" customHeight="1" outlineLevel="1" x14ac:dyDescent="0.3">
      <c r="B6" s="269"/>
      <c r="C6" s="269"/>
      <c r="D6" s="269"/>
      <c r="E6" s="95" t="s">
        <v>760</v>
      </c>
      <c r="F6" s="95" t="str" cm="1">
        <f t="array" ref="F6">TRANSPOSE(_xlfn._xlws.SORT(_xlfn._xlws.FILTER(Table_NguyenLieu[Mã Nguyên liệu],Table_NguyenLieu[Chức năng]=E6,"")))</f>
        <v/>
      </c>
      <c r="G6" s="269"/>
      <c r="H6" s="269"/>
      <c r="I6" s="269"/>
      <c r="J6" s="269"/>
    </row>
    <row r="7" spans="2:10" s="95" customFormat="1" ht="18" hidden="1" customHeight="1" outlineLevel="1" x14ac:dyDescent="0.3">
      <c r="B7" s="269"/>
      <c r="C7" s="269"/>
      <c r="D7" s="269"/>
      <c r="E7" s="95" t="s">
        <v>798</v>
      </c>
      <c r="F7" s="269" t="str" cm="1">
        <f t="array" ref="F7:G7">TRANSPOSE(_xlfn._xlws.SORT(Table_NguyenLieu[Mã Nguyên liệu]))</f>
        <v>NL1</v>
      </c>
      <c r="G7" s="269" t="str">
        <v>NL2</v>
      </c>
      <c r="H7" s="269"/>
      <c r="I7" s="269"/>
      <c r="J7" s="269"/>
    </row>
    <row r="8" spans="2:10" s="112" customFormat="1" ht="18" customHeight="1" collapsed="1" x14ac:dyDescent="0.3">
      <c r="B8" s="270"/>
      <c r="C8" s="172" t="s">
        <v>674</v>
      </c>
      <c r="D8" s="172" t="s">
        <v>834</v>
      </c>
      <c r="E8" s="172" t="s">
        <v>583</v>
      </c>
      <c r="F8" s="172" t="s">
        <v>321</v>
      </c>
      <c r="G8" s="174" t="s">
        <v>705</v>
      </c>
      <c r="H8" s="541" t="s">
        <v>1233</v>
      </c>
      <c r="I8" s="172" t="s">
        <v>17</v>
      </c>
      <c r="J8" s="7" t="s">
        <v>873</v>
      </c>
    </row>
    <row r="9" spans="2:10" ht="18" customHeight="1" x14ac:dyDescent="0.3">
      <c r="B9" s="240"/>
      <c r="C9" s="259" t="s">
        <v>1153</v>
      </c>
      <c r="D9" s="259"/>
      <c r="E9" s="259" t="s">
        <v>138</v>
      </c>
      <c r="F9" s="259"/>
      <c r="H9" s="442"/>
      <c r="I9"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169</v>
      </c>
      <c r="J9" s="259"/>
    </row>
    <row r="10" spans="2:10" ht="18" customHeight="1" x14ac:dyDescent="0.3">
      <c r="C10" s="259" t="s">
        <v>1152</v>
      </c>
      <c r="D10" s="259"/>
      <c r="E10" s="259" t="s">
        <v>138</v>
      </c>
      <c r="F10" s="259"/>
      <c r="G10" s="43"/>
      <c r="H10" s="442"/>
      <c r="I10"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88</v>
      </c>
      <c r="J10" s="240"/>
    </row>
    <row r="14" spans="2:10" ht="10.5" x14ac:dyDescent="0.3"/>
    <row r="15" spans="2:10" ht="10.5" x14ac:dyDescent="0.3"/>
    <row r="16" spans="2:10" ht="10.5" x14ac:dyDescent="0.3"/>
    <row r="17" ht="10.5" x14ac:dyDescent="0.3"/>
    <row r="18" ht="10.5" x14ac:dyDescent="0.3"/>
    <row r="19" ht="10.5" x14ac:dyDescent="0.3"/>
    <row r="20" ht="10.5" x14ac:dyDescent="0.3"/>
    <row r="21" ht="10.5" x14ac:dyDescent="0.3"/>
    <row r="22" ht="10.5" x14ac:dyDescent="0.3"/>
    <row r="23" ht="10.5" x14ac:dyDescent="0.3"/>
    <row r="24" ht="10.5" x14ac:dyDescent="0.3"/>
    <row r="25" ht="10.5" x14ac:dyDescent="0.3"/>
    <row r="26" ht="10.5" x14ac:dyDescent="0.3"/>
    <row r="27" ht="10.5" x14ac:dyDescent="0.3"/>
    <row r="28" ht="10.5" x14ac:dyDescent="0.3"/>
    <row r="29" ht="10.5" x14ac:dyDescent="0.3"/>
    <row r="30" ht="10.5" x14ac:dyDescent="0.3"/>
    <row r="31" ht="10.5" x14ac:dyDescent="0.3"/>
    <row r="32" ht="10.5" x14ac:dyDescent="0.3"/>
    <row r="33" ht="10.5" x14ac:dyDescent="0.3"/>
    <row r="34" ht="10.5" x14ac:dyDescent="0.3"/>
    <row r="35" ht="10.5" x14ac:dyDescent="0.3"/>
    <row r="36" ht="10.5" x14ac:dyDescent="0.3"/>
    <row r="37" ht="10.5" x14ac:dyDescent="0.3"/>
    <row r="38" ht="10.5" x14ac:dyDescent="0.3"/>
    <row r="39" ht="10.5" x14ac:dyDescent="0.3"/>
    <row r="40" ht="10.5" x14ac:dyDescent="0.3"/>
    <row r="41" ht="10.5" x14ac:dyDescent="0.3"/>
    <row r="42" ht="10.5" x14ac:dyDescent="0.3"/>
    <row r="43" ht="10.5" x14ac:dyDescent="0.3"/>
    <row r="44" ht="10.5" x14ac:dyDescent="0.3"/>
    <row r="45" ht="10.5" x14ac:dyDescent="0.3"/>
    <row r="46" ht="10.5" x14ac:dyDescent="0.3"/>
    <row r="47" ht="10.5" x14ac:dyDescent="0.3"/>
    <row r="48" ht="10.5" x14ac:dyDescent="0.3"/>
    <row r="49" ht="10.5" x14ac:dyDescent="0.3"/>
    <row r="50" ht="10.5" x14ac:dyDescent="0.3"/>
    <row r="51" ht="10.5" x14ac:dyDescent="0.3"/>
    <row r="52" ht="10.5" x14ac:dyDescent="0.3"/>
  </sheetData>
  <sheetProtection algorithmName="SHA-512" hashValue="4u3kXIbHlXMeJrv9oEFxzHwymMG/Nt0oEN9nXwqBD6OgQVROub+dzfP7bhjSrK55woGlNUurttOHzb1Ex5M4/w==" saltValue="1fnF8Y+2z+7DRD67jmMwJA==" spinCount="100000" sheet="1" scenarios="1" formatCells="0" formatColumns="0" formatRows="0" insertColumns="0" insertRows="0" deleteColumns="0" deleteRows="0" sort="0" autoFilter="0" pivotTables="0"/>
  <protectedRanges>
    <protectedRange sqref="O3:XFD7 B1:XFD2 B3:K7 B10:J1048576 K8:XFD1048576 B8:F9" name="Range1"/>
    <protectedRange sqref="J8:J9" name="Range1_1"/>
    <protectedRange sqref="G8:H9" name="Range1_2"/>
    <protectedRange sqref="I8:I9" name="Range1_3"/>
  </protectedRanges>
  <conditionalFormatting sqref="C9:C10">
    <cfRule type="duplicateValues" dxfId="107" priority="282"/>
  </conditionalFormatting>
  <dataValidations count="1">
    <dataValidation type="list" allowBlank="1" showInputMessage="1" showErrorMessage="1" sqref="E9:E10" xr:uid="{A12F7F28-6C64-4AC3-8358-3AC403817201}">
      <formula1>"Nguyên liệu, Sản xuất, Bán hàng, Văn phòng"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6" r:id="rId3" name="Option Button 6">
              <controlPr defaultSize="0" autoFill="0" autoLine="0" autoPict="0" macro="[0]!DoiDonViHienThi">
                <anchor moveWithCells="1">
                  <from>
                    <xdr:col>3</xdr:col>
                    <xdr:colOff>600075</xdr:colOff>
                    <xdr:row>0</xdr:row>
                    <xdr:rowOff>152400</xdr:rowOff>
                  </from>
                  <to>
                    <xdr:col>4</xdr:col>
                    <xdr:colOff>95250</xdr:colOff>
                    <xdr:row>1</xdr:row>
                    <xdr:rowOff>142875</xdr:rowOff>
                  </to>
                </anchor>
              </controlPr>
            </control>
          </mc:Choice>
        </mc:AlternateContent>
        <mc:AlternateContent xmlns:mc="http://schemas.openxmlformats.org/markup-compatibility/2006">
          <mc:Choice Requires="x14">
            <control shapeId="81927" r:id="rId4" name="Option Button 7">
              <controlPr defaultSize="0" autoFill="0" autoLine="0" autoPict="0" macro="[0]!DoiDonViHienThi">
                <anchor moveWithCells="1">
                  <from>
                    <xdr:col>3</xdr:col>
                    <xdr:colOff>1066800</xdr:colOff>
                    <xdr:row>0</xdr:row>
                    <xdr:rowOff>152400</xdr:rowOff>
                  </from>
                  <to>
                    <xdr:col>4</xdr:col>
                    <xdr:colOff>561975</xdr:colOff>
                    <xdr:row>1</xdr:row>
                    <xdr:rowOff>142875</xdr:rowOff>
                  </to>
                </anchor>
              </controlPr>
            </control>
          </mc:Choice>
        </mc:AlternateContent>
        <mc:AlternateContent xmlns:mc="http://schemas.openxmlformats.org/markup-compatibility/2006">
          <mc:Choice Requires="x14">
            <control shapeId="81928" r:id="rId5" name="Option Button 8">
              <controlPr defaultSize="0" autoFill="0" autoLine="0" autoPict="0" macro="[0]!DoiDonViHienThi">
                <anchor moveWithCells="1">
                  <from>
                    <xdr:col>4</xdr:col>
                    <xdr:colOff>438150</xdr:colOff>
                    <xdr:row>0</xdr:row>
                    <xdr:rowOff>152400</xdr:rowOff>
                  </from>
                  <to>
                    <xdr:col>5</xdr:col>
                    <xdr:colOff>247650</xdr:colOff>
                    <xdr:row>1</xdr:row>
                    <xdr:rowOff>142875</xdr:rowOff>
                  </to>
                </anchor>
              </controlPr>
            </control>
          </mc:Choice>
        </mc:AlternateContent>
        <mc:AlternateContent xmlns:mc="http://schemas.openxmlformats.org/markup-compatibility/2006">
          <mc:Choice Requires="x14">
            <control shapeId="81929" r:id="rId6" name="Option Button 9">
              <controlPr defaultSize="0" autoFill="0" autoLine="0" autoPict="0" macro="[0]!DoiDonViHienThi">
                <anchor moveWithCells="1">
                  <from>
                    <xdr:col>5</xdr:col>
                    <xdr:colOff>133350</xdr:colOff>
                    <xdr:row>0</xdr:row>
                    <xdr:rowOff>152400</xdr:rowOff>
                  </from>
                  <to>
                    <xdr:col>5</xdr:col>
                    <xdr:colOff>485775</xdr:colOff>
                    <xdr:row>1</xdr:row>
                    <xdr:rowOff>142875</xdr:rowOff>
                  </to>
                </anchor>
              </controlPr>
            </control>
          </mc:Choice>
        </mc:AlternateContent>
        <mc:AlternateContent xmlns:mc="http://schemas.openxmlformats.org/markup-compatibility/2006">
          <mc:Choice Requires="x14">
            <control shapeId="81930" r:id="rId7" name="Group Box 10">
              <controlPr defaultSize="0" autoFill="0" autoPict="0">
                <anchor moveWithCells="1">
                  <from>
                    <xdr:col>3</xdr:col>
                    <xdr:colOff>485775</xdr:colOff>
                    <xdr:row>0</xdr:row>
                    <xdr:rowOff>104775</xdr:rowOff>
                  </from>
                  <to>
                    <xdr:col>6</xdr:col>
                    <xdr:colOff>47625</xdr:colOff>
                    <xdr:row>1</xdr:row>
                    <xdr:rowOff>180975</xdr:rowOff>
                  </to>
                </anchor>
              </controlPr>
            </control>
          </mc:Choice>
        </mc:AlternateContent>
        <mc:AlternateContent xmlns:mc="http://schemas.openxmlformats.org/markup-compatibility/2006">
          <mc:Choice Requires="x14">
            <control shapeId="81931" r:id="rId8" name="Group Box 11">
              <controlPr defaultSize="0" autoFill="0" autoPict="0">
                <anchor moveWithCells="1">
                  <from>
                    <xdr:col>2</xdr:col>
                    <xdr:colOff>57150</xdr:colOff>
                    <xdr:row>0</xdr:row>
                    <xdr:rowOff>104775</xdr:rowOff>
                  </from>
                  <to>
                    <xdr:col>3</xdr:col>
                    <xdr:colOff>438150</xdr:colOff>
                    <xdr:row>1</xdr:row>
                    <xdr:rowOff>180975</xdr:rowOff>
                  </to>
                </anchor>
              </controlPr>
            </control>
          </mc:Choice>
        </mc:AlternateContent>
        <mc:AlternateContent xmlns:mc="http://schemas.openxmlformats.org/markup-compatibility/2006">
          <mc:Choice Requires="x14">
            <control shapeId="81932" r:id="rId9" name="Button 12">
              <controlPr defaultSize="0" autoFill="0" autoPict="0" macro="[0]!NhanNghin">
                <anchor moveWithCells="1">
                  <from>
                    <xdr:col>2</xdr:col>
                    <xdr:colOff>142875</xdr:colOff>
                    <xdr:row>0</xdr:row>
                    <xdr:rowOff>200025</xdr:rowOff>
                  </from>
                  <to>
                    <xdr:col>2</xdr:col>
                    <xdr:colOff>609600</xdr:colOff>
                    <xdr:row>1</xdr:row>
                    <xdr:rowOff>85725</xdr:rowOff>
                  </to>
                </anchor>
              </controlPr>
            </control>
          </mc:Choice>
        </mc:AlternateContent>
        <mc:AlternateContent xmlns:mc="http://schemas.openxmlformats.org/markup-compatibility/2006">
          <mc:Choice Requires="x14">
            <control shapeId="81933" r:id="rId10" name="Button 13">
              <controlPr defaultSize="0" autoFill="0" autoPict="0" macro="[0]!NhanTrieu">
                <anchor moveWithCells="1">
                  <from>
                    <xdr:col>2</xdr:col>
                    <xdr:colOff>657225</xdr:colOff>
                    <xdr:row>0</xdr:row>
                    <xdr:rowOff>200025</xdr:rowOff>
                  </from>
                  <to>
                    <xdr:col>2</xdr:col>
                    <xdr:colOff>1123950</xdr:colOff>
                    <xdr:row>1</xdr:row>
                    <xdr:rowOff>85725</xdr:rowOff>
                  </to>
                </anchor>
              </controlPr>
            </control>
          </mc:Choice>
        </mc:AlternateContent>
        <mc:AlternateContent xmlns:mc="http://schemas.openxmlformats.org/markup-compatibility/2006">
          <mc:Choice Requires="x14">
            <control shapeId="81934" r:id="rId11" name="Button 14">
              <controlPr defaultSize="0" autoFill="0" autoPict="0" macro="[0]!NhanTy">
                <anchor moveWithCells="1">
                  <from>
                    <xdr:col>2</xdr:col>
                    <xdr:colOff>1171575</xdr:colOff>
                    <xdr:row>0</xdr:row>
                    <xdr:rowOff>200025</xdr:rowOff>
                  </from>
                  <to>
                    <xdr:col>3</xdr:col>
                    <xdr:colOff>361950</xdr:colOff>
                    <xdr:row>1</xdr:row>
                    <xdr:rowOff>85725</xdr:rowOff>
                  </to>
                </anchor>
              </controlPr>
            </control>
          </mc:Choice>
        </mc:AlternateContent>
        <mc:AlternateContent xmlns:mc="http://schemas.openxmlformats.org/markup-compatibility/2006">
          <mc:Choice Requires="x14">
            <control shapeId="81935" r:id="rId12" name="Button 15">
              <controlPr defaultSize="0" print="0" autoFill="0" autoPict="0" macro="[0]!AddRow">
                <anchor moveWithCells="1">
                  <from>
                    <xdr:col>8</xdr:col>
                    <xdr:colOff>47625</xdr:colOff>
                    <xdr:row>0</xdr:row>
                    <xdr:rowOff>142875</xdr:rowOff>
                  </from>
                  <to>
                    <xdr:col>8</xdr:col>
                    <xdr:colOff>523875</xdr:colOff>
                    <xdr:row>1</xdr:row>
                    <xdr:rowOff>114300</xdr:rowOff>
                  </to>
                </anchor>
              </controlPr>
            </control>
          </mc:Choice>
        </mc:AlternateContent>
        <mc:AlternateContent xmlns:mc="http://schemas.openxmlformats.org/markup-compatibility/2006">
          <mc:Choice Requires="x14">
            <control shapeId="81936" r:id="rId13" name="Button 16">
              <controlPr defaultSize="0" print="0" autoFill="0" autoPict="0" macro="[0]!DeleteRow">
                <anchor moveWithCells="1">
                  <from>
                    <xdr:col>8</xdr:col>
                    <xdr:colOff>561975</xdr:colOff>
                    <xdr:row>0</xdr:row>
                    <xdr:rowOff>142875</xdr:rowOff>
                  </from>
                  <to>
                    <xdr:col>8</xdr:col>
                    <xdr:colOff>1038225</xdr:colOff>
                    <xdr:row>1</xdr:row>
                    <xdr:rowOff>114300</xdr:rowOff>
                  </to>
                </anchor>
              </controlPr>
            </control>
          </mc:Choice>
        </mc:AlternateContent>
        <mc:AlternateContent xmlns:mc="http://schemas.openxmlformats.org/markup-compatibility/2006">
          <mc:Choice Requires="x14">
            <control shapeId="81937" r:id="rId14" name="Button 17">
              <controlPr defaultSize="0" print="0" autoFill="0" autoPict="0" macro="[0]!AddColumn">
                <anchor moveWithCells="1">
                  <from>
                    <xdr:col>10</xdr:col>
                    <xdr:colOff>28575</xdr:colOff>
                    <xdr:row>0</xdr:row>
                    <xdr:rowOff>133350</xdr:rowOff>
                  </from>
                  <to>
                    <xdr:col>10</xdr:col>
                    <xdr:colOff>542925</xdr:colOff>
                    <xdr:row>1</xdr:row>
                    <xdr:rowOff>104775</xdr:rowOff>
                  </to>
                </anchor>
              </controlPr>
            </control>
          </mc:Choice>
        </mc:AlternateContent>
        <mc:AlternateContent xmlns:mc="http://schemas.openxmlformats.org/markup-compatibility/2006">
          <mc:Choice Requires="x14">
            <control shapeId="81938" r:id="rId15" name="Button 18">
              <controlPr defaultSize="0" print="0" autoFill="0" autoPict="0" macro="[0]!DeleteColumn">
                <anchor moveWithCells="1">
                  <from>
                    <xdr:col>10</xdr:col>
                    <xdr:colOff>581025</xdr:colOff>
                    <xdr:row>0</xdr:row>
                    <xdr:rowOff>133350</xdr:rowOff>
                  </from>
                  <to>
                    <xdr:col>11</xdr:col>
                    <xdr:colOff>438150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5" id="{3065E1D8-6941-45D1-AC0B-7D9AF467CE73}">
            <xm:f>Security!$A$1="NO VBA"</xm:f>
            <x14:dxf>
              <font>
                <color theme="0"/>
              </font>
              <border>
                <vertical/>
                <horizontal/>
              </border>
            </x14:dxf>
          </x14:cfRule>
          <xm:sqref>K8:XFD8 O3:XFD7 B3:K7 B8:G10 I9:XFD10 A1:XFD2 A11:XFD1048576</xm:sqref>
        </x14:conditionalFormatting>
        <x14:conditionalFormatting xmlns:xm="http://schemas.microsoft.com/office/excel/2006/main">
          <x14:cfRule type="expression" priority="4" id="{2F496CE8-B0C5-4844-A7A0-05DA73DC4D2A}">
            <xm:f>Security!$A$1="NO VBA"</xm:f>
            <x14:dxf>
              <font>
                <color theme="0"/>
              </font>
              <border>
                <vertical/>
                <horizontal/>
              </border>
            </x14:dxf>
          </x14:cfRule>
          <xm:sqref>J8</xm:sqref>
        </x14:conditionalFormatting>
        <x14:conditionalFormatting xmlns:xm="http://schemas.microsoft.com/office/excel/2006/main">
          <x14:cfRule type="expression" priority="3" id="{228249CE-9801-4C84-B34F-A66B78FE14BC}">
            <xm:f>Security!$A$1="NO VBA"</xm:f>
            <x14:dxf>
              <font>
                <color theme="0"/>
              </font>
              <border>
                <vertical/>
                <horizontal/>
              </border>
            </x14:dxf>
          </x14:cfRule>
          <xm:sqref>H8</xm:sqref>
        </x14:conditionalFormatting>
        <x14:conditionalFormatting xmlns:xm="http://schemas.microsoft.com/office/excel/2006/main">
          <x14:cfRule type="expression" priority="2" id="{5522DA2F-57BE-489C-84F7-1BC234A4443F}">
            <xm:f>Security!$A$1="NO VBA"</xm:f>
            <x14:dxf>
              <font>
                <color theme="0"/>
              </font>
              <border>
                <vertical/>
                <horizontal/>
              </border>
            </x14:dxf>
          </x14:cfRule>
          <xm:sqref>H9:H10</xm:sqref>
        </x14:conditionalFormatting>
        <x14:conditionalFormatting xmlns:xm="http://schemas.microsoft.com/office/excel/2006/main">
          <x14:cfRule type="expression" priority="1" id="{8C62B7D1-5B0F-4C59-B65C-92E75ABBBEBF}">
            <xm:f>Security!$A$1="NO VBA"</xm:f>
            <x14:dxf>
              <font>
                <color theme="0"/>
              </font>
              <border>
                <vertical/>
                <horizontal/>
              </border>
            </x14:dxf>
          </x14:cfRule>
          <xm:sqref>I8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C235-EEC8-4973-9916-F242F66F018C}">
  <sheetPr codeName="Sheet42">
    <tabColor theme="4"/>
  </sheetPr>
  <dimension ref="A1:Q6"/>
  <sheetViews>
    <sheetView showGridLines="0" topLeftCell="F1" workbookViewId="0">
      <selection activeCell="P30" sqref="P30"/>
    </sheetView>
  </sheetViews>
  <sheetFormatPr defaultRowHeight="18" customHeight="1" outlineLevelRow="1" x14ac:dyDescent="0.3"/>
  <cols>
    <col min="1" max="1" width="9.625" style="40" customWidth="1"/>
    <col min="2" max="2" width="14.5" style="40" bestFit="1" customWidth="1"/>
    <col min="3" max="3" width="12" style="40" bestFit="1" customWidth="1"/>
    <col min="4" max="4" width="19.125" style="40" bestFit="1" customWidth="1"/>
    <col min="5" max="5" width="8.875" style="40" customWidth="1"/>
    <col min="6" max="6" width="7.875" style="40" customWidth="1"/>
    <col min="7" max="7" width="10" style="40" customWidth="1"/>
    <col min="8" max="8" width="9.375" style="40" bestFit="1" customWidth="1"/>
    <col min="9" max="9" width="8.875" style="40" bestFit="1" customWidth="1"/>
    <col min="10" max="10" width="13.25" style="40" bestFit="1" customWidth="1"/>
    <col min="11" max="12" width="13.25" style="40" customWidth="1"/>
    <col min="13" max="13" width="17.875" style="40" customWidth="1"/>
    <col min="14" max="14" width="6.75" style="40" bestFit="1" customWidth="1"/>
    <col min="15" max="16384" width="9" style="40"/>
  </cols>
  <sheetData>
    <row r="1" spans="1:17" s="308" customFormat="1" ht="22.5" customHeight="1" x14ac:dyDescent="0.3">
      <c r="A1" s="307">
        <v>0</v>
      </c>
      <c r="B1" s="307">
        <f>+A1+1</f>
        <v>1</v>
      </c>
      <c r="C1" s="307">
        <f t="shared" ref="C1:H1" si="0">+B1+1</f>
        <v>2</v>
      </c>
      <c r="D1" s="307">
        <f t="shared" si="0"/>
        <v>3</v>
      </c>
      <c r="E1" s="307">
        <f t="shared" si="0"/>
        <v>4</v>
      </c>
      <c r="F1" s="307">
        <f t="shared" si="0"/>
        <v>5</v>
      </c>
      <c r="G1" s="307">
        <f t="shared" si="0"/>
        <v>6</v>
      </c>
      <c r="H1" s="307">
        <f t="shared" si="0"/>
        <v>7</v>
      </c>
      <c r="I1" s="307">
        <f>+H1+1</f>
        <v>8</v>
      </c>
      <c r="J1" s="307">
        <f>+I1+1</f>
        <v>9</v>
      </c>
      <c r="K1" s="307">
        <f>+J1+1</f>
        <v>10</v>
      </c>
      <c r="L1" s="307">
        <f>+K1+1</f>
        <v>11</v>
      </c>
      <c r="M1" s="307">
        <f>+L1+1</f>
        <v>12</v>
      </c>
      <c r="N1" s="307"/>
      <c r="O1" s="307"/>
      <c r="P1" s="307"/>
      <c r="Q1" s="307"/>
    </row>
    <row r="2" spans="1:17" s="112" customFormat="1" ht="18" customHeight="1" x14ac:dyDescent="0.3">
      <c r="A2" s="270"/>
      <c r="B2" s="270"/>
      <c r="C2" s="270"/>
      <c r="D2" s="270"/>
      <c r="E2" s="270"/>
      <c r="F2" s="270"/>
      <c r="G2" s="270"/>
      <c r="H2" s="270"/>
      <c r="I2" s="270"/>
      <c r="J2" s="270"/>
      <c r="K2" s="270"/>
      <c r="L2" s="270"/>
      <c r="M2" s="270"/>
      <c r="N2" s="270"/>
      <c r="O2" s="270"/>
      <c r="P2" s="270"/>
      <c r="Q2" s="270"/>
    </row>
    <row r="3" spans="1:17" s="112" customFormat="1" ht="18" hidden="1" customHeight="1" outlineLevel="1" x14ac:dyDescent="0.3">
      <c r="A3" s="270"/>
      <c r="B3" s="270"/>
      <c r="C3" s="270"/>
      <c r="D3" s="270"/>
      <c r="E3" s="270"/>
      <c r="F3" s="270"/>
      <c r="G3" s="270"/>
      <c r="H3" s="270"/>
      <c r="I3" s="270"/>
      <c r="J3" s="270"/>
      <c r="K3" s="270"/>
      <c r="L3" s="270"/>
      <c r="M3" s="270"/>
      <c r="N3" s="270"/>
      <c r="O3" s="270"/>
      <c r="P3" s="112" t="s">
        <v>566</v>
      </c>
      <c r="Q3" s="112" t="str" cm="1">
        <f t="array" ref="Q3">TRANSPOSE(_xlfn._xlws.SORT(_xlfn._xlws.FILTER(Table_ChuongTrinh[Mã Chương trình],Table_ChuongTrinh[Đối tượng CK]=P3,"")))</f>
        <v/>
      </c>
    </row>
    <row r="4" spans="1:17" s="112" customFormat="1" ht="18" hidden="1" customHeight="1" outlineLevel="1" x14ac:dyDescent="0.3">
      <c r="A4" s="270"/>
      <c r="B4" s="270"/>
      <c r="C4" s="270"/>
      <c r="D4" s="270"/>
      <c r="E4" s="270"/>
      <c r="F4" s="270"/>
      <c r="G4" s="270"/>
      <c r="H4" s="270"/>
      <c r="I4" s="270"/>
      <c r="J4" s="270"/>
      <c r="K4" s="270"/>
      <c r="L4" s="270"/>
      <c r="M4" s="270"/>
      <c r="N4" s="270"/>
      <c r="O4" s="270"/>
      <c r="P4" s="112" t="s">
        <v>538</v>
      </c>
      <c r="Q4" s="112" t="str" cm="1">
        <f t="array" ref="Q4">TRANSPOSE(_xlfn._xlws.SORT(_xlfn._xlws.FILTER(Table_ChuongTrinh[Mã Chương trình],Table_ChuongTrinh[Đối tượng CK]=P4,"")))</f>
        <v/>
      </c>
    </row>
    <row r="5" spans="1:17" s="170" customFormat="1" ht="18" customHeight="1" collapsed="1" x14ac:dyDescent="0.3">
      <c r="A5" s="250"/>
      <c r="B5" s="112" t="s">
        <v>851</v>
      </c>
      <c r="C5" s="112" t="s">
        <v>852</v>
      </c>
      <c r="D5" s="112" t="s">
        <v>853</v>
      </c>
      <c r="E5" s="112" t="s">
        <v>250</v>
      </c>
      <c r="F5" s="112" t="s">
        <v>251</v>
      </c>
      <c r="G5" s="112" t="s">
        <v>685</v>
      </c>
      <c r="H5" s="112" t="s">
        <v>686</v>
      </c>
      <c r="I5" s="112" t="s">
        <v>30</v>
      </c>
      <c r="J5" s="112" t="s">
        <v>854</v>
      </c>
      <c r="K5" s="112" t="s">
        <v>919</v>
      </c>
      <c r="L5" s="112" t="s">
        <v>190</v>
      </c>
      <c r="M5" s="112" t="s">
        <v>133</v>
      </c>
      <c r="N5" s="7" t="s">
        <v>873</v>
      </c>
      <c r="O5" s="250"/>
      <c r="P5" s="250"/>
      <c r="Q5" s="250"/>
    </row>
    <row r="6" spans="1:17" ht="18" customHeight="1" x14ac:dyDescent="0.3">
      <c r="A6" s="271"/>
      <c r="B6" s="240" t="s">
        <v>997</v>
      </c>
      <c r="C6" s="240"/>
      <c r="D6" s="240"/>
      <c r="E6" s="337"/>
      <c r="F6" s="337"/>
      <c r="G6" s="31"/>
      <c r="H6" s="15"/>
      <c r="I6" s="15"/>
      <c r="J6" s="15"/>
      <c r="K6" s="15"/>
      <c r="L6" s="15"/>
      <c r="M6" s="15"/>
      <c r="N6" s="240"/>
      <c r="O6" s="271"/>
      <c r="P6" s="271"/>
      <c r="Q6" s="271"/>
    </row>
  </sheetData>
  <sheetProtection algorithmName="SHA-512" hashValue="AkZlvO4XDb2AWmfp5LhlPB4iu7yICTP+ZBbk+SF+PjsWwhmSrPVtkSRS5I/0sZKi5+GLhMkVwiCDduNjU+Cl+g==" saltValue="bjahmM+2Eh0vmYQ+xmEFHg==" spinCount="100000" sheet="1" scenarios="1" formatCells="0" formatColumns="0" formatRows="0" insertColumns="0" insertRows="0" deleteColumns="0" deleteRows="0" sort="0" autoFilter="0" pivotTables="0"/>
  <protectedRanges>
    <protectedRange sqref="A1:XFD1048576" name="Range1"/>
  </protectedRanges>
  <phoneticPr fontId="14" type="noConversion"/>
  <dataValidations count="2">
    <dataValidation type="list" allowBlank="1" showInputMessage="1" showErrorMessage="1" sqref="C6" xr:uid="{35F4E917-341C-45E4-9862-0356BC9C2F7C}">
      <formula1>"Sản phẩm, Đơn hàng"</formula1>
    </dataValidation>
    <dataValidation type="list" allowBlank="1" showInputMessage="1" showErrorMessage="1" sqref="K6" xr:uid="{E09E3D3B-DDB7-4684-A6C9-90A82D6687F6}">
      <formula1>"Ngày sinh, Tháng sinh"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9" r:id="rId3" name="Option Button 15">
              <controlPr defaultSize="0" autoFill="0" autoLine="0" autoPict="0" macro="[0]!DoiDonViHienThi">
                <anchor moveWithCells="1">
                  <from>
                    <xdr:col>2</xdr:col>
                    <xdr:colOff>771525</xdr:colOff>
                    <xdr:row>0</xdr:row>
                    <xdr:rowOff>152400</xdr:rowOff>
                  </from>
                  <to>
                    <xdr:col>3</xdr:col>
                    <xdr:colOff>447675</xdr:colOff>
                    <xdr:row>1</xdr:row>
                    <xdr:rowOff>142875</xdr:rowOff>
                  </to>
                </anchor>
              </controlPr>
            </control>
          </mc:Choice>
        </mc:AlternateContent>
        <mc:AlternateContent xmlns:mc="http://schemas.openxmlformats.org/markup-compatibility/2006">
          <mc:Choice Requires="x14">
            <control shapeId="88080" r:id="rId4" name="Option Button 16">
              <controlPr defaultSize="0" autoFill="0" autoLine="0" autoPict="0" macro="[0]!DoiDonViHienThi">
                <anchor moveWithCells="1">
                  <from>
                    <xdr:col>3</xdr:col>
                    <xdr:colOff>323850</xdr:colOff>
                    <xdr:row>0</xdr:row>
                    <xdr:rowOff>152400</xdr:rowOff>
                  </from>
                  <to>
                    <xdr:col>3</xdr:col>
                    <xdr:colOff>914400</xdr:colOff>
                    <xdr:row>1</xdr:row>
                    <xdr:rowOff>142875</xdr:rowOff>
                  </to>
                </anchor>
              </controlPr>
            </control>
          </mc:Choice>
        </mc:AlternateContent>
        <mc:AlternateContent xmlns:mc="http://schemas.openxmlformats.org/markup-compatibility/2006">
          <mc:Choice Requires="x14">
            <control shapeId="88081" r:id="rId5" name="Option Button 17">
              <controlPr defaultSize="0" autoFill="0" autoLine="0" autoPict="0" macro="[0]!DoiDonViHienThi">
                <anchor moveWithCells="1">
                  <from>
                    <xdr:col>3</xdr:col>
                    <xdr:colOff>790575</xdr:colOff>
                    <xdr:row>0</xdr:row>
                    <xdr:rowOff>152400</xdr:rowOff>
                  </from>
                  <to>
                    <xdr:col>3</xdr:col>
                    <xdr:colOff>1381125</xdr:colOff>
                    <xdr:row>1</xdr:row>
                    <xdr:rowOff>142875</xdr:rowOff>
                  </to>
                </anchor>
              </controlPr>
            </control>
          </mc:Choice>
        </mc:AlternateContent>
        <mc:AlternateContent xmlns:mc="http://schemas.openxmlformats.org/markup-compatibility/2006">
          <mc:Choice Requires="x14">
            <control shapeId="88082" r:id="rId6" name="Option Button 18">
              <controlPr defaultSize="0" autoFill="0" autoLine="0" autoPict="0" macro="[0]!DoiDonViHienThi">
                <anchor moveWithCells="1">
                  <from>
                    <xdr:col>3</xdr:col>
                    <xdr:colOff>1266825</xdr:colOff>
                    <xdr:row>0</xdr:row>
                    <xdr:rowOff>152400</xdr:rowOff>
                  </from>
                  <to>
                    <xdr:col>4</xdr:col>
                    <xdr:colOff>161925</xdr:colOff>
                    <xdr:row>1</xdr:row>
                    <xdr:rowOff>142875</xdr:rowOff>
                  </to>
                </anchor>
              </controlPr>
            </control>
          </mc:Choice>
        </mc:AlternateContent>
        <mc:AlternateContent xmlns:mc="http://schemas.openxmlformats.org/markup-compatibility/2006">
          <mc:Choice Requires="x14">
            <control shapeId="88083" r:id="rId7" name="Group Box 19">
              <controlPr defaultSize="0" autoFill="0" autoPict="0">
                <anchor moveWithCells="1">
                  <from>
                    <xdr:col>2</xdr:col>
                    <xdr:colOff>657225</xdr:colOff>
                    <xdr:row>0</xdr:row>
                    <xdr:rowOff>104775</xdr:rowOff>
                  </from>
                  <to>
                    <xdr:col>4</xdr:col>
                    <xdr:colOff>276225</xdr:colOff>
                    <xdr:row>1</xdr:row>
                    <xdr:rowOff>180975</xdr:rowOff>
                  </to>
                </anchor>
              </controlPr>
            </control>
          </mc:Choice>
        </mc:AlternateContent>
        <mc:AlternateContent xmlns:mc="http://schemas.openxmlformats.org/markup-compatibility/2006">
          <mc:Choice Requires="x14">
            <control shapeId="88084" r:id="rId8" name="Group Box 20">
              <controlPr defaultSize="0" autoFill="0" autoPict="0">
                <anchor moveWithCells="1">
                  <from>
                    <xdr:col>1</xdr:col>
                    <xdr:colOff>57150</xdr:colOff>
                    <xdr:row>0</xdr:row>
                    <xdr:rowOff>104775</xdr:rowOff>
                  </from>
                  <to>
                    <xdr:col>2</xdr:col>
                    <xdr:colOff>609600</xdr:colOff>
                    <xdr:row>1</xdr:row>
                    <xdr:rowOff>180975</xdr:rowOff>
                  </to>
                </anchor>
              </controlPr>
            </control>
          </mc:Choice>
        </mc:AlternateContent>
        <mc:AlternateContent xmlns:mc="http://schemas.openxmlformats.org/markup-compatibility/2006">
          <mc:Choice Requires="x14">
            <control shapeId="88085" r:id="rId9" name="Button 21">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8086" r:id="rId10" name="Button 22">
              <controlPr defaultSize="0" autoFill="0" autoPict="0" macro="[0]!NhanTrieu">
                <anchor moveWithCells="1">
                  <from>
                    <xdr:col>1</xdr:col>
                    <xdr:colOff>657225</xdr:colOff>
                    <xdr:row>0</xdr:row>
                    <xdr:rowOff>200025</xdr:rowOff>
                  </from>
                  <to>
                    <xdr:col>2</xdr:col>
                    <xdr:colOff>19050</xdr:colOff>
                    <xdr:row>1</xdr:row>
                    <xdr:rowOff>85725</xdr:rowOff>
                  </to>
                </anchor>
              </controlPr>
            </control>
          </mc:Choice>
        </mc:AlternateContent>
        <mc:AlternateContent xmlns:mc="http://schemas.openxmlformats.org/markup-compatibility/2006">
          <mc:Choice Requires="x14">
            <control shapeId="88087" r:id="rId11" name="Button 23">
              <controlPr defaultSize="0" autoFill="0" autoPict="0" macro="[0]!NhanTy">
                <anchor moveWithCells="1">
                  <from>
                    <xdr:col>2</xdr:col>
                    <xdr:colOff>66675</xdr:colOff>
                    <xdr:row>0</xdr:row>
                    <xdr:rowOff>200025</xdr:rowOff>
                  </from>
                  <to>
                    <xdr:col>2</xdr:col>
                    <xdr:colOff>533400</xdr:colOff>
                    <xdr:row>1</xdr:row>
                    <xdr:rowOff>85725</xdr:rowOff>
                  </to>
                </anchor>
              </controlPr>
            </control>
          </mc:Choice>
        </mc:AlternateContent>
        <mc:AlternateContent xmlns:mc="http://schemas.openxmlformats.org/markup-compatibility/2006">
          <mc:Choice Requires="x14">
            <control shapeId="88088" r:id="rId12" name="Button 24">
              <controlPr defaultSize="0" print="0" autoFill="0" autoPict="0" macro="[0]!AddRow">
                <anchor moveWithCells="1">
                  <from>
                    <xdr:col>5</xdr:col>
                    <xdr:colOff>28575</xdr:colOff>
                    <xdr:row>0</xdr:row>
                    <xdr:rowOff>133350</xdr:rowOff>
                  </from>
                  <to>
                    <xdr:col>5</xdr:col>
                    <xdr:colOff>504825</xdr:colOff>
                    <xdr:row>1</xdr:row>
                    <xdr:rowOff>104775</xdr:rowOff>
                  </to>
                </anchor>
              </controlPr>
            </control>
          </mc:Choice>
        </mc:AlternateContent>
        <mc:AlternateContent xmlns:mc="http://schemas.openxmlformats.org/markup-compatibility/2006">
          <mc:Choice Requires="x14">
            <control shapeId="88089" r:id="rId13" name="Button 25">
              <controlPr defaultSize="0" print="0" autoFill="0" autoPict="0" macro="[0]!DeleteRow">
                <anchor moveWithCells="1">
                  <from>
                    <xdr:col>6</xdr:col>
                    <xdr:colOff>57150</xdr:colOff>
                    <xdr:row>0</xdr:row>
                    <xdr:rowOff>133350</xdr:rowOff>
                  </from>
                  <to>
                    <xdr:col>6</xdr:col>
                    <xdr:colOff>533400</xdr:colOff>
                    <xdr:row>1</xdr:row>
                    <xdr:rowOff>104775</xdr:rowOff>
                  </to>
                </anchor>
              </controlPr>
            </control>
          </mc:Choice>
        </mc:AlternateContent>
        <mc:AlternateContent xmlns:mc="http://schemas.openxmlformats.org/markup-compatibility/2006">
          <mc:Choice Requires="x14">
            <control shapeId="88090" r:id="rId14" name="Button 26">
              <controlPr defaultSize="0" print="0" autoFill="0" autoPict="0" macro="[0]!AddColumn">
                <anchor moveWithCells="1">
                  <from>
                    <xdr:col>12</xdr:col>
                    <xdr:colOff>66675</xdr:colOff>
                    <xdr:row>0</xdr:row>
                    <xdr:rowOff>133350</xdr:rowOff>
                  </from>
                  <to>
                    <xdr:col>12</xdr:col>
                    <xdr:colOff>581025</xdr:colOff>
                    <xdr:row>1</xdr:row>
                    <xdr:rowOff>104775</xdr:rowOff>
                  </to>
                </anchor>
              </controlPr>
            </control>
          </mc:Choice>
        </mc:AlternateContent>
        <mc:AlternateContent xmlns:mc="http://schemas.openxmlformats.org/markup-compatibility/2006">
          <mc:Choice Requires="x14">
            <control shapeId="88091" r:id="rId15" name="Button 27">
              <controlPr defaultSize="0" print="0" autoFill="0" autoPict="0" macro="[0]!DeleteColumn">
                <anchor moveWithCells="1">
                  <from>
                    <xdr:col>12</xdr:col>
                    <xdr:colOff>619125</xdr:colOff>
                    <xdr:row>0</xdr:row>
                    <xdr:rowOff>133350</xdr:rowOff>
                  </from>
                  <to>
                    <xdr:col>12</xdr:col>
                    <xdr:colOff>1162050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E5151590-4705-4422-834F-5FB2054AE587}">
            <xm:f>Security!$A$1="NO VBA"</xm:f>
            <x14:dxf>
              <font>
                <color theme="0"/>
              </font>
              <border>
                <vertical/>
                <horizontal/>
              </border>
            </x14:dxf>
          </x14:cfRule>
          <xm:sqref>A1:XFD1048576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A2E3-545E-409E-8980-81AAB89B4968}">
  <sheetPr codeName="Sheet6">
    <tabColor theme="4"/>
  </sheetPr>
  <dimension ref="A1:G5"/>
  <sheetViews>
    <sheetView showGridLines="0" workbookViewId="0">
      <selection activeCell="I11" sqref="A11:I12"/>
    </sheetView>
  </sheetViews>
  <sheetFormatPr defaultRowHeight="16.5" x14ac:dyDescent="0.3"/>
  <cols>
    <col min="1" max="1" width="14.375" style="40" customWidth="1"/>
    <col min="2" max="2" width="9" style="40"/>
    <col min="3" max="3" width="11.5" style="40" customWidth="1"/>
    <col min="4" max="4" width="15.125" style="40" customWidth="1"/>
    <col min="5" max="5" width="10.5" style="40" customWidth="1"/>
    <col min="6" max="7" width="10.125" style="40" customWidth="1"/>
    <col min="8" max="16384" width="9" style="40"/>
  </cols>
  <sheetData>
    <row r="1" spans="1:7" ht="17.25" customHeight="1" x14ac:dyDescent="0.3"/>
    <row r="3" spans="1:7" s="320" customFormat="1" x14ac:dyDescent="0.3">
      <c r="A3" s="299">
        <v>0</v>
      </c>
      <c r="B3" s="299">
        <v>1</v>
      </c>
      <c r="C3" s="299">
        <v>2</v>
      </c>
      <c r="D3" s="299">
        <v>3</v>
      </c>
      <c r="E3" s="299">
        <v>4</v>
      </c>
      <c r="F3" s="299">
        <v>5</v>
      </c>
      <c r="G3" s="299"/>
    </row>
    <row r="4" spans="1:7" x14ac:dyDescent="0.3">
      <c r="A4" s="271"/>
      <c r="B4" s="7" t="s">
        <v>47</v>
      </c>
      <c r="C4" s="7" t="s">
        <v>876</v>
      </c>
      <c r="D4" s="7" t="s">
        <v>875</v>
      </c>
      <c r="E4" s="7" t="s">
        <v>34</v>
      </c>
      <c r="F4" s="7" t="s">
        <v>156</v>
      </c>
      <c r="G4" s="7" t="s">
        <v>873</v>
      </c>
    </row>
    <row r="5" spans="1:7" x14ac:dyDescent="0.3">
      <c r="A5" s="271"/>
      <c r="B5" s="240"/>
      <c r="C5" s="240"/>
      <c r="D5" s="240"/>
      <c r="E5" s="240"/>
      <c r="F5" s="45"/>
      <c r="G5" s="240"/>
    </row>
  </sheetData>
  <sheetProtection algorithmName="SHA-512" hashValue="PG34H2u7jmxY9QUXli5Wlf3KZu5UwFf6NkE28YMHzZ/gJrxMNIsBtx7aMjmpy9UCz/DhFQqSC6da9eKOGrjeDw==" saltValue="Io/Vtfg3lCPiqHT+/jIXkg==" spinCount="100000" sheet="1" scenarios="1" formatCells="0" formatColumns="0" formatRows="0" insertColumns="0" insertRows="0" deleteColumns="0" deleteRows="0" sort="0" autoFilter="0" pivotTables="0"/>
  <protectedRanges>
    <protectedRange sqref="G4" name="Range1_1"/>
  </protectedRanges>
  <dataValidations count="4">
    <dataValidation type="list" allowBlank="1" showInputMessage="1" sqref="B5" xr:uid="{07BCBC81-291D-4158-822B-F2A26E1A1DB5}">
      <formula1>Ma_SKU</formula1>
    </dataValidation>
    <dataValidation type="list" allowBlank="1" showInputMessage="1" showErrorMessage="1" sqref="C5" xr:uid="{B69E03EB-0F49-43E6-99CB-05855184E786}">
      <formula1>"Nhân viên, Kênh"</formula1>
    </dataValidation>
    <dataValidation type="list" allowBlank="1" showInputMessage="1" sqref="D5" xr:uid="{96210223-25D4-4C45-857E-584CCC429489}">
      <formula1>MaNhanVien</formula1>
    </dataValidation>
    <dataValidation type="list" allowBlank="1" showInputMessage="1" sqref="E5" xr:uid="{23B712E3-00A5-4E31-BFDD-38912450BAE6}">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6" r:id="rId3" name="Option Button 6">
              <controlPr defaultSize="0" autoFill="0" autoLine="0" autoPict="0" macro="[0]!DoiDonViHienThi">
                <anchor moveWithCells="1">
                  <from>
                    <xdr:col>3</xdr:col>
                    <xdr:colOff>361950</xdr:colOff>
                    <xdr:row>0</xdr:row>
                    <xdr:rowOff>152400</xdr:rowOff>
                  </from>
                  <to>
                    <xdr:col>3</xdr:col>
                    <xdr:colOff>952500</xdr:colOff>
                    <xdr:row>1</xdr:row>
                    <xdr:rowOff>209550</xdr:rowOff>
                  </to>
                </anchor>
              </controlPr>
            </control>
          </mc:Choice>
        </mc:AlternateContent>
        <mc:AlternateContent xmlns:mc="http://schemas.openxmlformats.org/markup-compatibility/2006">
          <mc:Choice Requires="x14">
            <control shapeId="87047" r:id="rId4" name="Option Button 7">
              <controlPr defaultSize="0" autoFill="0" autoLine="0" autoPict="0" macro="[0]!DoiDonViHienThi">
                <anchor moveWithCells="1">
                  <from>
                    <xdr:col>3</xdr:col>
                    <xdr:colOff>828675</xdr:colOff>
                    <xdr:row>0</xdr:row>
                    <xdr:rowOff>152400</xdr:rowOff>
                  </from>
                  <to>
                    <xdr:col>4</xdr:col>
                    <xdr:colOff>266700</xdr:colOff>
                    <xdr:row>1</xdr:row>
                    <xdr:rowOff>209550</xdr:rowOff>
                  </to>
                </anchor>
              </controlPr>
            </control>
          </mc:Choice>
        </mc:AlternateContent>
        <mc:AlternateContent xmlns:mc="http://schemas.openxmlformats.org/markup-compatibility/2006">
          <mc:Choice Requires="x14">
            <control shapeId="87048" r:id="rId5" name="Option Button 8">
              <controlPr defaultSize="0" autoFill="0" autoLine="0" autoPict="0" macro="[0]!DoiDonViHienThi">
                <anchor moveWithCells="1">
                  <from>
                    <xdr:col>4</xdr:col>
                    <xdr:colOff>142875</xdr:colOff>
                    <xdr:row>0</xdr:row>
                    <xdr:rowOff>152400</xdr:rowOff>
                  </from>
                  <to>
                    <xdr:col>4</xdr:col>
                    <xdr:colOff>733425</xdr:colOff>
                    <xdr:row>1</xdr:row>
                    <xdr:rowOff>209550</xdr:rowOff>
                  </to>
                </anchor>
              </controlPr>
            </control>
          </mc:Choice>
        </mc:AlternateContent>
        <mc:AlternateContent xmlns:mc="http://schemas.openxmlformats.org/markup-compatibility/2006">
          <mc:Choice Requires="x14">
            <control shapeId="87049" r:id="rId6" name="Option Button 9">
              <controlPr defaultSize="0" autoFill="0" autoLine="0" autoPict="0" macro="[0]!DoiDonViHienThi">
                <anchor moveWithCells="1">
                  <from>
                    <xdr:col>4</xdr:col>
                    <xdr:colOff>619125</xdr:colOff>
                    <xdr:row>0</xdr:row>
                    <xdr:rowOff>152400</xdr:rowOff>
                  </from>
                  <to>
                    <xdr:col>5</xdr:col>
                    <xdr:colOff>171450</xdr:colOff>
                    <xdr:row>1</xdr:row>
                    <xdr:rowOff>209550</xdr:rowOff>
                  </to>
                </anchor>
              </controlPr>
            </control>
          </mc:Choice>
        </mc:AlternateContent>
        <mc:AlternateContent xmlns:mc="http://schemas.openxmlformats.org/markup-compatibility/2006">
          <mc:Choice Requires="x14">
            <control shapeId="87050" r:id="rId7" name="Group Box 10">
              <controlPr defaultSize="0" autoFill="0" autoPict="0">
                <anchor moveWithCells="1">
                  <from>
                    <xdr:col>3</xdr:col>
                    <xdr:colOff>247650</xdr:colOff>
                    <xdr:row>0</xdr:row>
                    <xdr:rowOff>104775</xdr:rowOff>
                  </from>
                  <to>
                    <xdr:col>5</xdr:col>
                    <xdr:colOff>285750</xdr:colOff>
                    <xdr:row>2</xdr:row>
                    <xdr:rowOff>38100</xdr:rowOff>
                  </to>
                </anchor>
              </controlPr>
            </control>
          </mc:Choice>
        </mc:AlternateContent>
        <mc:AlternateContent xmlns:mc="http://schemas.openxmlformats.org/markup-compatibility/2006">
          <mc:Choice Requires="x14">
            <control shapeId="87051" r:id="rId8" name="Group Box 11">
              <controlPr defaultSize="0" autoFill="0" autoPict="0">
                <anchor moveWithCells="1">
                  <from>
                    <xdr:col>1</xdr:col>
                    <xdr:colOff>104775</xdr:colOff>
                    <xdr:row>0</xdr:row>
                    <xdr:rowOff>104775</xdr:rowOff>
                  </from>
                  <to>
                    <xdr:col>3</xdr:col>
                    <xdr:colOff>200025</xdr:colOff>
                    <xdr:row>2</xdr:row>
                    <xdr:rowOff>38100</xdr:rowOff>
                  </to>
                </anchor>
              </controlPr>
            </control>
          </mc:Choice>
        </mc:AlternateContent>
        <mc:AlternateContent xmlns:mc="http://schemas.openxmlformats.org/markup-compatibility/2006">
          <mc:Choice Requires="x14">
            <control shapeId="87052" r:id="rId9" name="Button 12">
              <controlPr defaultSize="0" autoFill="0" autoPict="0" macro="[0]!NhanNghin">
                <anchor moveWithCells="1">
                  <from>
                    <xdr:col>1</xdr:col>
                    <xdr:colOff>190500</xdr:colOff>
                    <xdr:row>0</xdr:row>
                    <xdr:rowOff>200025</xdr:rowOff>
                  </from>
                  <to>
                    <xdr:col>1</xdr:col>
                    <xdr:colOff>657225</xdr:colOff>
                    <xdr:row>1</xdr:row>
                    <xdr:rowOff>152400</xdr:rowOff>
                  </to>
                </anchor>
              </controlPr>
            </control>
          </mc:Choice>
        </mc:AlternateContent>
        <mc:AlternateContent xmlns:mc="http://schemas.openxmlformats.org/markup-compatibility/2006">
          <mc:Choice Requires="x14">
            <control shapeId="87053" r:id="rId10" name="Button 13">
              <controlPr defaultSize="0" autoFill="0" autoPict="0" macro="[0]!NhanTrieu">
                <anchor moveWithCells="1">
                  <from>
                    <xdr:col>2</xdr:col>
                    <xdr:colOff>19050</xdr:colOff>
                    <xdr:row>0</xdr:row>
                    <xdr:rowOff>200025</xdr:rowOff>
                  </from>
                  <to>
                    <xdr:col>2</xdr:col>
                    <xdr:colOff>485775</xdr:colOff>
                    <xdr:row>1</xdr:row>
                    <xdr:rowOff>152400</xdr:rowOff>
                  </to>
                </anchor>
              </controlPr>
            </control>
          </mc:Choice>
        </mc:AlternateContent>
        <mc:AlternateContent xmlns:mc="http://schemas.openxmlformats.org/markup-compatibility/2006">
          <mc:Choice Requires="x14">
            <control shapeId="87054" r:id="rId11" name="Button 14">
              <controlPr defaultSize="0" autoFill="0" autoPict="0" macro="[0]!NhanTy">
                <anchor moveWithCells="1">
                  <from>
                    <xdr:col>2</xdr:col>
                    <xdr:colOff>533400</xdr:colOff>
                    <xdr:row>0</xdr:row>
                    <xdr:rowOff>200025</xdr:rowOff>
                  </from>
                  <to>
                    <xdr:col>3</xdr:col>
                    <xdr:colOff>123825</xdr:colOff>
                    <xdr:row>1</xdr:row>
                    <xdr:rowOff>152400</xdr:rowOff>
                  </to>
                </anchor>
              </controlPr>
            </control>
          </mc:Choice>
        </mc:AlternateContent>
        <mc:AlternateContent xmlns:mc="http://schemas.openxmlformats.org/markup-compatibility/2006">
          <mc:Choice Requires="x14">
            <control shapeId="87057" r:id="rId12" name="Button 17">
              <controlPr defaultSize="0" print="0" autoFill="0" autoPict="0" macro="[0]!AddRow">
                <anchor moveWithCells="1">
                  <from>
                    <xdr:col>0</xdr:col>
                    <xdr:colOff>19050</xdr:colOff>
                    <xdr:row>2</xdr:row>
                    <xdr:rowOff>123825</xdr:rowOff>
                  </from>
                  <to>
                    <xdr:col>0</xdr:col>
                    <xdr:colOff>495300</xdr:colOff>
                    <xdr:row>3</xdr:row>
                    <xdr:rowOff>171450</xdr:rowOff>
                  </to>
                </anchor>
              </controlPr>
            </control>
          </mc:Choice>
        </mc:AlternateContent>
        <mc:AlternateContent xmlns:mc="http://schemas.openxmlformats.org/markup-compatibility/2006">
          <mc:Choice Requires="x14">
            <control shapeId="87058" r:id="rId13" name="Button 18">
              <controlPr defaultSize="0" print="0" autoFill="0" autoPict="0" macro="[0]!DeleteRow">
                <anchor moveWithCells="1">
                  <from>
                    <xdr:col>0</xdr:col>
                    <xdr:colOff>533400</xdr:colOff>
                    <xdr:row>2</xdr:row>
                    <xdr:rowOff>123825</xdr:rowOff>
                  </from>
                  <to>
                    <xdr:col>0</xdr:col>
                    <xdr:colOff>1009650</xdr:colOff>
                    <xdr:row>3</xdr:row>
                    <xdr:rowOff>171450</xdr:rowOff>
                  </to>
                </anchor>
              </controlPr>
            </control>
          </mc:Choice>
        </mc:AlternateContent>
        <mc:AlternateContent xmlns:mc="http://schemas.openxmlformats.org/markup-compatibility/2006">
          <mc:Choice Requires="x14">
            <control shapeId="87059" r:id="rId14" name="Button 19">
              <controlPr defaultSize="0" print="0" autoFill="0" autoPict="0" macro="[0]!AddColumn">
                <anchor moveWithCells="1">
                  <from>
                    <xdr:col>6</xdr:col>
                    <xdr:colOff>47625</xdr:colOff>
                    <xdr:row>0</xdr:row>
                    <xdr:rowOff>161925</xdr:rowOff>
                  </from>
                  <to>
                    <xdr:col>6</xdr:col>
                    <xdr:colOff>561975</xdr:colOff>
                    <xdr:row>1</xdr:row>
                    <xdr:rowOff>200025</xdr:rowOff>
                  </to>
                </anchor>
              </controlPr>
            </control>
          </mc:Choice>
        </mc:AlternateContent>
        <mc:AlternateContent xmlns:mc="http://schemas.openxmlformats.org/markup-compatibility/2006">
          <mc:Choice Requires="x14">
            <control shapeId="87060" r:id="rId15" name="Button 20">
              <controlPr defaultSize="0" print="0" autoFill="0" autoPict="0" macro="[0]!DeleteColumn">
                <anchor moveWithCells="1">
                  <from>
                    <xdr:col>6</xdr:col>
                    <xdr:colOff>600075</xdr:colOff>
                    <xdr:row>0</xdr:row>
                    <xdr:rowOff>161925</xdr:rowOff>
                  </from>
                  <to>
                    <xdr:col>7</xdr:col>
                    <xdr:colOff>371475</xdr:colOff>
                    <xdr:row>1</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A8BB156D-0182-4A2D-86C4-9552438D123C}">
            <xm:f>Security!$A$1="NO VBA"</xm:f>
            <x14:dxf>
              <font>
                <color theme="0"/>
              </font>
              <border>
                <vertical/>
                <horizontal/>
              </border>
            </x14:dxf>
          </x14:cfRule>
          <xm:sqref>G4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61F1-9C88-413F-A497-5621FDEC7DAF}">
  <sheetPr codeName="Sheet41">
    <tabColor theme="4"/>
  </sheetPr>
  <dimension ref="A1:E6"/>
  <sheetViews>
    <sheetView showGridLines="0" workbookViewId="0">
      <selection activeCell="D6" sqref="D6"/>
    </sheetView>
  </sheetViews>
  <sheetFormatPr defaultRowHeight="18" customHeight="1" outlineLevelRow="1" x14ac:dyDescent="0.3"/>
  <cols>
    <col min="1" max="1" width="9.625" style="7" customWidth="1"/>
    <col min="2" max="2" width="8.875" style="7" bestFit="1" customWidth="1"/>
    <col min="3" max="3" width="9.5" style="7" bestFit="1" customWidth="1"/>
    <col min="4" max="4" width="9.5" style="7" customWidth="1"/>
    <col min="5" max="5" width="6.75" style="7" bestFit="1" customWidth="1"/>
    <col min="6" max="16384" width="9" style="7"/>
  </cols>
  <sheetData>
    <row r="1" spans="1:5" s="308" customFormat="1" ht="22.5" customHeight="1" x14ac:dyDescent="0.3">
      <c r="A1" s="307">
        <v>0</v>
      </c>
      <c r="B1" s="307">
        <f>+A1+1</f>
        <v>1</v>
      </c>
      <c r="C1" s="307">
        <f>+B1+1</f>
        <v>2</v>
      </c>
      <c r="D1" s="307">
        <f>+C1+1</f>
        <v>3</v>
      </c>
      <c r="E1" s="307"/>
    </row>
    <row r="2" spans="1:5" s="95" customFormat="1" ht="18" customHeight="1" x14ac:dyDescent="0.3">
      <c r="A2" s="269"/>
      <c r="B2" s="269"/>
      <c r="C2" s="269"/>
      <c r="D2" s="269"/>
      <c r="E2" s="269"/>
    </row>
    <row r="3" spans="1:5" s="95" customFormat="1" ht="18" customHeight="1" outlineLevel="1" x14ac:dyDescent="0.3">
      <c r="A3" s="269"/>
      <c r="B3" s="269"/>
      <c r="C3" s="269"/>
      <c r="D3" s="95" t="s">
        <v>878</v>
      </c>
      <c r="E3" s="95" t="str" cm="1">
        <f t="array" ref="E3">TRANSPOSE(_xlfn._xlws.SORT(_xlfn._xlws.FILTER(Table_Kenh[Mã Kênh],Table_Kenh[Nhóm Kênh]=D3,"")))</f>
        <v/>
      </c>
    </row>
    <row r="4" spans="1:5" s="95" customFormat="1" ht="18" customHeight="1" outlineLevel="1" x14ac:dyDescent="0.3">
      <c r="A4" s="269"/>
      <c r="B4" s="269"/>
      <c r="C4" s="269"/>
      <c r="D4" s="95" t="s">
        <v>798</v>
      </c>
      <c r="E4" s="269" t="str" cm="1">
        <f t="array" ref="E4">TRANSPOSE(_xlfn._xlws.SORT(Table_Kenh[Mã Kênh]))</f>
        <v>A</v>
      </c>
    </row>
    <row r="5" spans="1:5" s="112" customFormat="1" ht="18" customHeight="1" x14ac:dyDescent="0.3">
      <c r="A5" s="270"/>
      <c r="B5" s="171" t="s">
        <v>34</v>
      </c>
      <c r="C5" s="171" t="s">
        <v>849</v>
      </c>
      <c r="D5" s="171" t="s">
        <v>850</v>
      </c>
      <c r="E5" s="7" t="s">
        <v>873</v>
      </c>
    </row>
    <row r="6" spans="1:5" ht="18" customHeight="1" x14ac:dyDescent="0.3">
      <c r="A6" s="240"/>
      <c r="B6" s="240" t="s">
        <v>997</v>
      </c>
      <c r="C6" s="240"/>
      <c r="D6" s="240"/>
      <c r="E6" s="240"/>
    </row>
  </sheetData>
  <sheetProtection algorithmName="SHA-512" hashValue="PGHgFlunwQopUTCtM5HWYGFixoIJnXuHGWONkoBVR/VqTRb63psUxKhtFG4yaiziBvf0JiHy23WW/TbA1keXYw==" saltValue="mhS8e9RF+trD0CFizmm20Q==" spinCount="100000" sheet="1" scenarios="1" formatCells="0" formatColumns="0" formatRows="0" insertColumns="0" insertRows="0" deleteColumns="0" deleteRows="0" sort="0" autoFilter="0" pivotTables="0"/>
  <protectedRanges>
    <protectedRange sqref="E1:H2 I1:XFD4 E3:F4 E6:E1048576 A1:D1048576 F5:L1048576 M13:W19 M20:M1048576 Y5:XFD1048576 M5:X12 N21:X1048576 W13:X13" name="Range1"/>
    <protectedRange sqref="E5" name="Range1_1"/>
  </protectedRanges>
  <dataValidations count="1">
    <dataValidation type="list" allowBlank="1" showInputMessage="1" sqref="D6" xr:uid="{4ED45FC4-790C-424A-AEB7-00686C5254D4}">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23" r:id="rId3" name="Option Button 7">
              <controlPr defaultSize="0" autoFill="0" autoLine="0" autoPict="0" macro="[0]!DoiDonViHienThi">
                <anchor moveWithCells="1">
                  <from>
                    <xdr:col>7</xdr:col>
                    <xdr:colOff>485775</xdr:colOff>
                    <xdr:row>0</xdr:row>
                    <xdr:rowOff>152400</xdr:rowOff>
                  </from>
                  <to>
                    <xdr:col>8</xdr:col>
                    <xdr:colOff>390525</xdr:colOff>
                    <xdr:row>1</xdr:row>
                    <xdr:rowOff>142875</xdr:rowOff>
                  </to>
                </anchor>
              </controlPr>
            </control>
          </mc:Choice>
        </mc:AlternateContent>
        <mc:AlternateContent xmlns:mc="http://schemas.openxmlformats.org/markup-compatibility/2006">
          <mc:Choice Requires="x14">
            <control shapeId="86024" r:id="rId4" name="Option Button 8">
              <controlPr defaultSize="0" autoFill="0" autoLine="0" autoPict="0" macro="[0]!DoiDonViHienThi">
                <anchor moveWithCells="1">
                  <from>
                    <xdr:col>8</xdr:col>
                    <xdr:colOff>266700</xdr:colOff>
                    <xdr:row>0</xdr:row>
                    <xdr:rowOff>152400</xdr:rowOff>
                  </from>
                  <to>
                    <xdr:col>9</xdr:col>
                    <xdr:colOff>171450</xdr:colOff>
                    <xdr:row>1</xdr:row>
                    <xdr:rowOff>142875</xdr:rowOff>
                  </to>
                </anchor>
              </controlPr>
            </control>
          </mc:Choice>
        </mc:AlternateContent>
        <mc:AlternateContent xmlns:mc="http://schemas.openxmlformats.org/markup-compatibility/2006">
          <mc:Choice Requires="x14">
            <control shapeId="86025" r:id="rId5" name="Option Button 9">
              <controlPr defaultSize="0" autoFill="0" autoLine="0" autoPict="0" macro="[0]!DoiDonViHienThi">
                <anchor moveWithCells="1">
                  <from>
                    <xdr:col>9</xdr:col>
                    <xdr:colOff>47625</xdr:colOff>
                    <xdr:row>0</xdr:row>
                    <xdr:rowOff>152400</xdr:rowOff>
                  </from>
                  <to>
                    <xdr:col>9</xdr:col>
                    <xdr:colOff>638175</xdr:colOff>
                    <xdr:row>1</xdr:row>
                    <xdr:rowOff>142875</xdr:rowOff>
                  </to>
                </anchor>
              </controlPr>
            </control>
          </mc:Choice>
        </mc:AlternateContent>
        <mc:AlternateContent xmlns:mc="http://schemas.openxmlformats.org/markup-compatibility/2006">
          <mc:Choice Requires="x14">
            <control shapeId="86026" r:id="rId6" name="Option Button 10">
              <controlPr defaultSize="0" autoFill="0" autoLine="0" autoPict="0" macro="[0]!DoiDonViHienThi">
                <anchor moveWithCells="1">
                  <from>
                    <xdr:col>9</xdr:col>
                    <xdr:colOff>523875</xdr:colOff>
                    <xdr:row>0</xdr:row>
                    <xdr:rowOff>152400</xdr:rowOff>
                  </from>
                  <to>
                    <xdr:col>10</xdr:col>
                    <xdr:colOff>190500</xdr:colOff>
                    <xdr:row>1</xdr:row>
                    <xdr:rowOff>142875</xdr:rowOff>
                  </to>
                </anchor>
              </controlPr>
            </control>
          </mc:Choice>
        </mc:AlternateContent>
        <mc:AlternateContent xmlns:mc="http://schemas.openxmlformats.org/markup-compatibility/2006">
          <mc:Choice Requires="x14">
            <control shapeId="86027" r:id="rId7" name="Group Box 11">
              <controlPr defaultSize="0" autoFill="0" autoPict="0">
                <anchor moveWithCells="1">
                  <from>
                    <xdr:col>7</xdr:col>
                    <xdr:colOff>371475</xdr:colOff>
                    <xdr:row>0</xdr:row>
                    <xdr:rowOff>104775</xdr:rowOff>
                  </from>
                  <to>
                    <xdr:col>10</xdr:col>
                    <xdr:colOff>304800</xdr:colOff>
                    <xdr:row>1</xdr:row>
                    <xdr:rowOff>180975</xdr:rowOff>
                  </to>
                </anchor>
              </controlPr>
            </control>
          </mc:Choice>
        </mc:AlternateContent>
        <mc:AlternateContent xmlns:mc="http://schemas.openxmlformats.org/markup-compatibility/2006">
          <mc:Choice Requires="x14">
            <control shapeId="86028" r:id="rId8" name="Group Box 12">
              <controlPr defaultSize="0" autoFill="0" autoPict="0">
                <anchor moveWithCells="1">
                  <from>
                    <xdr:col>5</xdr:col>
                    <xdr:colOff>38100</xdr:colOff>
                    <xdr:row>0</xdr:row>
                    <xdr:rowOff>104775</xdr:rowOff>
                  </from>
                  <to>
                    <xdr:col>7</xdr:col>
                    <xdr:colOff>323850</xdr:colOff>
                    <xdr:row>1</xdr:row>
                    <xdr:rowOff>180975</xdr:rowOff>
                  </to>
                </anchor>
              </controlPr>
            </control>
          </mc:Choice>
        </mc:AlternateContent>
        <mc:AlternateContent xmlns:mc="http://schemas.openxmlformats.org/markup-compatibility/2006">
          <mc:Choice Requires="x14">
            <control shapeId="86029" r:id="rId9" name="Button 13">
              <controlPr defaultSize="0" autoFill="0" autoPict="0" macro="[0]!NhanNghin">
                <anchor moveWithCells="1">
                  <from>
                    <xdr:col>5</xdr:col>
                    <xdr:colOff>123825</xdr:colOff>
                    <xdr:row>0</xdr:row>
                    <xdr:rowOff>200025</xdr:rowOff>
                  </from>
                  <to>
                    <xdr:col>5</xdr:col>
                    <xdr:colOff>590550</xdr:colOff>
                    <xdr:row>1</xdr:row>
                    <xdr:rowOff>85725</xdr:rowOff>
                  </to>
                </anchor>
              </controlPr>
            </control>
          </mc:Choice>
        </mc:AlternateContent>
        <mc:AlternateContent xmlns:mc="http://schemas.openxmlformats.org/markup-compatibility/2006">
          <mc:Choice Requires="x14">
            <control shapeId="86030" r:id="rId10" name="Button 14">
              <controlPr defaultSize="0" autoFill="0" autoPict="0" macro="[0]!NhanTrieu">
                <anchor moveWithCells="1">
                  <from>
                    <xdr:col>5</xdr:col>
                    <xdr:colOff>638175</xdr:colOff>
                    <xdr:row>0</xdr:row>
                    <xdr:rowOff>200025</xdr:rowOff>
                  </from>
                  <to>
                    <xdr:col>6</xdr:col>
                    <xdr:colOff>419100</xdr:colOff>
                    <xdr:row>1</xdr:row>
                    <xdr:rowOff>85725</xdr:rowOff>
                  </to>
                </anchor>
              </controlPr>
            </control>
          </mc:Choice>
        </mc:AlternateContent>
        <mc:AlternateContent xmlns:mc="http://schemas.openxmlformats.org/markup-compatibility/2006">
          <mc:Choice Requires="x14">
            <control shapeId="86031" r:id="rId11" name="Button 15">
              <controlPr defaultSize="0" autoFill="0" autoPict="0" macro="[0]!NhanTy">
                <anchor moveWithCells="1">
                  <from>
                    <xdr:col>6</xdr:col>
                    <xdr:colOff>466725</xdr:colOff>
                    <xdr:row>0</xdr:row>
                    <xdr:rowOff>200025</xdr:rowOff>
                  </from>
                  <to>
                    <xdr:col>7</xdr:col>
                    <xdr:colOff>247650</xdr:colOff>
                    <xdr:row>1</xdr:row>
                    <xdr:rowOff>85725</xdr:rowOff>
                  </to>
                </anchor>
              </controlPr>
            </control>
          </mc:Choice>
        </mc:AlternateContent>
        <mc:AlternateContent xmlns:mc="http://schemas.openxmlformats.org/markup-compatibility/2006">
          <mc:Choice Requires="x14">
            <control shapeId="86032" r:id="rId12" name="Button 16">
              <controlPr defaultSize="0" print="0" autoFill="0" autoPict="0" macro="[0]!AddRow">
                <anchor moveWithCells="1">
                  <from>
                    <xdr:col>1</xdr:col>
                    <xdr:colOff>133350</xdr:colOff>
                    <xdr:row>1</xdr:row>
                    <xdr:rowOff>47625</xdr:rowOff>
                  </from>
                  <to>
                    <xdr:col>1</xdr:col>
                    <xdr:colOff>609600</xdr:colOff>
                    <xdr:row>2</xdr:row>
                    <xdr:rowOff>76200</xdr:rowOff>
                  </to>
                </anchor>
              </controlPr>
            </control>
          </mc:Choice>
        </mc:AlternateContent>
        <mc:AlternateContent xmlns:mc="http://schemas.openxmlformats.org/markup-compatibility/2006">
          <mc:Choice Requires="x14">
            <control shapeId="86033" r:id="rId13" name="Button 17">
              <controlPr defaultSize="0" print="0" autoFill="0" autoPict="0" macro="[0]!DeleteRow">
                <anchor moveWithCells="1">
                  <from>
                    <xdr:col>1</xdr:col>
                    <xdr:colOff>647700</xdr:colOff>
                    <xdr:row>1</xdr:row>
                    <xdr:rowOff>47625</xdr:rowOff>
                  </from>
                  <to>
                    <xdr:col>2</xdr:col>
                    <xdr:colOff>447675</xdr:colOff>
                    <xdr:row>2</xdr:row>
                    <xdr:rowOff>76200</xdr:rowOff>
                  </to>
                </anchor>
              </controlPr>
            </control>
          </mc:Choice>
        </mc:AlternateContent>
        <mc:AlternateContent xmlns:mc="http://schemas.openxmlformats.org/markup-compatibility/2006">
          <mc:Choice Requires="x14">
            <control shapeId="86034" r:id="rId14" name="Button 18">
              <controlPr defaultSize="0" print="0" autoFill="0" autoPict="0" macro="[0]!AddColumn">
                <anchor moveWithCells="1">
                  <from>
                    <xdr:col>5</xdr:col>
                    <xdr:colOff>76200</xdr:colOff>
                    <xdr:row>3</xdr:row>
                    <xdr:rowOff>171450</xdr:rowOff>
                  </from>
                  <to>
                    <xdr:col>5</xdr:col>
                    <xdr:colOff>590550</xdr:colOff>
                    <xdr:row>4</xdr:row>
                    <xdr:rowOff>200025</xdr:rowOff>
                  </to>
                </anchor>
              </controlPr>
            </control>
          </mc:Choice>
        </mc:AlternateContent>
        <mc:AlternateContent xmlns:mc="http://schemas.openxmlformats.org/markup-compatibility/2006">
          <mc:Choice Requires="x14">
            <control shapeId="86035" r:id="rId15" name="Button 19">
              <controlPr defaultSize="0" print="0" autoFill="0" autoPict="0" macro="[0]!DeleteColumn">
                <anchor moveWithCells="1">
                  <from>
                    <xdr:col>5</xdr:col>
                    <xdr:colOff>628650</xdr:colOff>
                    <xdr:row>3</xdr:row>
                    <xdr:rowOff>171450</xdr:rowOff>
                  </from>
                  <to>
                    <xdr:col>6</xdr:col>
                    <xdr:colOff>485775</xdr:colOff>
                    <xdr:row>4</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842FCC6B-DE12-4C37-AA44-CA4814655593}">
            <xm:f>Security!$A$1="NO VBA"</xm:f>
            <x14:dxf>
              <font>
                <color theme="0"/>
              </font>
              <border>
                <vertical/>
                <horizontal/>
              </border>
            </x14:dxf>
          </x14:cfRule>
          <xm:sqref>I3:XFD4 A3:F4 A1:XFD2 A5:XFD12 A21:XFD1048576 A20:M20 Y14:XFD20 X13:XFD13 A13:W19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4"/>
    <outlinePr summaryBelow="0" summaryRight="0"/>
  </sheetPr>
  <dimension ref="B2:W10"/>
  <sheetViews>
    <sheetView showGridLines="0" workbookViewId="0">
      <selection activeCell="G3" sqref="G3"/>
    </sheetView>
  </sheetViews>
  <sheetFormatPr defaultRowHeight="18" customHeight="1" x14ac:dyDescent="0.3"/>
  <cols>
    <col min="1" max="1" width="14.75" style="7" customWidth="1"/>
    <col min="2" max="2" width="19.375" style="7" customWidth="1"/>
    <col min="3" max="3" width="16.375" style="7" bestFit="1" customWidth="1"/>
    <col min="4" max="4" width="14.375" style="7" bestFit="1" customWidth="1"/>
    <col min="5" max="5" width="13.375" style="7" customWidth="1"/>
    <col min="6" max="6" width="16.25" style="7" bestFit="1" customWidth="1"/>
    <col min="7" max="7" width="16.5" style="7" bestFit="1" customWidth="1"/>
    <col min="8" max="8" width="6.75" style="7" customWidth="1"/>
    <col min="9" max="9" width="1.625" style="7" customWidth="1"/>
    <col min="10" max="10" width="11.875" style="7" customWidth="1"/>
    <col min="11" max="23" width="9" style="38"/>
    <col min="24" max="16384" width="9" style="7"/>
  </cols>
  <sheetData>
    <row r="2" spans="2:8" ht="18" customHeight="1" x14ac:dyDescent="0.3">
      <c r="F2" s="7" t="s">
        <v>908</v>
      </c>
      <c r="G2" s="419">
        <v>90</v>
      </c>
    </row>
    <row r="3" spans="2:8" ht="18" customHeight="1" x14ac:dyDescent="0.3">
      <c r="F3" s="7" t="s">
        <v>1017</v>
      </c>
      <c r="G3" s="419">
        <v>180</v>
      </c>
    </row>
    <row r="4" spans="2:8" ht="18" customHeight="1" x14ac:dyDescent="0.3">
      <c r="B4" s="7" t="s">
        <v>902</v>
      </c>
      <c r="C4" s="7" t="s">
        <v>903</v>
      </c>
      <c r="D4" s="7" t="s">
        <v>904</v>
      </c>
      <c r="E4" s="7" t="s">
        <v>905</v>
      </c>
      <c r="F4" s="7" t="s">
        <v>906</v>
      </c>
      <c r="G4" s="7" t="s">
        <v>907</v>
      </c>
      <c r="H4" s="7" t="s">
        <v>873</v>
      </c>
    </row>
    <row r="5" spans="2:8" ht="18" customHeight="1" x14ac:dyDescent="0.3">
      <c r="B5" s="7" t="s">
        <v>909</v>
      </c>
      <c r="C5" s="15">
        <v>0</v>
      </c>
      <c r="D5" s="15">
        <v>10000000</v>
      </c>
      <c r="E5" s="45">
        <v>0</v>
      </c>
      <c r="F5" s="18">
        <f>IF(ISBLANK(Table_KHThanThiet_ChinhSach[[#This Row],[Doanh thu tối đa]]),0,(Table_KHThanThiet_ChinhSach[[#This Row],[Doanh thu tối đa]]-Table_KHThanThiet_ChinhSach[[#This Row],[Doanh thu tối thiểu]])*Table_KHThanThiet_ChinhSach[[#This Row],[Tỷ lệ điểm thưởng]])</f>
        <v>0</v>
      </c>
      <c r="G5" s="18" cm="1">
        <f t="array" ref="G5">IFERROR(
SUM(_xlfn._xlws.FILTER(Table_KHThanThiet_ChinhSach[Điểm thưởng tối đa],
(Table_KHThanThiet_ChinhSach[Tỷ lệ điểm thưởng]&lt;Table_KHThanThiet_ChinhSach[[#This Row],[Tỷ lệ điểm thưởng]])
)),0)</f>
        <v>0</v>
      </c>
      <c r="H5" s="212"/>
    </row>
    <row r="6" spans="2:8" ht="18" customHeight="1" x14ac:dyDescent="0.3">
      <c r="B6" s="7" t="s">
        <v>910</v>
      </c>
      <c r="C6" s="15">
        <v>10000000</v>
      </c>
      <c r="D6" s="15">
        <v>20000000</v>
      </c>
      <c r="E6" s="45">
        <v>0.01</v>
      </c>
      <c r="F6" s="18">
        <f>IF(ISBLANK(Table_KHThanThiet_ChinhSach[[#This Row],[Doanh thu tối đa]]),0,(Table_KHThanThiet_ChinhSach[[#This Row],[Doanh thu tối đa]]-Table_KHThanThiet_ChinhSach[[#This Row],[Doanh thu tối thiểu]])*Table_KHThanThiet_ChinhSach[[#This Row],[Tỷ lệ điểm thưởng]])</f>
        <v>100000</v>
      </c>
      <c r="G6" s="18" cm="1">
        <f t="array" ref="G6">IFERROR(
SUM(_xlfn._xlws.FILTER(Table_KHThanThiet_ChinhSach[Điểm thưởng tối đa],
(Table_KHThanThiet_ChinhSach[Tỷ lệ điểm thưởng]&lt;Table_KHThanThiet_ChinhSach[[#This Row],[Tỷ lệ điểm thưởng]])
)),0)</f>
        <v>0</v>
      </c>
      <c r="H6" s="212"/>
    </row>
    <row r="7" spans="2:8" ht="18" customHeight="1" x14ac:dyDescent="0.3">
      <c r="B7" s="7" t="s">
        <v>911</v>
      </c>
      <c r="C7" s="15">
        <v>20000000</v>
      </c>
      <c r="D7" s="15">
        <v>35000000</v>
      </c>
      <c r="E7" s="45">
        <v>0.03</v>
      </c>
      <c r="F7" s="18">
        <f>IF(ISBLANK(Table_KHThanThiet_ChinhSach[[#This Row],[Doanh thu tối đa]]),0,(Table_KHThanThiet_ChinhSach[[#This Row],[Doanh thu tối đa]]-Table_KHThanThiet_ChinhSach[[#This Row],[Doanh thu tối thiểu]])*Table_KHThanThiet_ChinhSach[[#This Row],[Tỷ lệ điểm thưởng]])</f>
        <v>450000</v>
      </c>
      <c r="G7" s="18" cm="1">
        <f t="array" ref="G7">IFERROR(
SUM(_xlfn._xlws.FILTER(Table_KHThanThiet_ChinhSach[Điểm thưởng tối đa],
(Table_KHThanThiet_ChinhSach[Tỷ lệ điểm thưởng]&lt;Table_KHThanThiet_ChinhSach[[#This Row],[Tỷ lệ điểm thưởng]])
)),0)</f>
        <v>100000</v>
      </c>
      <c r="H7" s="212"/>
    </row>
    <row r="8" spans="2:8" ht="18" customHeight="1" x14ac:dyDescent="0.3">
      <c r="B8" s="7" t="s">
        <v>912</v>
      </c>
      <c r="C8" s="15">
        <v>35000000</v>
      </c>
      <c r="D8" s="15">
        <v>60000000</v>
      </c>
      <c r="E8" s="45">
        <v>0.05</v>
      </c>
      <c r="F8" s="18">
        <f>IF(ISBLANK(Table_KHThanThiet_ChinhSach[[#This Row],[Doanh thu tối đa]]),0,(Table_KHThanThiet_ChinhSach[[#This Row],[Doanh thu tối đa]]-Table_KHThanThiet_ChinhSach[[#This Row],[Doanh thu tối thiểu]])*Table_KHThanThiet_ChinhSach[[#This Row],[Tỷ lệ điểm thưởng]])</f>
        <v>1250000</v>
      </c>
      <c r="G8" s="18" cm="1">
        <f t="array" ref="G8">IFERROR(
SUM(_xlfn._xlws.FILTER(Table_KHThanThiet_ChinhSach[Điểm thưởng tối đa],
(Table_KHThanThiet_ChinhSach[Tỷ lệ điểm thưởng]&lt;Table_KHThanThiet_ChinhSach[[#This Row],[Tỷ lệ điểm thưởng]])
)),0)</f>
        <v>550000</v>
      </c>
      <c r="H8" s="212"/>
    </row>
    <row r="9" spans="2:8" ht="18" customHeight="1" x14ac:dyDescent="0.3">
      <c r="B9" s="7" t="s">
        <v>913</v>
      </c>
      <c r="C9" s="15">
        <v>60000000</v>
      </c>
      <c r="D9" s="15">
        <v>100000000</v>
      </c>
      <c r="E9" s="45">
        <v>7.0000000000000007E-2</v>
      </c>
      <c r="F9" s="18">
        <f>IF(ISBLANK(Table_KHThanThiet_ChinhSach[[#This Row],[Doanh thu tối đa]]),0,(Table_KHThanThiet_ChinhSach[[#This Row],[Doanh thu tối đa]]-Table_KHThanThiet_ChinhSach[[#This Row],[Doanh thu tối thiểu]])*Table_KHThanThiet_ChinhSach[[#This Row],[Tỷ lệ điểm thưởng]])</f>
        <v>2800000.0000000005</v>
      </c>
      <c r="G9" s="18" cm="1">
        <f t="array" ref="G9">IFERROR(
SUM(_xlfn._xlws.FILTER(Table_KHThanThiet_ChinhSach[Điểm thưởng tối đa],
(Table_KHThanThiet_ChinhSach[Tỷ lệ điểm thưởng]&lt;Table_KHThanThiet_ChinhSach[[#This Row],[Tỷ lệ điểm thưởng]])
)),0)</f>
        <v>1800000</v>
      </c>
      <c r="H9" s="212"/>
    </row>
    <row r="10" spans="2:8" ht="18" customHeight="1" x14ac:dyDescent="0.3">
      <c r="B10" s="7" t="s">
        <v>914</v>
      </c>
      <c r="C10" s="15">
        <v>100000000</v>
      </c>
      <c r="D10" s="15"/>
      <c r="E10" s="45">
        <v>0.1</v>
      </c>
      <c r="F10" s="18">
        <f>IF(ISBLANK(Table_KHThanThiet_ChinhSach[[#This Row],[Doanh thu tối đa]]),0,(Table_KHThanThiet_ChinhSach[[#This Row],[Doanh thu tối đa]]-Table_KHThanThiet_ChinhSach[[#This Row],[Doanh thu tối thiểu]])*Table_KHThanThiet_ChinhSach[[#This Row],[Tỷ lệ điểm thưởng]])</f>
        <v>0</v>
      </c>
      <c r="G10" s="18" cm="1">
        <f t="array" ref="G10">IFERROR(
SUM(_xlfn._xlws.FILTER(Table_KHThanThiet_ChinhSach[Điểm thưởng tối đa],
(Table_KHThanThiet_ChinhSach[Tỷ lệ điểm thưởng]&lt;Table_KHThanThiet_ChinhSach[[#This Row],[Tỷ lệ điểm thưởng]])
)),0)</f>
        <v>4600000</v>
      </c>
      <c r="H10" s="212"/>
    </row>
  </sheetData>
  <sheetProtection algorithmName="SHA-512" hashValue="M8VTyJqmzfh25rqWc2a0WbmqUMkflNXynkTUL5fVWCVQ9GmooDEpdSh7mSmv4YPzPFcKjvQRtAu8j5Km5ggXWQ==" saltValue="5mtCf7yLHl6B2O1ZxD71Vw==" spinCount="100000" sheet="1" scenarios="1"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AddColumn">
                <anchor moveWithCells="1">
                  <from>
                    <xdr:col>7</xdr:col>
                    <xdr:colOff>171450</xdr:colOff>
                    <xdr:row>1</xdr:row>
                    <xdr:rowOff>76200</xdr:rowOff>
                  </from>
                  <to>
                    <xdr:col>9</xdr:col>
                    <xdr:colOff>47625</xdr:colOff>
                    <xdr:row>2</xdr:row>
                    <xdr:rowOff>104775</xdr:rowOff>
                  </to>
                </anchor>
              </controlPr>
            </control>
          </mc:Choice>
        </mc:AlternateContent>
        <mc:AlternateContent xmlns:mc="http://schemas.openxmlformats.org/markup-compatibility/2006">
          <mc:Choice Requires="x14">
            <control shapeId="104450" r:id="rId4" name="Button 2">
              <controlPr defaultSize="0" print="0" autoFill="0" autoPict="0" macro="[0]!DeleteColumn">
                <anchor moveWithCells="1">
                  <from>
                    <xdr:col>9</xdr:col>
                    <xdr:colOff>66675</xdr:colOff>
                    <xdr:row>1</xdr:row>
                    <xdr:rowOff>76200</xdr:rowOff>
                  </from>
                  <to>
                    <xdr:col>9</xdr:col>
                    <xdr:colOff>609600</xdr:colOff>
                    <xdr:row>2</xdr:row>
                    <xdr:rowOff>104775</xdr:rowOff>
                  </to>
                </anchor>
              </controlPr>
            </control>
          </mc:Choice>
        </mc:AlternateContent>
        <mc:AlternateContent xmlns:mc="http://schemas.openxmlformats.org/markup-compatibility/2006">
          <mc:Choice Requires="x14">
            <control shapeId="104456" r:id="rId5" name="Option Button 8">
              <controlPr defaultSize="0" autoFill="0" autoLine="0" autoPict="0" macro="[0]!DoiDonViHienThi">
                <anchor moveWithCells="1">
                  <from>
                    <xdr:col>2</xdr:col>
                    <xdr:colOff>438150</xdr:colOff>
                    <xdr:row>0</xdr:row>
                    <xdr:rowOff>95250</xdr:rowOff>
                  </from>
                  <to>
                    <xdr:col>2</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2</xdr:col>
                    <xdr:colOff>904875</xdr:colOff>
                    <xdr:row>0</xdr:row>
                    <xdr:rowOff>95250</xdr:rowOff>
                  </from>
                  <to>
                    <xdr:col>3</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3</xdr:col>
                    <xdr:colOff>123825</xdr:colOff>
                    <xdr:row>0</xdr:row>
                    <xdr:rowOff>95250</xdr:rowOff>
                  </from>
                  <to>
                    <xdr:col>3</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3</xdr:col>
                    <xdr:colOff>600075</xdr:colOff>
                    <xdr:row>0</xdr:row>
                    <xdr:rowOff>95250</xdr:rowOff>
                  </from>
                  <to>
                    <xdr:col>3</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2</xdr:col>
                    <xdr:colOff>323850</xdr:colOff>
                    <xdr:row>0</xdr:row>
                    <xdr:rowOff>47625</xdr:rowOff>
                  </from>
                  <to>
                    <xdr:col>3</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1</xdr:col>
                    <xdr:colOff>95250</xdr:colOff>
                    <xdr:row>0</xdr:row>
                    <xdr:rowOff>47625</xdr:rowOff>
                  </from>
                  <to>
                    <xdr:col>2</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1</xdr:col>
                    <xdr:colOff>180975</xdr:colOff>
                    <xdr:row>0</xdr:row>
                    <xdr:rowOff>142875</xdr:rowOff>
                  </from>
                  <to>
                    <xdr:col>1</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1</xdr:col>
                    <xdr:colOff>695325</xdr:colOff>
                    <xdr:row>0</xdr:row>
                    <xdr:rowOff>142875</xdr:rowOff>
                  </from>
                  <to>
                    <xdr:col>1</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1</xdr:col>
                    <xdr:colOff>1209675</xdr:colOff>
                    <xdr:row>0</xdr:row>
                    <xdr:rowOff>142875</xdr:rowOff>
                  </from>
                  <to>
                    <xdr:col>2</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4</xdr:col>
                    <xdr:colOff>28575</xdr:colOff>
                    <xdr:row>0</xdr:row>
                    <xdr:rowOff>114300</xdr:rowOff>
                  </from>
                  <to>
                    <xdr:col>4</xdr:col>
                    <xdr:colOff>504825</xdr:colOff>
                    <xdr:row>1</xdr:row>
                    <xdr:rowOff>142875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4</xdr:col>
                    <xdr:colOff>523875</xdr:colOff>
                    <xdr:row>0</xdr:row>
                    <xdr:rowOff>114300</xdr:rowOff>
                  </from>
                  <to>
                    <xdr:col>4</xdr:col>
                    <xdr:colOff>1000125</xdr:colOff>
                    <xdr:row>1</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C6938F30-5C6F-4E18-9742-3DAB345EA6DA}">
            <xm:f>Security!$A$1="NO VBA"</xm:f>
            <x14:dxf>
              <font>
                <color theme="0"/>
              </font>
              <border>
                <vertical/>
                <horizontal/>
              </border>
            </x14:dxf>
          </x14:cfRule>
          <xm:sqref>B21:C21 E21:H21 B22:H1048576 A6:A1048576 B6:H20 A3:E3 I6:XFD1048576 A4:XFD5 A1:XFD2 G3:XFD3</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06E4-A788-453C-A67F-A17FA50916ED}">
  <sheetPr codeName="Sheet40">
    <tabColor theme="4"/>
  </sheetPr>
  <dimension ref="A1:K8"/>
  <sheetViews>
    <sheetView showGridLines="0" workbookViewId="0">
      <selection activeCell="G24" sqref="G24"/>
    </sheetView>
  </sheetViews>
  <sheetFormatPr defaultRowHeight="18" customHeight="1" outlineLevelRow="1" x14ac:dyDescent="0.3"/>
  <cols>
    <col min="1" max="1" width="9.625" style="7" customWidth="1"/>
    <col min="2" max="2" width="7.25" style="7" bestFit="1" customWidth="1"/>
    <col min="3" max="3" width="8.75" style="7" bestFit="1" customWidth="1"/>
    <col min="4" max="4" width="10" style="7" bestFit="1" customWidth="1"/>
    <col min="5" max="5" width="10.5" style="7" bestFit="1" customWidth="1"/>
    <col min="6" max="6" width="5.5" style="7" bestFit="1" customWidth="1"/>
    <col min="7" max="7" width="9.75" style="7" bestFit="1" customWidth="1"/>
    <col min="8" max="9" width="9.75" style="7" customWidth="1"/>
    <col min="10" max="10" width="7" style="7" bestFit="1" customWidth="1"/>
    <col min="11" max="11" width="6.75" style="7" bestFit="1" customWidth="1"/>
    <col min="12" max="16384" width="9" style="7"/>
  </cols>
  <sheetData>
    <row r="1" spans="1:11" s="308" customFormat="1" ht="22.5" customHeight="1" x14ac:dyDescent="0.3">
      <c r="A1" s="307">
        <v>0</v>
      </c>
      <c r="B1" s="307">
        <f t="shared" ref="B1:G1" si="0">+A1+1</f>
        <v>1</v>
      </c>
      <c r="C1" s="307">
        <f t="shared" si="0"/>
        <v>2</v>
      </c>
      <c r="D1" s="307">
        <f t="shared" si="0"/>
        <v>3</v>
      </c>
      <c r="E1" s="307">
        <f t="shared" si="0"/>
        <v>4</v>
      </c>
      <c r="F1" s="307">
        <f t="shared" si="0"/>
        <v>5</v>
      </c>
      <c r="G1" s="307">
        <f t="shared" si="0"/>
        <v>6</v>
      </c>
      <c r="H1" s="307" t="e">
        <f>+#REF!+1</f>
        <v>#REF!</v>
      </c>
      <c r="I1" s="307"/>
      <c r="J1" s="307" t="e">
        <f>+H1+1</f>
        <v>#REF!</v>
      </c>
      <c r="K1" s="307"/>
    </row>
    <row r="2" spans="1:11" s="95" customFormat="1" ht="18" customHeight="1" x14ac:dyDescent="0.3">
      <c r="A2" s="269"/>
      <c r="B2" s="269"/>
      <c r="C2" s="269"/>
      <c r="D2" s="269"/>
      <c r="E2" s="269"/>
      <c r="F2" s="269"/>
      <c r="G2" s="269"/>
      <c r="H2" s="269"/>
      <c r="I2" s="269"/>
      <c r="J2" s="269"/>
      <c r="K2" s="269"/>
    </row>
    <row r="3" spans="1:11" s="95" customFormat="1" ht="18" customHeight="1" outlineLevel="1" x14ac:dyDescent="0.3">
      <c r="A3" s="269"/>
      <c r="B3" s="269"/>
      <c r="C3" s="269"/>
      <c r="D3" s="95" t="s">
        <v>847</v>
      </c>
      <c r="E3" s="95" t="str" cm="1">
        <f t="array" ref="E3">TRANSPOSE(_xlfn._xlws.SORT(_xlfn._xlws.FILTER(Table_KhachHang[Mã KH],Table_KhachHang[Phân khúc]=D3,"")))</f>
        <v/>
      </c>
      <c r="F3" s="269"/>
      <c r="G3" s="269"/>
      <c r="H3" s="269"/>
      <c r="I3" s="269"/>
      <c r="J3" s="269"/>
      <c r="K3" s="269"/>
    </row>
    <row r="4" spans="1:11" s="95" customFormat="1" ht="18" customHeight="1" outlineLevel="1" x14ac:dyDescent="0.3">
      <c r="A4" s="269"/>
      <c r="B4" s="269"/>
      <c r="C4" s="269"/>
      <c r="D4" s="95" t="s">
        <v>798</v>
      </c>
      <c r="E4" s="269" t="str" cm="1">
        <f t="array" ref="E4:G4">TRANSPOSE(_xlfn._xlws.SORT(Table_KhachHang[Mã KH]))</f>
        <v>KH1</v>
      </c>
      <c r="F4" s="269" t="str">
        <v>KH2</v>
      </c>
      <c r="G4" s="269" t="str">
        <v>KH3</v>
      </c>
      <c r="H4" s="269"/>
      <c r="I4" s="269"/>
      <c r="J4" s="269"/>
      <c r="K4" s="269"/>
    </row>
    <row r="5" spans="1:11" s="112" customFormat="1" ht="18" customHeight="1" x14ac:dyDescent="0.3">
      <c r="A5" s="270"/>
      <c r="B5" s="112" t="s">
        <v>24</v>
      </c>
      <c r="C5" s="112" t="s">
        <v>848</v>
      </c>
      <c r="D5" s="112" t="s">
        <v>25</v>
      </c>
      <c r="E5" s="112" t="s">
        <v>536</v>
      </c>
      <c r="F5" s="112" t="s">
        <v>785</v>
      </c>
      <c r="G5" s="112" t="s">
        <v>784</v>
      </c>
      <c r="H5" s="112" t="s">
        <v>26</v>
      </c>
      <c r="I5" s="112" t="s">
        <v>918</v>
      </c>
      <c r="J5" s="112" t="s">
        <v>168</v>
      </c>
      <c r="K5" s="112" t="s">
        <v>873</v>
      </c>
    </row>
    <row r="6" spans="1:11" ht="18" customHeight="1" x14ac:dyDescent="0.3">
      <c r="A6" s="240"/>
      <c r="B6" s="240" t="s">
        <v>1197</v>
      </c>
      <c r="C6" s="240"/>
      <c r="D6" s="240"/>
      <c r="E6" s="240"/>
      <c r="F6" s="240"/>
      <c r="G6" s="240"/>
      <c r="H6" s="240"/>
      <c r="I6" s="337"/>
      <c r="J6" s="18">
        <f>IFERROR(VLOOKUP(Table_KhachHang[[#This Row],[Mã KH]],Table_PhaiThu[#All],COUNTA(Table_PhaiThu[#Headers])-1,0),0)</f>
        <v>-800000</v>
      </c>
      <c r="K6" s="240"/>
    </row>
    <row r="7" spans="1:11" ht="18" customHeight="1" x14ac:dyDescent="0.3">
      <c r="B7" s="240" t="s">
        <v>1196</v>
      </c>
      <c r="C7" s="240"/>
      <c r="D7" s="240"/>
      <c r="E7" s="240"/>
      <c r="F7" s="240"/>
      <c r="G7" s="240"/>
      <c r="H7" s="240"/>
      <c r="I7" s="337"/>
      <c r="J7" s="18">
        <f>IFERROR(VLOOKUP(Table_KhachHang[[#This Row],[Mã KH]],Table_PhaiThu[#All],COUNTA(Table_PhaiThu[#Headers])-1,0),0)</f>
        <v>300000</v>
      </c>
      <c r="K7" s="240"/>
    </row>
    <row r="8" spans="1:11" ht="18" customHeight="1" x14ac:dyDescent="0.3">
      <c r="B8" s="240" t="s">
        <v>1195</v>
      </c>
      <c r="C8" s="240"/>
      <c r="D8" s="240"/>
      <c r="E8" s="240"/>
      <c r="F8" s="240"/>
      <c r="G8" s="240"/>
      <c r="H8" s="240"/>
      <c r="I8" s="337"/>
      <c r="J8" s="18">
        <f>IFERROR(VLOOKUP(Table_KhachHang[[#This Row],[Mã KH]],Table_PhaiThu[#All],COUNTA(Table_PhaiThu[#Headers])-1,0),0)</f>
        <v>400000</v>
      </c>
      <c r="K8" s="240"/>
    </row>
  </sheetData>
  <sheetProtection algorithmName="SHA-512" hashValue="Djku+S8v4t4dj/YdmYPA98ukzF/E7DYGughrHByGYgOBA+jVjRIgSoKkssVt79DdH76RRpbylfcKK7BAjaTMfw==" saltValue="4Fat8d78YqW5cR0LDS7XSw==" spinCount="100000" sheet="1" scenarios="1" formatCells="0" formatColumns="0" formatRows="0" insertColumns="0" insertRows="0" deleteColumns="0" deleteRows="0" sort="0" autoFilter="0" pivotTables="0"/>
  <protectedRanges>
    <protectedRange sqref="O1:XFD4 K1:N2 K8:K1048576 K3:L4 L5:XFD1048576 A1:J1048576" name="Range1"/>
    <protectedRange sqref="K5 K7 K6" name="Range1_1"/>
  </protectedRanges>
  <phoneticPr fontId="14" type="noConversion"/>
  <conditionalFormatting sqref="B6:B8">
    <cfRule type="duplicateValues" dxfId="46" priority="269"/>
  </conditionalFormatting>
  <dataValidations count="1">
    <dataValidation type="list" allowBlank="1" showInputMessage="1" sqref="D6:D8" xr:uid="{A1C18DDD-F933-4BFB-8AD3-FCB2AFB7FE05}">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8" r:id="rId3" name="Option Button 6">
              <controlPr defaultSize="0" autoFill="0" autoLine="0" autoPict="0" macro="[0]!DoiDonViHienThi">
                <anchor moveWithCells="1">
                  <from>
                    <xdr:col>3</xdr:col>
                    <xdr:colOff>657225</xdr:colOff>
                    <xdr:row>0</xdr:row>
                    <xdr:rowOff>152400</xdr:rowOff>
                  </from>
                  <to>
                    <xdr:col>4</xdr:col>
                    <xdr:colOff>485775</xdr:colOff>
                    <xdr:row>1</xdr:row>
                    <xdr:rowOff>142875</xdr:rowOff>
                  </to>
                </anchor>
              </controlPr>
            </control>
          </mc:Choice>
        </mc:AlternateContent>
        <mc:AlternateContent xmlns:mc="http://schemas.openxmlformats.org/markup-compatibility/2006">
          <mc:Choice Requires="x14">
            <control shapeId="84999" r:id="rId4" name="Option Button 7">
              <controlPr defaultSize="0" autoFill="0" autoLine="0" autoPict="0" macro="[0]!DoiDonViHienThi">
                <anchor moveWithCells="1">
                  <from>
                    <xdr:col>4</xdr:col>
                    <xdr:colOff>361950</xdr:colOff>
                    <xdr:row>0</xdr:row>
                    <xdr:rowOff>152400</xdr:rowOff>
                  </from>
                  <to>
                    <xdr:col>5</xdr:col>
                    <xdr:colOff>152400</xdr:colOff>
                    <xdr:row>1</xdr:row>
                    <xdr:rowOff>142875</xdr:rowOff>
                  </to>
                </anchor>
              </controlPr>
            </control>
          </mc:Choice>
        </mc:AlternateContent>
        <mc:AlternateContent xmlns:mc="http://schemas.openxmlformats.org/markup-compatibility/2006">
          <mc:Choice Requires="x14">
            <control shapeId="85000" r:id="rId5" name="Option Button 8">
              <controlPr defaultSize="0" autoFill="0" autoLine="0" autoPict="0" macro="[0]!DoiDonViHienThi">
                <anchor moveWithCells="1">
                  <from>
                    <xdr:col>5</xdr:col>
                    <xdr:colOff>28575</xdr:colOff>
                    <xdr:row>0</xdr:row>
                    <xdr:rowOff>152400</xdr:rowOff>
                  </from>
                  <to>
                    <xdr:col>6</xdr:col>
                    <xdr:colOff>200025</xdr:colOff>
                    <xdr:row>1</xdr:row>
                    <xdr:rowOff>142875</xdr:rowOff>
                  </to>
                </anchor>
              </controlPr>
            </control>
          </mc:Choice>
        </mc:AlternateContent>
        <mc:AlternateContent xmlns:mc="http://schemas.openxmlformats.org/markup-compatibility/2006">
          <mc:Choice Requires="x14">
            <control shapeId="85001" r:id="rId6" name="Option Button 9">
              <controlPr defaultSize="0" autoFill="0" autoLine="0" autoPict="0" macro="[0]!DoiDonViHienThi">
                <anchor moveWithCells="1">
                  <from>
                    <xdr:col>6</xdr:col>
                    <xdr:colOff>85725</xdr:colOff>
                    <xdr:row>0</xdr:row>
                    <xdr:rowOff>152400</xdr:rowOff>
                  </from>
                  <to>
                    <xdr:col>6</xdr:col>
                    <xdr:colOff>438150</xdr:colOff>
                    <xdr:row>1</xdr:row>
                    <xdr:rowOff>142875</xdr:rowOff>
                  </to>
                </anchor>
              </controlPr>
            </control>
          </mc:Choice>
        </mc:AlternateContent>
        <mc:AlternateContent xmlns:mc="http://schemas.openxmlformats.org/markup-compatibility/2006">
          <mc:Choice Requires="x14">
            <control shapeId="85002" r:id="rId7" name="Group Box 10">
              <controlPr defaultSize="0" autoFill="0" autoPict="0">
                <anchor moveWithCells="1">
                  <from>
                    <xdr:col>3</xdr:col>
                    <xdr:colOff>542925</xdr:colOff>
                    <xdr:row>0</xdr:row>
                    <xdr:rowOff>104775</xdr:rowOff>
                  </from>
                  <to>
                    <xdr:col>6</xdr:col>
                    <xdr:colOff>552450</xdr:colOff>
                    <xdr:row>1</xdr:row>
                    <xdr:rowOff>180975</xdr:rowOff>
                  </to>
                </anchor>
              </controlPr>
            </control>
          </mc:Choice>
        </mc:AlternateContent>
        <mc:AlternateContent xmlns:mc="http://schemas.openxmlformats.org/markup-compatibility/2006">
          <mc:Choice Requires="x14">
            <control shapeId="85003" r:id="rId8" name="Group Box 11">
              <controlPr defaultSize="0" autoFill="0" autoPict="0">
                <anchor moveWithCells="1">
                  <from>
                    <xdr:col>1</xdr:col>
                    <xdr:colOff>57150</xdr:colOff>
                    <xdr:row>0</xdr:row>
                    <xdr:rowOff>104775</xdr:rowOff>
                  </from>
                  <to>
                    <xdr:col>3</xdr:col>
                    <xdr:colOff>495300</xdr:colOff>
                    <xdr:row>1</xdr:row>
                    <xdr:rowOff>180975</xdr:rowOff>
                  </to>
                </anchor>
              </controlPr>
            </control>
          </mc:Choice>
        </mc:AlternateContent>
        <mc:AlternateContent xmlns:mc="http://schemas.openxmlformats.org/markup-compatibility/2006">
          <mc:Choice Requires="x14">
            <control shapeId="85004" r:id="rId9" name="Button 12">
              <controlPr defaultSize="0" autoFill="0" autoPict="0" macro="[0]!NhanNghin">
                <anchor moveWithCells="1">
                  <from>
                    <xdr:col>1</xdr:col>
                    <xdr:colOff>142875</xdr:colOff>
                    <xdr:row>0</xdr:row>
                    <xdr:rowOff>200025</xdr:rowOff>
                  </from>
                  <to>
                    <xdr:col>2</xdr:col>
                    <xdr:colOff>57150</xdr:colOff>
                    <xdr:row>1</xdr:row>
                    <xdr:rowOff>85725</xdr:rowOff>
                  </to>
                </anchor>
              </controlPr>
            </control>
          </mc:Choice>
        </mc:AlternateContent>
        <mc:AlternateContent xmlns:mc="http://schemas.openxmlformats.org/markup-compatibility/2006">
          <mc:Choice Requires="x14">
            <control shapeId="85005" r:id="rId10" name="Button 13">
              <controlPr defaultSize="0" autoFill="0" autoPict="0" macro="[0]!NhanTrieu">
                <anchor moveWithCells="1">
                  <from>
                    <xdr:col>2</xdr:col>
                    <xdr:colOff>104775</xdr:colOff>
                    <xdr:row>0</xdr:row>
                    <xdr:rowOff>200025</xdr:rowOff>
                  </from>
                  <to>
                    <xdr:col>2</xdr:col>
                    <xdr:colOff>571500</xdr:colOff>
                    <xdr:row>1</xdr:row>
                    <xdr:rowOff>85725</xdr:rowOff>
                  </to>
                </anchor>
              </controlPr>
            </control>
          </mc:Choice>
        </mc:AlternateContent>
        <mc:AlternateContent xmlns:mc="http://schemas.openxmlformats.org/markup-compatibility/2006">
          <mc:Choice Requires="x14">
            <control shapeId="85006" r:id="rId11" name="Button 14">
              <controlPr defaultSize="0" autoFill="0" autoPict="0" macro="[0]!NhanTy">
                <anchor moveWithCells="1">
                  <from>
                    <xdr:col>2</xdr:col>
                    <xdr:colOff>619125</xdr:colOff>
                    <xdr:row>0</xdr:row>
                    <xdr:rowOff>200025</xdr:rowOff>
                  </from>
                  <to>
                    <xdr:col>3</xdr:col>
                    <xdr:colOff>419100</xdr:colOff>
                    <xdr:row>1</xdr:row>
                    <xdr:rowOff>85725</xdr:rowOff>
                  </to>
                </anchor>
              </controlPr>
            </control>
          </mc:Choice>
        </mc:AlternateContent>
        <mc:AlternateContent xmlns:mc="http://schemas.openxmlformats.org/markup-compatibility/2006">
          <mc:Choice Requires="x14">
            <control shapeId="85007" r:id="rId12" name="Button 15">
              <controlPr defaultSize="0" print="0" autoFill="0" autoPict="0" macro="[0]!AddRow">
                <anchor moveWithCells="1">
                  <from>
                    <xdr:col>7</xdr:col>
                    <xdr:colOff>38100</xdr:colOff>
                    <xdr:row>0</xdr:row>
                    <xdr:rowOff>114300</xdr:rowOff>
                  </from>
                  <to>
                    <xdr:col>7</xdr:col>
                    <xdr:colOff>514350</xdr:colOff>
                    <xdr:row>1</xdr:row>
                    <xdr:rowOff>85725</xdr:rowOff>
                  </to>
                </anchor>
              </controlPr>
            </control>
          </mc:Choice>
        </mc:AlternateContent>
        <mc:AlternateContent xmlns:mc="http://schemas.openxmlformats.org/markup-compatibility/2006">
          <mc:Choice Requires="x14">
            <control shapeId="85008" r:id="rId13" name="Button 16">
              <controlPr defaultSize="0" print="0" autoFill="0" autoPict="0" macro="[0]!DeleteRow">
                <anchor moveWithCells="1">
                  <from>
                    <xdr:col>7</xdr:col>
                    <xdr:colOff>552450</xdr:colOff>
                    <xdr:row>0</xdr:row>
                    <xdr:rowOff>114300</xdr:rowOff>
                  </from>
                  <to>
                    <xdr:col>8</xdr:col>
                    <xdr:colOff>285750</xdr:colOff>
                    <xdr:row>1</xdr:row>
                    <xdr:rowOff>85725</xdr:rowOff>
                  </to>
                </anchor>
              </controlPr>
            </control>
          </mc:Choice>
        </mc:AlternateContent>
        <mc:AlternateContent xmlns:mc="http://schemas.openxmlformats.org/markup-compatibility/2006">
          <mc:Choice Requires="x14">
            <control shapeId="85009" r:id="rId14" name="Button 17">
              <controlPr defaultSize="0" print="0" autoFill="0" autoPict="0" macro="[0]!AddColumn">
                <anchor moveWithCells="1">
                  <from>
                    <xdr:col>11</xdr:col>
                    <xdr:colOff>66675</xdr:colOff>
                    <xdr:row>3</xdr:row>
                    <xdr:rowOff>114300</xdr:rowOff>
                  </from>
                  <to>
                    <xdr:col>11</xdr:col>
                    <xdr:colOff>581025</xdr:colOff>
                    <xdr:row>4</xdr:row>
                    <xdr:rowOff>142875</xdr:rowOff>
                  </to>
                </anchor>
              </controlPr>
            </control>
          </mc:Choice>
        </mc:AlternateContent>
        <mc:AlternateContent xmlns:mc="http://schemas.openxmlformats.org/markup-compatibility/2006">
          <mc:Choice Requires="x14">
            <control shapeId="85010" r:id="rId15" name="Button 18">
              <controlPr defaultSize="0" print="0" autoFill="0" autoPict="0" macro="[0]!DeleteColumn">
                <anchor moveWithCells="1">
                  <from>
                    <xdr:col>11</xdr:col>
                    <xdr:colOff>619125</xdr:colOff>
                    <xdr:row>3</xdr:row>
                    <xdr:rowOff>114300</xdr:rowOff>
                  </from>
                  <to>
                    <xdr:col>12</xdr:col>
                    <xdr:colOff>476250</xdr:colOff>
                    <xdr:row>4</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03B1FE4E-ADE7-4A35-A699-A81369AE0623}">
            <xm:f>Security!$A$1="NO VBA"</xm:f>
            <x14:dxf>
              <font>
                <color theme="0"/>
              </font>
              <border>
                <vertical/>
                <horizontal/>
              </border>
            </x14:dxf>
          </x14:cfRule>
          <xm:sqref>O3:XFD4 K3:L4 K1:XFD2 A1:J4 A5:XFD1048576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4"/>
    <outlinePr summaryBelow="0" summaryRight="0"/>
  </sheetPr>
  <dimension ref="A1:P25"/>
  <sheetViews>
    <sheetView showGridLines="0" workbookViewId="0">
      <selection activeCell="M10" sqref="M10"/>
    </sheetView>
  </sheetViews>
  <sheetFormatPr defaultRowHeight="18" customHeight="1" outlineLevelRow="1" outlineLevelCol="1" x14ac:dyDescent="0.3"/>
  <cols>
    <col min="1" max="1" width="9.625" style="7" customWidth="1"/>
    <col min="2" max="2" width="12.625" style="7" customWidth="1"/>
    <col min="3" max="3" width="10.625" style="7" customWidth="1" outlineLevel="1"/>
    <col min="4" max="5" width="9.125" style="7" customWidth="1" outlineLevel="1"/>
    <col min="6" max="6" width="9.125" style="7" customWidth="1"/>
    <col min="7" max="7" width="16.5" style="7" customWidth="1"/>
    <col min="8" max="8" width="15.5" style="7" customWidth="1"/>
    <col min="9" max="9" width="7.25" style="7" bestFit="1" customWidth="1"/>
    <col min="10" max="10" width="14" style="7" customWidth="1"/>
    <col min="11" max="11" width="11.125" style="7" bestFit="1" customWidth="1"/>
    <col min="12" max="12" width="11.125" style="7" customWidth="1"/>
    <col min="13" max="13" width="17.375" style="7" customWidth="1" outlineLevel="1"/>
    <col min="14" max="14" width="6.75" style="7" bestFit="1" customWidth="1"/>
    <col min="15" max="15" width="9.125" style="7" bestFit="1" customWidth="1"/>
    <col min="16" max="16" width="8" style="7" bestFit="1" customWidth="1"/>
    <col min="17" max="17" width="14.25" style="7" bestFit="1" customWidth="1"/>
    <col min="18" max="18" width="7.25" style="7" bestFit="1" customWidth="1"/>
    <col min="19" max="19" width="8" style="7" bestFit="1" customWidth="1"/>
    <col min="20" max="20" width="11.125" style="7" bestFit="1" customWidth="1"/>
    <col min="21" max="21" width="13.25" style="7" bestFit="1" customWidth="1"/>
    <col min="22" max="22" width="6.75" style="7" bestFit="1" customWidth="1"/>
    <col min="23" max="23" width="11.5" style="7" bestFit="1" customWidth="1"/>
    <col min="24" max="16384" width="9" style="7"/>
  </cols>
  <sheetData>
    <row r="1" spans="1:16" s="308" customFormat="1" ht="22.5" customHeight="1" x14ac:dyDescent="0.3">
      <c r="A1" s="307">
        <v>0</v>
      </c>
      <c r="B1" s="307"/>
      <c r="C1" s="307"/>
      <c r="D1" s="307"/>
      <c r="E1" s="307"/>
      <c r="F1" s="307"/>
      <c r="G1" s="307">
        <f>+A5+1</f>
        <v>1</v>
      </c>
      <c r="H1" s="307">
        <f>+G1+1</f>
        <v>2</v>
      </c>
      <c r="I1" s="307">
        <f>+H1+1</f>
        <v>3</v>
      </c>
      <c r="J1" s="307">
        <f>+I1+1</f>
        <v>4</v>
      </c>
      <c r="K1" s="307">
        <f>+J1+1</f>
        <v>5</v>
      </c>
      <c r="L1" s="307"/>
      <c r="M1" s="307">
        <f>+K1+1</f>
        <v>6</v>
      </c>
      <c r="N1" s="307"/>
      <c r="O1" s="307"/>
      <c r="P1" s="307"/>
    </row>
    <row r="2" spans="1:16" s="112" customFormat="1" ht="18" customHeight="1" x14ac:dyDescent="0.3">
      <c r="A2" s="270"/>
      <c r="B2" s="270"/>
      <c r="C2" s="270"/>
      <c r="D2" s="270"/>
      <c r="E2" s="270"/>
      <c r="F2" s="270"/>
      <c r="G2" s="270"/>
      <c r="H2" s="270"/>
      <c r="I2" s="270"/>
      <c r="J2" s="270"/>
      <c r="K2" s="270"/>
      <c r="L2" s="270"/>
      <c r="M2" s="270"/>
      <c r="N2" s="270"/>
      <c r="O2" s="270"/>
      <c r="P2" s="270"/>
    </row>
    <row r="3" spans="1:16" s="112" customFormat="1" ht="18" customHeight="1" outlineLevel="1" x14ac:dyDescent="0.3">
      <c r="A3" s="270"/>
      <c r="B3" s="173" t="s">
        <v>29</v>
      </c>
      <c r="C3" s="173" t="s">
        <v>58</v>
      </c>
      <c r="D3" s="173" t="s">
        <v>62</v>
      </c>
      <c r="E3" s="173" t="s">
        <v>280</v>
      </c>
      <c r="F3" s="270"/>
      <c r="G3" s="270"/>
      <c r="H3" s="270"/>
      <c r="I3" s="270"/>
      <c r="J3" s="270"/>
      <c r="K3" s="270"/>
      <c r="L3" s="270"/>
      <c r="M3" s="270"/>
      <c r="N3" s="270"/>
      <c r="O3" s="270"/>
      <c r="P3" s="270"/>
    </row>
    <row r="4" spans="1:16" s="112" customFormat="1" ht="18" customHeight="1" outlineLevel="1" x14ac:dyDescent="0.3">
      <c r="A4" s="270"/>
      <c r="B4" s="270"/>
      <c r="C4" s="272"/>
      <c r="D4" s="272"/>
      <c r="E4" s="270"/>
      <c r="F4" s="270"/>
      <c r="G4" s="270"/>
      <c r="H4" s="270"/>
      <c r="I4" s="270"/>
      <c r="J4" s="270"/>
      <c r="K4" s="270"/>
      <c r="L4" s="270"/>
      <c r="M4" s="270"/>
      <c r="N4" s="270"/>
      <c r="O4" s="270"/>
      <c r="P4" s="270"/>
    </row>
    <row r="5" spans="1:16" s="112" customFormat="1" ht="18" customHeight="1" outlineLevel="1" x14ac:dyDescent="0.3">
      <c r="A5" s="270"/>
      <c r="B5" s="272"/>
      <c r="C5" s="270"/>
      <c r="D5" s="270"/>
      <c r="E5" s="112" t="s">
        <v>280</v>
      </c>
      <c r="F5" s="270"/>
      <c r="G5" s="270"/>
      <c r="H5" s="270"/>
      <c r="I5" s="270"/>
      <c r="J5" s="270"/>
      <c r="K5" s="270"/>
      <c r="L5" s="270"/>
      <c r="M5" s="270"/>
      <c r="N5" s="270"/>
      <c r="O5" s="270"/>
      <c r="P5" s="270"/>
    </row>
    <row r="6" spans="1:16" s="112" customFormat="1" ht="18" customHeight="1" outlineLevel="1" x14ac:dyDescent="0.3">
      <c r="A6" s="270"/>
      <c r="B6" s="270"/>
      <c r="C6" s="270"/>
      <c r="D6" s="270"/>
      <c r="E6" s="270"/>
      <c r="F6" s="112" t="s">
        <v>835</v>
      </c>
      <c r="G6" s="112" t="str" cm="1">
        <f t="array" ref="G6">TRANSPOSE(_xlfn._xlws.SORT(_xlfn._xlws.FILTER(Table_SKU[Mã SKU],Table_SKU[Loại hình]=F6,"")))</f>
        <v>HH1</v>
      </c>
      <c r="H6" s="270"/>
      <c r="I6" s="270"/>
      <c r="J6" s="270"/>
      <c r="K6" s="270"/>
      <c r="L6" s="270"/>
      <c r="M6" s="270"/>
      <c r="N6" s="270"/>
      <c r="O6" s="270"/>
      <c r="P6" s="270"/>
    </row>
    <row r="7" spans="1:16" s="112" customFormat="1" ht="18" customHeight="1" outlineLevel="1" x14ac:dyDescent="0.3">
      <c r="A7" s="270"/>
      <c r="B7" s="270"/>
      <c r="C7" s="270"/>
      <c r="D7" s="270"/>
      <c r="E7" s="270"/>
      <c r="F7" s="112" t="s">
        <v>836</v>
      </c>
      <c r="G7" s="112" t="str" cm="1">
        <f t="array" ref="G7:H7">TRANSPOSE(_xlfn._xlws.SORT(_xlfn._xlws.FILTER(Table_SKU[Mã SKU],Table_SKU[Loại hình]=F7,"")))</f>
        <v>TP1</v>
      </c>
      <c r="H7" s="270" t="str">
        <v>TP2</v>
      </c>
      <c r="I7" s="270"/>
      <c r="J7" s="270"/>
      <c r="K7" s="270"/>
      <c r="L7" s="270"/>
      <c r="M7" s="270"/>
      <c r="N7" s="270"/>
      <c r="O7" s="270"/>
      <c r="P7" s="270"/>
    </row>
    <row r="8" spans="1:16" s="112" customFormat="1" ht="18" customHeight="1" outlineLevel="1" x14ac:dyDescent="0.3">
      <c r="A8" s="270"/>
      <c r="B8" s="270"/>
      <c r="C8" s="270"/>
      <c r="D8" s="270"/>
      <c r="E8" s="270"/>
      <c r="F8" s="112" t="s">
        <v>149</v>
      </c>
      <c r="G8" s="112" t="str" cm="1">
        <f t="array" ref="G8">TRANSPOSE(_xlfn._xlws.SORT(_xlfn._xlws.FILTER(Table_SKU[Mã SKU],Table_SKU[Loại hình]=F8,"")))</f>
        <v/>
      </c>
      <c r="H8" s="270"/>
      <c r="I8" s="270"/>
      <c r="J8" s="270"/>
      <c r="K8" s="270"/>
      <c r="L8" s="270"/>
      <c r="M8" s="270"/>
      <c r="N8" s="270"/>
      <c r="O8" s="270"/>
      <c r="P8" s="270"/>
    </row>
    <row r="9" spans="1:16" s="112" customFormat="1" ht="18" customHeight="1" outlineLevel="1" x14ac:dyDescent="0.3">
      <c r="A9" s="270"/>
      <c r="B9" s="270"/>
      <c r="C9" s="270"/>
      <c r="D9" s="270"/>
      <c r="E9" s="270"/>
      <c r="F9" s="112" t="s">
        <v>798</v>
      </c>
      <c r="G9" s="270" t="str" cm="1">
        <f t="array" ref="G9:I9">TRANSPOSE(_xlfn._xlws.SORT(Table_SKU[Mã SKU]))</f>
        <v>HH1</v>
      </c>
      <c r="H9" s="270" t="str">
        <v>TP1</v>
      </c>
      <c r="I9" s="270" t="str">
        <v>TP2</v>
      </c>
      <c r="J9" s="270"/>
      <c r="K9" s="270"/>
      <c r="L9" s="270"/>
      <c r="M9" s="270"/>
      <c r="N9" s="270"/>
      <c r="O9" s="270"/>
      <c r="P9" s="270"/>
    </row>
    <row r="10" spans="1:16" ht="18" customHeight="1" x14ac:dyDescent="0.3">
      <c r="A10" s="240"/>
      <c r="B10" s="433" t="s">
        <v>29</v>
      </c>
      <c r="C10" s="434" t="s">
        <v>58</v>
      </c>
      <c r="D10" s="434" t="s">
        <v>62</v>
      </c>
      <c r="E10" s="433" t="s">
        <v>837</v>
      </c>
      <c r="F10" s="433" t="s">
        <v>838</v>
      </c>
      <c r="G10" s="433" t="s">
        <v>31</v>
      </c>
      <c r="H10" s="433" t="s">
        <v>702</v>
      </c>
      <c r="I10" s="433" t="s">
        <v>321</v>
      </c>
      <c r="J10" s="433" t="s">
        <v>839</v>
      </c>
      <c r="K10" s="433" t="s">
        <v>705</v>
      </c>
      <c r="L10" s="541" t="s">
        <v>1233</v>
      </c>
      <c r="M10" s="172" t="s">
        <v>17</v>
      </c>
      <c r="N10" s="7" t="s">
        <v>873</v>
      </c>
      <c r="O10" s="240"/>
      <c r="P10" s="246"/>
    </row>
    <row r="11" spans="1:16" ht="18" customHeight="1" x14ac:dyDescent="0.3">
      <c r="A11" s="240"/>
      <c r="B11" s="240"/>
      <c r="C11" s="240"/>
      <c r="D11" s="240"/>
      <c r="E11" s="240"/>
      <c r="F11" s="240" t="s">
        <v>836</v>
      </c>
      <c r="G11" s="247" t="s">
        <v>1151</v>
      </c>
      <c r="H11" s="240"/>
      <c r="I11" s="240"/>
      <c r="J11" s="15">
        <v>500000</v>
      </c>
      <c r="L11" s="442"/>
      <c r="M11" s="115">
        <f xml:space="preserve">
+IFERROR(SUM(_xlfn._xlws.FILTER(Table_Main[Số lượng],
(Table_Main[Mã SKU]=Table_SKU[[#This Row],[Mã SKU]])*
(Table_Main[Loại] = "Nhập")
)),0)
-IFERROR(SUM(_xlfn._xlws.FILTER(Table_Main[Số lượng],
(Table_Main[Mã SKU]=Table_SKU[[#This Row],[Mã SKU]])*
(Table_Main[Loại] = "Xuất")
)),0)</f>
        <v>45</v>
      </c>
      <c r="N11" s="240"/>
      <c r="O11" s="240"/>
      <c r="P11" s="246"/>
    </row>
    <row r="12" spans="1:16" ht="18" customHeight="1" x14ac:dyDescent="0.3">
      <c r="A12" s="240"/>
      <c r="B12" s="240"/>
      <c r="C12" s="240"/>
      <c r="D12" s="240"/>
      <c r="E12" s="240"/>
      <c r="F12" s="240" t="s">
        <v>836</v>
      </c>
      <c r="G12" s="247" t="s">
        <v>1150</v>
      </c>
      <c r="H12" s="240"/>
      <c r="I12" s="240"/>
      <c r="J12" s="15">
        <v>300000</v>
      </c>
      <c r="L12" s="442"/>
      <c r="M12" s="115">
        <f xml:space="preserve">
+IFERROR(SUM(_xlfn._xlws.FILTER(Table_Main[Số lượng],
(Table_Main[Mã SKU]=Table_SKU[[#This Row],[Mã SKU]])*
(Table_Main[Loại] = "Nhập")
)),0)
-IFERROR(SUM(_xlfn._xlws.FILTER(Table_Main[Số lượng],
(Table_Main[Mã SKU]=Table_SKU[[#This Row],[Mã SKU]])*
(Table_Main[Loại] = "Xuất")
)),0)</f>
        <v>66</v>
      </c>
      <c r="N12" s="240"/>
      <c r="O12" s="240"/>
      <c r="P12" s="246"/>
    </row>
    <row r="13" spans="1:16" ht="18" customHeight="1" x14ac:dyDescent="0.3">
      <c r="A13" s="240"/>
      <c r="B13" s="240"/>
      <c r="C13" s="240"/>
      <c r="D13" s="240"/>
      <c r="E13" s="240"/>
      <c r="F13" s="240" t="s">
        <v>835</v>
      </c>
      <c r="G13" s="247" t="s">
        <v>1149</v>
      </c>
      <c r="H13" s="240"/>
      <c r="I13" s="240"/>
      <c r="J13" s="15">
        <v>100000</v>
      </c>
      <c r="K13" s="45"/>
      <c r="L13" s="542"/>
      <c r="M13" s="18">
        <f xml:space="preserve">
+IFERROR(SUM(_xlfn._xlws.FILTER(Table_Main[Số lượng],
(Table_Main[Mã SKU]=Table_SKU[[#This Row],[Mã SKU]])*
(Table_Main[Loại] = "Nhập")
)),0)
-IFERROR(SUM(_xlfn._xlws.FILTER(Table_Main[Số lượng],
(Table_Main[Mã SKU]=Table_SKU[[#This Row],[Mã SKU]])*
(Table_Main[Loại] = "Xuất")
)),0)</f>
        <v>69</v>
      </c>
      <c r="N13" s="240"/>
      <c r="O13" s="240"/>
      <c r="P13" s="246"/>
    </row>
    <row r="14" spans="1:16" ht="18" customHeight="1" x14ac:dyDescent="0.3">
      <c r="A14" s="240"/>
      <c r="B14" s="240"/>
      <c r="C14" s="240"/>
      <c r="D14" s="240"/>
      <c r="E14" s="240"/>
      <c r="F14" s="240"/>
      <c r="G14" s="240"/>
      <c r="H14" s="240"/>
      <c r="I14" s="240"/>
      <c r="J14" s="240"/>
      <c r="K14" s="240"/>
      <c r="L14" s="240"/>
      <c r="M14" s="240"/>
      <c r="N14" s="240"/>
      <c r="O14" s="240"/>
      <c r="P14" s="246"/>
    </row>
    <row r="15" spans="1:16" ht="18" customHeight="1" x14ac:dyDescent="0.3">
      <c r="A15" s="240"/>
      <c r="B15" s="240"/>
      <c r="C15" s="240"/>
      <c r="D15" s="240"/>
      <c r="E15" s="240"/>
      <c r="F15" s="240"/>
      <c r="G15" s="240"/>
      <c r="H15" s="240"/>
      <c r="I15" s="240"/>
      <c r="J15" s="240"/>
      <c r="K15" s="240"/>
      <c r="L15" s="240"/>
      <c r="M15" s="240"/>
      <c r="N15" s="240"/>
      <c r="O15" s="240"/>
      <c r="P15" s="246"/>
    </row>
    <row r="16" spans="1:16" ht="18" customHeight="1" x14ac:dyDescent="0.3">
      <c r="A16" s="240"/>
      <c r="B16" s="240"/>
      <c r="C16" s="240"/>
      <c r="D16" s="240"/>
      <c r="E16" s="240"/>
      <c r="F16" s="240"/>
      <c r="G16" s="240"/>
      <c r="H16" s="240"/>
      <c r="I16" s="240"/>
      <c r="J16" s="240"/>
      <c r="K16" s="240"/>
      <c r="L16" s="240"/>
      <c r="M16" s="240"/>
      <c r="N16" s="240"/>
      <c r="O16" s="240"/>
      <c r="P16" s="246"/>
    </row>
    <row r="17" spans="1:16" ht="18" customHeight="1" x14ac:dyDescent="0.3">
      <c r="A17" s="240"/>
      <c r="B17" s="240"/>
      <c r="C17" s="240"/>
      <c r="D17" s="240"/>
      <c r="E17" s="240"/>
      <c r="F17" s="240"/>
      <c r="G17" s="240"/>
      <c r="H17" s="240"/>
      <c r="I17" s="240"/>
      <c r="J17" s="240"/>
      <c r="K17" s="240"/>
      <c r="L17" s="240"/>
      <c r="M17" s="240"/>
      <c r="N17" s="240"/>
      <c r="O17" s="240"/>
      <c r="P17" s="246"/>
    </row>
    <row r="18" spans="1:16" ht="18" customHeight="1" x14ac:dyDescent="0.3">
      <c r="A18" s="240"/>
      <c r="B18" s="240"/>
      <c r="C18" s="240"/>
      <c r="D18" s="240"/>
      <c r="E18" s="240"/>
      <c r="F18" s="240"/>
      <c r="G18" s="240"/>
      <c r="H18" s="240"/>
      <c r="I18" s="240"/>
      <c r="J18" s="240"/>
      <c r="K18" s="240"/>
      <c r="L18" s="240"/>
      <c r="M18" s="240"/>
      <c r="N18" s="240"/>
      <c r="O18" s="240"/>
      <c r="P18" s="246"/>
    </row>
    <row r="19" spans="1:16" ht="18" customHeight="1" x14ac:dyDescent="0.3">
      <c r="A19" s="240"/>
      <c r="B19" s="240"/>
      <c r="C19" s="240"/>
      <c r="D19" s="240"/>
      <c r="E19" s="240"/>
      <c r="F19" s="240"/>
      <c r="G19" s="240"/>
      <c r="H19" s="240"/>
      <c r="I19" s="240"/>
      <c r="J19" s="240"/>
      <c r="K19" s="240"/>
      <c r="L19" s="240"/>
      <c r="M19" s="240"/>
      <c r="N19" s="240"/>
      <c r="O19" s="240"/>
      <c r="P19" s="246"/>
    </row>
    <row r="20" spans="1:16" ht="18" customHeight="1" x14ac:dyDescent="0.3">
      <c r="A20" s="240"/>
      <c r="B20" s="240"/>
      <c r="C20" s="240"/>
      <c r="D20" s="240"/>
      <c r="E20" s="240"/>
      <c r="F20" s="240"/>
      <c r="G20" s="240"/>
      <c r="H20" s="240"/>
      <c r="I20" s="240"/>
      <c r="J20" s="240"/>
      <c r="K20" s="240"/>
      <c r="L20" s="240"/>
      <c r="M20" s="240"/>
      <c r="N20" s="240"/>
      <c r="O20" s="240"/>
      <c r="P20" s="246"/>
    </row>
    <row r="21" spans="1:16" ht="18" customHeight="1" x14ac:dyDescent="0.3">
      <c r="B21" s="240"/>
      <c r="C21" s="240"/>
      <c r="D21" s="240"/>
      <c r="E21" s="240"/>
      <c r="F21" s="240"/>
      <c r="G21" s="240"/>
      <c r="H21" s="240"/>
      <c r="I21" s="240"/>
      <c r="J21" s="240"/>
      <c r="K21" s="240"/>
      <c r="L21" s="240"/>
      <c r="M21" s="240"/>
      <c r="N21" s="240"/>
    </row>
    <row r="22" spans="1:16" ht="18" customHeight="1" x14ac:dyDescent="0.3">
      <c r="B22" s="240"/>
      <c r="C22" s="240"/>
      <c r="D22" s="240"/>
      <c r="E22" s="240"/>
      <c r="F22" s="240"/>
      <c r="G22" s="240"/>
      <c r="H22" s="240"/>
      <c r="I22" s="240"/>
      <c r="J22" s="240"/>
      <c r="K22" s="240"/>
      <c r="L22" s="240"/>
      <c r="M22" s="240"/>
      <c r="N22" s="240"/>
    </row>
    <row r="23" spans="1:16" ht="18" customHeight="1" x14ac:dyDescent="0.3">
      <c r="B23" s="240"/>
      <c r="C23" s="240"/>
      <c r="D23" s="240"/>
      <c r="E23" s="240"/>
      <c r="F23" s="240"/>
      <c r="G23" s="240"/>
      <c r="H23" s="240"/>
      <c r="I23" s="240"/>
      <c r="J23" s="240"/>
      <c r="K23" s="240"/>
      <c r="L23" s="240"/>
      <c r="M23" s="240"/>
      <c r="N23" s="240"/>
    </row>
    <row r="24" spans="1:16" ht="18" customHeight="1" x14ac:dyDescent="0.3">
      <c r="B24" s="240"/>
      <c r="C24" s="240"/>
      <c r="D24" s="240"/>
      <c r="E24" s="240"/>
      <c r="F24" s="240"/>
      <c r="G24" s="240"/>
      <c r="H24" s="240"/>
      <c r="I24" s="240"/>
      <c r="J24" s="240"/>
      <c r="K24" s="240"/>
      <c r="L24" s="240"/>
      <c r="M24" s="240"/>
      <c r="N24" s="240"/>
    </row>
    <row r="25" spans="1:16" ht="18" customHeight="1" x14ac:dyDescent="0.3">
      <c r="B25" s="240"/>
      <c r="C25" s="240"/>
      <c r="D25" s="240"/>
      <c r="E25" s="240"/>
      <c r="F25" s="240"/>
      <c r="G25" s="240"/>
      <c r="H25" s="240"/>
      <c r="I25" s="240"/>
      <c r="J25" s="240"/>
      <c r="K25" s="240"/>
      <c r="L25" s="240"/>
      <c r="M25" s="240"/>
      <c r="N25" s="240"/>
    </row>
  </sheetData>
  <sheetProtection algorithmName="SHA-512" hashValue="UTZhfq20o2Ls3TwbW6HyrErIP4zo4CRHEZSFdYJMJgcZ4ZY1/d1ak9cTeT128BGNItopXWojtdKrBJs27JlEVw==" saltValue="D9dkPfr0I1mnZykJDK+9Uw==" spinCount="100000" sheet="1" scenarios="1" formatCells="0" formatColumns="0" formatRows="0" insertColumns="0" insertRows="0" deleteColumns="0" deleteRows="0" sort="0" autoFilter="0" pivotTables="0"/>
  <protectedRanges>
    <protectedRange sqref="N5 A1:E1 B3:E5 G6:G9 F1:F5 W1:XFD4 P10:P1048576 O5:O1048576 A2:A1048576 R5:XFD1048576 Q9:Q1048576 B10:N1048576 G1:M1" name="Range1"/>
  </protectedRanges>
  <phoneticPr fontId="14" type="noConversion"/>
  <dataValidations count="4">
    <dataValidation type="list" allowBlank="1" showInputMessage="1" sqref="B11:B13" xr:uid="{F8AB7BE3-C361-43AF-9311-0565E163F432}">
      <formula1>SKU_Nhom1</formula1>
    </dataValidation>
    <dataValidation type="list" allowBlank="1" showInputMessage="1" sqref="C11:C13" xr:uid="{F0F80572-2E60-4B9A-BE82-E98B39ECF7CC}">
      <formula1>SKU_Nhom2</formula1>
    </dataValidation>
    <dataValidation type="list" allowBlank="1" showInputMessage="1" sqref="D11:D13" xr:uid="{5405679C-2AB7-44F3-8120-624122DF99C4}">
      <formula1>SKU_Nhom3</formula1>
    </dataValidation>
    <dataValidation type="list" allowBlank="1" showInputMessage="1" showErrorMessage="1" sqref="F11:F13" xr:uid="{9C327502-7C8B-4BA4-ACF2-1E7AF1D8FCC5}">
      <formula1>$F$6:$F$8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2" r:id="rId4" name="Option Button 8">
              <controlPr defaultSize="0" autoFill="0" autoLine="0" autoPict="0" macro="[0]!DoiDonViHienThi">
                <anchor moveWithCells="1">
                  <from>
                    <xdr:col>6</xdr:col>
                    <xdr:colOff>1219200</xdr:colOff>
                    <xdr:row>0</xdr:row>
                    <xdr:rowOff>152400</xdr:rowOff>
                  </from>
                  <to>
                    <xdr:col>7</xdr:col>
                    <xdr:colOff>552450</xdr:colOff>
                    <xdr:row>1</xdr:row>
                    <xdr:rowOff>142875</xdr:rowOff>
                  </to>
                </anchor>
              </controlPr>
            </control>
          </mc:Choice>
        </mc:AlternateContent>
        <mc:AlternateContent xmlns:mc="http://schemas.openxmlformats.org/markup-compatibility/2006">
          <mc:Choice Requires="x14">
            <control shapeId="82953" r:id="rId5" name="Option Button 9">
              <controlPr defaultSize="0" autoFill="0" autoLine="0" autoPict="0" macro="[0]!DoiDonViHienThi">
                <anchor moveWithCells="1">
                  <from>
                    <xdr:col>7</xdr:col>
                    <xdr:colOff>428625</xdr:colOff>
                    <xdr:row>0</xdr:row>
                    <xdr:rowOff>152400</xdr:rowOff>
                  </from>
                  <to>
                    <xdr:col>7</xdr:col>
                    <xdr:colOff>1019175</xdr:colOff>
                    <xdr:row>1</xdr:row>
                    <xdr:rowOff>142875</xdr:rowOff>
                  </to>
                </anchor>
              </controlPr>
            </control>
          </mc:Choice>
        </mc:AlternateContent>
        <mc:AlternateContent xmlns:mc="http://schemas.openxmlformats.org/markup-compatibility/2006">
          <mc:Choice Requires="x14">
            <control shapeId="82954" r:id="rId6" name="Option Button 10">
              <controlPr defaultSize="0" autoFill="0" autoLine="0" autoPict="0" macro="[0]!DoiDonViHienThi">
                <anchor moveWithCells="1">
                  <from>
                    <xdr:col>7</xdr:col>
                    <xdr:colOff>895350</xdr:colOff>
                    <xdr:row>0</xdr:row>
                    <xdr:rowOff>152400</xdr:rowOff>
                  </from>
                  <to>
                    <xdr:col>8</xdr:col>
                    <xdr:colOff>304800</xdr:colOff>
                    <xdr:row>1</xdr:row>
                    <xdr:rowOff>142875</xdr:rowOff>
                  </to>
                </anchor>
              </controlPr>
            </control>
          </mc:Choice>
        </mc:AlternateContent>
        <mc:AlternateContent xmlns:mc="http://schemas.openxmlformats.org/markup-compatibility/2006">
          <mc:Choice Requires="x14">
            <control shapeId="82955" r:id="rId7" name="Option Button 11">
              <controlPr defaultSize="0" autoFill="0" autoLine="0" autoPict="0" macro="[0]!DoiDonViHienThi">
                <anchor moveWithCells="1">
                  <from>
                    <xdr:col>8</xdr:col>
                    <xdr:colOff>190500</xdr:colOff>
                    <xdr:row>0</xdr:row>
                    <xdr:rowOff>152400</xdr:rowOff>
                  </from>
                  <to>
                    <xdr:col>8</xdr:col>
                    <xdr:colOff>542925</xdr:colOff>
                    <xdr:row>1</xdr:row>
                    <xdr:rowOff>142875</xdr:rowOff>
                  </to>
                </anchor>
              </controlPr>
            </control>
          </mc:Choice>
        </mc:AlternateContent>
        <mc:AlternateContent xmlns:mc="http://schemas.openxmlformats.org/markup-compatibility/2006">
          <mc:Choice Requires="x14">
            <control shapeId="82956" r:id="rId8" name="Group Box 12">
              <controlPr defaultSize="0" autoFill="0" autoPict="0">
                <anchor moveWithCells="1">
                  <from>
                    <xdr:col>6</xdr:col>
                    <xdr:colOff>1104900</xdr:colOff>
                    <xdr:row>0</xdr:row>
                    <xdr:rowOff>104775</xdr:rowOff>
                  </from>
                  <to>
                    <xdr:col>9</xdr:col>
                    <xdr:colOff>104775</xdr:colOff>
                    <xdr:row>1</xdr:row>
                    <xdr:rowOff>180975</xdr:rowOff>
                  </to>
                </anchor>
              </controlPr>
            </control>
          </mc:Choice>
        </mc:AlternateContent>
        <mc:AlternateContent xmlns:mc="http://schemas.openxmlformats.org/markup-compatibility/2006">
          <mc:Choice Requires="x14">
            <control shapeId="82957" r:id="rId9" name="Group Box 13">
              <controlPr defaultSize="0" autoFill="0" autoPict="0">
                <anchor moveWithCells="1">
                  <from>
                    <xdr:col>5</xdr:col>
                    <xdr:colOff>95250</xdr:colOff>
                    <xdr:row>0</xdr:row>
                    <xdr:rowOff>104775</xdr:rowOff>
                  </from>
                  <to>
                    <xdr:col>6</xdr:col>
                    <xdr:colOff>1057275</xdr:colOff>
                    <xdr:row>1</xdr:row>
                    <xdr:rowOff>180975</xdr:rowOff>
                  </to>
                </anchor>
              </controlPr>
            </control>
          </mc:Choice>
        </mc:AlternateContent>
        <mc:AlternateContent xmlns:mc="http://schemas.openxmlformats.org/markup-compatibility/2006">
          <mc:Choice Requires="x14">
            <control shapeId="82958" r:id="rId10" name="Button 14">
              <controlPr defaultSize="0" autoFill="0" autoPict="0" macro="[0]!NhanNghin">
                <anchor moveWithCells="1">
                  <from>
                    <xdr:col>5</xdr:col>
                    <xdr:colOff>180975</xdr:colOff>
                    <xdr:row>0</xdr:row>
                    <xdr:rowOff>200025</xdr:rowOff>
                  </from>
                  <to>
                    <xdr:col>5</xdr:col>
                    <xdr:colOff>647700</xdr:colOff>
                    <xdr:row>1</xdr:row>
                    <xdr:rowOff>85725</xdr:rowOff>
                  </to>
                </anchor>
              </controlPr>
            </control>
          </mc:Choice>
        </mc:AlternateContent>
        <mc:AlternateContent xmlns:mc="http://schemas.openxmlformats.org/markup-compatibility/2006">
          <mc:Choice Requires="x14">
            <control shapeId="82959" r:id="rId11" name="Button 15">
              <controlPr defaultSize="0" autoFill="0" autoPict="0" macro="[0]!NhanTrieu">
                <anchor moveWithCells="1">
                  <from>
                    <xdr:col>5</xdr:col>
                    <xdr:colOff>695325</xdr:colOff>
                    <xdr:row>0</xdr:row>
                    <xdr:rowOff>200025</xdr:rowOff>
                  </from>
                  <to>
                    <xdr:col>6</xdr:col>
                    <xdr:colOff>466725</xdr:colOff>
                    <xdr:row>1</xdr:row>
                    <xdr:rowOff>85725</xdr:rowOff>
                  </to>
                </anchor>
              </controlPr>
            </control>
          </mc:Choice>
        </mc:AlternateContent>
        <mc:AlternateContent xmlns:mc="http://schemas.openxmlformats.org/markup-compatibility/2006">
          <mc:Choice Requires="x14">
            <control shapeId="82960" r:id="rId12" name="Button 16">
              <controlPr defaultSize="0" autoFill="0" autoPict="0" macro="[0]!NhanTy">
                <anchor moveWithCells="1">
                  <from>
                    <xdr:col>6</xdr:col>
                    <xdr:colOff>514350</xdr:colOff>
                    <xdr:row>0</xdr:row>
                    <xdr:rowOff>200025</xdr:rowOff>
                  </from>
                  <to>
                    <xdr:col>6</xdr:col>
                    <xdr:colOff>981075</xdr:colOff>
                    <xdr:row>1</xdr:row>
                    <xdr:rowOff>85725</xdr:rowOff>
                  </to>
                </anchor>
              </controlPr>
            </control>
          </mc:Choice>
        </mc:AlternateContent>
        <mc:AlternateContent xmlns:mc="http://schemas.openxmlformats.org/markup-compatibility/2006">
          <mc:Choice Requires="x14">
            <control shapeId="82961" r:id="rId13" name="Button 17">
              <controlPr defaultSize="0" print="0" autoFill="0" autoPict="0" macro="[0]!AddRow">
                <anchor moveWithCells="1">
                  <from>
                    <xdr:col>0</xdr:col>
                    <xdr:colOff>657225</xdr:colOff>
                    <xdr:row>0</xdr:row>
                    <xdr:rowOff>66675</xdr:rowOff>
                  </from>
                  <to>
                    <xdr:col>1</xdr:col>
                    <xdr:colOff>400050</xdr:colOff>
                    <xdr:row>1</xdr:row>
                    <xdr:rowOff>38100</xdr:rowOff>
                  </to>
                </anchor>
              </controlPr>
            </control>
          </mc:Choice>
        </mc:AlternateContent>
        <mc:AlternateContent xmlns:mc="http://schemas.openxmlformats.org/markup-compatibility/2006">
          <mc:Choice Requires="x14">
            <control shapeId="82962" r:id="rId14" name="Button 18">
              <controlPr defaultSize="0" print="0" autoFill="0" autoPict="0" macro="[0]!DeleteRow">
                <anchor moveWithCells="1">
                  <from>
                    <xdr:col>1</xdr:col>
                    <xdr:colOff>438150</xdr:colOff>
                    <xdr:row>0</xdr:row>
                    <xdr:rowOff>66675</xdr:rowOff>
                  </from>
                  <to>
                    <xdr:col>1</xdr:col>
                    <xdr:colOff>914400</xdr:colOff>
                    <xdr:row>1</xdr:row>
                    <xdr:rowOff>38100</xdr:rowOff>
                  </to>
                </anchor>
              </controlPr>
            </control>
          </mc:Choice>
        </mc:AlternateContent>
        <mc:AlternateContent xmlns:mc="http://schemas.openxmlformats.org/markup-compatibility/2006">
          <mc:Choice Requires="x14">
            <control shapeId="82963" r:id="rId15" name="Button 19">
              <controlPr defaultSize="0" print="0" autoFill="0" autoPict="0" macro="[0]!AddColumn">
                <anchor moveWithCells="1">
                  <from>
                    <xdr:col>14</xdr:col>
                    <xdr:colOff>133350</xdr:colOff>
                    <xdr:row>8</xdr:row>
                    <xdr:rowOff>133350</xdr:rowOff>
                  </from>
                  <to>
                    <xdr:col>14</xdr:col>
                    <xdr:colOff>647700</xdr:colOff>
                    <xdr:row>9</xdr:row>
                    <xdr:rowOff>161925</xdr:rowOff>
                  </to>
                </anchor>
              </controlPr>
            </control>
          </mc:Choice>
        </mc:AlternateContent>
        <mc:AlternateContent xmlns:mc="http://schemas.openxmlformats.org/markup-compatibility/2006">
          <mc:Choice Requires="x14">
            <control shapeId="82964" r:id="rId16" name="Button 20">
              <controlPr defaultSize="0" print="0" autoFill="0" autoPict="0" macro="[0]!DeleteColumn">
                <anchor moveWithCells="1">
                  <from>
                    <xdr:col>14</xdr:col>
                    <xdr:colOff>685800</xdr:colOff>
                    <xdr:row>8</xdr:row>
                    <xdr:rowOff>133350</xdr:rowOff>
                  </from>
                  <to>
                    <xdr:col>15</xdr:col>
                    <xdr:colOff>533400</xdr:colOff>
                    <xdr:row>9</xdr:row>
                    <xdr:rowOff>161925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80CC3587-C649-4B3B-8AD3-EBA65A474436}">
            <xm:f>Security!$A$1="NO VBA"</xm:f>
            <x14:dxf>
              <font>
                <color theme="0"/>
              </font>
              <border>
                <vertical/>
                <horizontal/>
              </border>
            </x14:dxf>
          </x14:cfRule>
          <xm:sqref>R5:XFD8 A6:G9 A5:O5 H9:XFD9 H6:O8 A1:XFD4 A10:XFD1048576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75F5-DA08-4C99-975E-53EB1113B32A}">
  <sheetPr codeName="Sheet36">
    <tabColor theme="4"/>
  </sheetPr>
  <dimension ref="A1:F4"/>
  <sheetViews>
    <sheetView showGridLines="0" workbookViewId="0">
      <selection activeCell="B5" sqref="B5"/>
    </sheetView>
  </sheetViews>
  <sheetFormatPr defaultRowHeight="18" customHeight="1" x14ac:dyDescent="0.3"/>
  <cols>
    <col min="1" max="1" width="9.625" style="7" customWidth="1"/>
    <col min="2" max="2" width="8" style="7" bestFit="1" customWidth="1"/>
    <col min="3" max="3" width="8.625" style="7" bestFit="1" customWidth="1"/>
    <col min="4" max="4" width="5.5" style="7" bestFit="1" customWidth="1"/>
    <col min="5" max="5" width="9.25" style="7" bestFit="1" customWidth="1"/>
    <col min="6" max="6" width="6.75" style="7" bestFit="1" customWidth="1"/>
    <col min="7" max="16384" width="9" style="7"/>
  </cols>
  <sheetData>
    <row r="1" spans="1:6" ht="22.5" customHeight="1" x14ac:dyDescent="0.3"/>
    <row r="2" spans="1:6" s="21" customFormat="1" ht="18" customHeight="1" x14ac:dyDescent="0.3">
      <c r="A2" s="299">
        <v>0</v>
      </c>
      <c r="B2" s="299">
        <f>+A2+1</f>
        <v>1</v>
      </c>
      <c r="C2" s="299">
        <f>+B2+1</f>
        <v>2</v>
      </c>
      <c r="D2" s="299">
        <f>+C2+1</f>
        <v>3</v>
      </c>
      <c r="E2" s="299">
        <f>+D2+1</f>
        <v>4</v>
      </c>
      <c r="F2" s="299"/>
    </row>
    <row r="3" spans="1:6" ht="18" customHeight="1" x14ac:dyDescent="0.3">
      <c r="A3" s="240"/>
      <c r="B3" s="42" t="s">
        <v>831</v>
      </c>
      <c r="C3" s="42" t="s">
        <v>832</v>
      </c>
      <c r="D3" s="42" t="s">
        <v>785</v>
      </c>
      <c r="E3" s="42" t="s">
        <v>833</v>
      </c>
      <c r="F3" s="42" t="s">
        <v>873</v>
      </c>
    </row>
    <row r="4" spans="1:6" ht="18" customHeight="1" x14ac:dyDescent="0.3">
      <c r="A4" s="240"/>
      <c r="B4" s="259" t="s">
        <v>1155</v>
      </c>
      <c r="C4" s="259"/>
      <c r="D4" s="259"/>
      <c r="E4" s="259"/>
      <c r="F4" s="240"/>
    </row>
  </sheetData>
  <sheetProtection algorithmName="SHA-512" hashValue="Si7hXg/7NpOcjwXcC6JC3j+jMiJAvjV4fvnSYvBVxF3oYnpD5D/eNZB4uXpL+Wn3gDvSZ2ToOsMUgrDpSqhwZg==" saltValue="4gOBay/IfLOB1jcEKFEEbQ==" spinCount="100000" sheet="1" scenarios="1" formatCells="0" formatColumns="0" formatRows="0" insertColumns="0" insertRows="0" deleteColumns="0" deleteRows="0" sort="0" autoFilter="0" pivotTables="0"/>
  <protectedRanges>
    <protectedRange sqref="A2:XFD2 A3:E3 G3:XFD3 A4:XFD1048576" name="Range1"/>
    <protectedRange sqref="F3" name="Range1_1"/>
  </protectedRanges>
  <phoneticPr fontId="14" type="noConversion"/>
  <conditionalFormatting sqref="B4">
    <cfRule type="duplicateValues" dxfId="9" priority="28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2" r:id="rId3" name="Option Button 6">
              <controlPr defaultSize="0" autoFill="0" autoLine="0" autoPict="0" macro="[0]!DoiDonViHienThi">
                <anchor moveWithCells="1">
                  <from>
                    <xdr:col>8</xdr:col>
                    <xdr:colOff>561975</xdr:colOff>
                    <xdr:row>0</xdr:row>
                    <xdr:rowOff>152400</xdr:rowOff>
                  </from>
                  <to>
                    <xdr:col>9</xdr:col>
                    <xdr:colOff>466725</xdr:colOff>
                    <xdr:row>1</xdr:row>
                    <xdr:rowOff>142875</xdr:rowOff>
                  </to>
                </anchor>
              </controlPr>
            </control>
          </mc:Choice>
        </mc:AlternateContent>
        <mc:AlternateContent xmlns:mc="http://schemas.openxmlformats.org/markup-compatibility/2006">
          <mc:Choice Requires="x14">
            <control shapeId="80903" r:id="rId4" name="Option Button 7">
              <controlPr defaultSize="0" autoFill="0" autoLine="0" autoPict="0" macro="[0]!DoiDonViHienThi">
                <anchor moveWithCells="1">
                  <from>
                    <xdr:col>9</xdr:col>
                    <xdr:colOff>342900</xdr:colOff>
                    <xdr:row>0</xdr:row>
                    <xdr:rowOff>152400</xdr:rowOff>
                  </from>
                  <to>
                    <xdr:col>10</xdr:col>
                    <xdr:colOff>247650</xdr:colOff>
                    <xdr:row>1</xdr:row>
                    <xdr:rowOff>142875</xdr:rowOff>
                  </to>
                </anchor>
              </controlPr>
            </control>
          </mc:Choice>
        </mc:AlternateContent>
        <mc:AlternateContent xmlns:mc="http://schemas.openxmlformats.org/markup-compatibility/2006">
          <mc:Choice Requires="x14">
            <control shapeId="80904" r:id="rId5" name="Option Button 8">
              <controlPr defaultSize="0" autoFill="0" autoLine="0" autoPict="0" macro="[0]!DoiDonViHienThi">
                <anchor moveWithCells="1">
                  <from>
                    <xdr:col>10</xdr:col>
                    <xdr:colOff>123825</xdr:colOff>
                    <xdr:row>0</xdr:row>
                    <xdr:rowOff>152400</xdr:rowOff>
                  </from>
                  <to>
                    <xdr:col>11</xdr:col>
                    <xdr:colOff>28575</xdr:colOff>
                    <xdr:row>1</xdr:row>
                    <xdr:rowOff>142875</xdr:rowOff>
                  </to>
                </anchor>
              </controlPr>
            </control>
          </mc:Choice>
        </mc:AlternateContent>
        <mc:AlternateContent xmlns:mc="http://schemas.openxmlformats.org/markup-compatibility/2006">
          <mc:Choice Requires="x14">
            <control shapeId="80905" r:id="rId6" name="Option Button 9">
              <controlPr defaultSize="0" autoFill="0" autoLine="0" autoPict="0" macro="[0]!DoiDonViHienThi">
                <anchor moveWithCells="1">
                  <from>
                    <xdr:col>10</xdr:col>
                    <xdr:colOff>600075</xdr:colOff>
                    <xdr:row>0</xdr:row>
                    <xdr:rowOff>152400</xdr:rowOff>
                  </from>
                  <to>
                    <xdr:col>11</xdr:col>
                    <xdr:colOff>266700</xdr:colOff>
                    <xdr:row>1</xdr:row>
                    <xdr:rowOff>142875</xdr:rowOff>
                  </to>
                </anchor>
              </controlPr>
            </control>
          </mc:Choice>
        </mc:AlternateContent>
        <mc:AlternateContent xmlns:mc="http://schemas.openxmlformats.org/markup-compatibility/2006">
          <mc:Choice Requires="x14">
            <control shapeId="80906" r:id="rId7" name="Group Box 10">
              <controlPr defaultSize="0" autoFill="0" autoPict="0">
                <anchor moveWithCells="1">
                  <from>
                    <xdr:col>8</xdr:col>
                    <xdr:colOff>447675</xdr:colOff>
                    <xdr:row>0</xdr:row>
                    <xdr:rowOff>104775</xdr:rowOff>
                  </from>
                  <to>
                    <xdr:col>11</xdr:col>
                    <xdr:colOff>381000</xdr:colOff>
                    <xdr:row>1</xdr:row>
                    <xdr:rowOff>180975</xdr:rowOff>
                  </to>
                </anchor>
              </controlPr>
            </control>
          </mc:Choice>
        </mc:AlternateContent>
        <mc:AlternateContent xmlns:mc="http://schemas.openxmlformats.org/markup-compatibility/2006">
          <mc:Choice Requires="x14">
            <control shapeId="80907" r:id="rId8" name="Group Box 11">
              <controlPr defaultSize="0" autoFill="0" autoPict="0">
                <anchor moveWithCells="1">
                  <from>
                    <xdr:col>6</xdr:col>
                    <xdr:colOff>114300</xdr:colOff>
                    <xdr:row>0</xdr:row>
                    <xdr:rowOff>104775</xdr:rowOff>
                  </from>
                  <to>
                    <xdr:col>8</xdr:col>
                    <xdr:colOff>400050</xdr:colOff>
                    <xdr:row>1</xdr:row>
                    <xdr:rowOff>180975</xdr:rowOff>
                  </to>
                </anchor>
              </controlPr>
            </control>
          </mc:Choice>
        </mc:AlternateContent>
        <mc:AlternateContent xmlns:mc="http://schemas.openxmlformats.org/markup-compatibility/2006">
          <mc:Choice Requires="x14">
            <control shapeId="80908" r:id="rId9" name="Button 12">
              <controlPr defaultSize="0" autoFill="0" autoPict="0" macro="[0]!NhanNghin">
                <anchor moveWithCells="1">
                  <from>
                    <xdr:col>6</xdr:col>
                    <xdr:colOff>200025</xdr:colOff>
                    <xdr:row>0</xdr:row>
                    <xdr:rowOff>200025</xdr:rowOff>
                  </from>
                  <to>
                    <xdr:col>6</xdr:col>
                    <xdr:colOff>666750</xdr:colOff>
                    <xdr:row>1</xdr:row>
                    <xdr:rowOff>85725</xdr:rowOff>
                  </to>
                </anchor>
              </controlPr>
            </control>
          </mc:Choice>
        </mc:AlternateContent>
        <mc:AlternateContent xmlns:mc="http://schemas.openxmlformats.org/markup-compatibility/2006">
          <mc:Choice Requires="x14">
            <control shapeId="80909" r:id="rId10" name="Button 13">
              <controlPr defaultSize="0" autoFill="0" autoPict="0" macro="[0]!NhanTrieu">
                <anchor moveWithCells="1">
                  <from>
                    <xdr:col>7</xdr:col>
                    <xdr:colOff>28575</xdr:colOff>
                    <xdr:row>0</xdr:row>
                    <xdr:rowOff>200025</xdr:rowOff>
                  </from>
                  <to>
                    <xdr:col>7</xdr:col>
                    <xdr:colOff>495300</xdr:colOff>
                    <xdr:row>1</xdr:row>
                    <xdr:rowOff>85725</xdr:rowOff>
                  </to>
                </anchor>
              </controlPr>
            </control>
          </mc:Choice>
        </mc:AlternateContent>
        <mc:AlternateContent xmlns:mc="http://schemas.openxmlformats.org/markup-compatibility/2006">
          <mc:Choice Requires="x14">
            <control shapeId="80910" r:id="rId11" name="Button 14">
              <controlPr defaultSize="0" autoFill="0" autoPict="0" macro="[0]!NhanTy">
                <anchor moveWithCells="1">
                  <from>
                    <xdr:col>7</xdr:col>
                    <xdr:colOff>542925</xdr:colOff>
                    <xdr:row>0</xdr:row>
                    <xdr:rowOff>200025</xdr:rowOff>
                  </from>
                  <to>
                    <xdr:col>8</xdr:col>
                    <xdr:colOff>323850</xdr:colOff>
                    <xdr:row>1</xdr:row>
                    <xdr:rowOff>85725</xdr:rowOff>
                  </to>
                </anchor>
              </controlPr>
            </control>
          </mc:Choice>
        </mc:AlternateContent>
        <mc:AlternateContent xmlns:mc="http://schemas.openxmlformats.org/markup-compatibility/2006">
          <mc:Choice Requires="x14">
            <control shapeId="80911" r:id="rId12" name="Button 15">
              <controlPr defaultSize="0" print="0" autoFill="0" autoPict="0" macro="[0]!AddRow">
                <anchor moveWithCells="1">
                  <from>
                    <xdr:col>1</xdr:col>
                    <xdr:colOff>114300</xdr:colOff>
                    <xdr:row>0</xdr:row>
                    <xdr:rowOff>200025</xdr:rowOff>
                  </from>
                  <to>
                    <xdr:col>1</xdr:col>
                    <xdr:colOff>590550</xdr:colOff>
                    <xdr:row>1</xdr:row>
                    <xdr:rowOff>171450</xdr:rowOff>
                  </to>
                </anchor>
              </controlPr>
            </control>
          </mc:Choice>
        </mc:AlternateContent>
        <mc:AlternateContent xmlns:mc="http://schemas.openxmlformats.org/markup-compatibility/2006">
          <mc:Choice Requires="x14">
            <control shapeId="80912" r:id="rId13" name="Button 16">
              <controlPr defaultSize="0" print="0" autoFill="0" autoPict="0" macro="[0]!DeleteRow">
                <anchor moveWithCells="1">
                  <from>
                    <xdr:col>2</xdr:col>
                    <xdr:colOff>19050</xdr:colOff>
                    <xdr:row>0</xdr:row>
                    <xdr:rowOff>200025</xdr:rowOff>
                  </from>
                  <to>
                    <xdr:col>2</xdr:col>
                    <xdr:colOff>495300</xdr:colOff>
                    <xdr:row>1</xdr:row>
                    <xdr:rowOff>171450</xdr:rowOff>
                  </to>
                </anchor>
              </controlPr>
            </control>
          </mc:Choice>
        </mc:AlternateContent>
        <mc:AlternateContent xmlns:mc="http://schemas.openxmlformats.org/markup-compatibility/2006">
          <mc:Choice Requires="x14">
            <control shapeId="80913" r:id="rId14" name="Button 17">
              <controlPr defaultSize="0" print="0" autoFill="0" autoPict="0" macro="[0]!AddColumn">
                <anchor moveWithCells="1">
                  <from>
                    <xdr:col>2</xdr:col>
                    <xdr:colOff>542925</xdr:colOff>
                    <xdr:row>0</xdr:row>
                    <xdr:rowOff>200025</xdr:rowOff>
                  </from>
                  <to>
                    <xdr:col>3</xdr:col>
                    <xdr:colOff>400050</xdr:colOff>
                    <xdr:row>1</xdr:row>
                    <xdr:rowOff>171450</xdr:rowOff>
                  </to>
                </anchor>
              </controlPr>
            </control>
          </mc:Choice>
        </mc:AlternateContent>
        <mc:AlternateContent xmlns:mc="http://schemas.openxmlformats.org/markup-compatibility/2006">
          <mc:Choice Requires="x14">
            <control shapeId="80914" r:id="rId15" name="Button 18">
              <controlPr defaultSize="0" print="0" autoFill="0" autoPict="0" macro="[0]!DeleteColumn">
                <anchor moveWithCells="1">
                  <from>
                    <xdr:col>4</xdr:col>
                    <xdr:colOff>19050</xdr:colOff>
                    <xdr:row>0</xdr:row>
                    <xdr:rowOff>200025</xdr:rowOff>
                  </from>
                  <to>
                    <xdr:col>4</xdr:col>
                    <xdr:colOff>561975</xdr:colOff>
                    <xdr:row>1</xdr:row>
                    <xdr:rowOff>171450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DA3FCDC5-C843-4F5B-86CF-16AD3E19AF4F}">
            <xm:f>Security!$A$1="NO VBA"</xm:f>
            <x14:dxf>
              <font>
                <color theme="0"/>
              </font>
              <border>
                <vertical/>
                <horizontal/>
              </border>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 � � �� �  l � � � � i �m   s �  d � � �n   c � � �p    � � � � i � �  d �  �  �  �  �  l ��  �  � i � i �  l � i � i � � � � �� �  l � � � � i �m   s �  d � � �n   c � � �p    � � � � i � �  d �  �  �  �  �  l ��  �  � i � i �  l � i � i � 
</file>

<file path=customXml/item3.xml>�� � � �n   v � �  s u � �  l � � � � �n   v � �  s u � �  l � � 
</file>

<file path=customXml/item4.xml>�� 
</file>

<file path=customXml/item5.xml>��   
</file>

<file path=customXml/item6.xml>�� 
</file>

<file path=customXml/item7.xml>��   
</file>

<file path=customXml/item8.xml>��   
</file>

<file path=customXml/item9.xml>��   
</file>

<file path=customXml/item10.xml>�� 
</file>

<file path=customXml/item11.xml>��   
</file>

<file path=customXml/item12.xml>��   
</file>

<file path=customXml/item13.xml>�� �n   �u   t � �n   �u   t � �  �u   t � �i   h � �  �  �u   t � �   � �n   �u   t � �n   �u   t � �  �u   t � �i   h � �  �  �u   t � �   � 
</file>

<file path=customXml/item14.xml>�� 
</file>

<file path=customXml/item15.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16.xml>�� 
</file>

<file path=customXml/item17.xml>�� �� �i   t �� � �� �t   � � �  l � � �  l �� �  t � � �� �i   t �� � �� �t   � � �  l � � �  l �� �  t � � 
</file>

<file path=customXml/item18.xml>�� 
</file>

<file path=customXml/item19.xml>�� 
</file>

<file path=customXml/item20.xml>�� � � � � 
</file>

<file path=customXml/item21.xml>�� � � � � � � � � i � �  d � i �m   s �  d � �� �  l � � � � � i � �  l � i � i � i �n   c � � � � � � �p     �  �  �  �  l ��  �  � �� �i   t �� � �� �t   � � �  l � � �  l �� �  t � � � � �n   v � �  s u � �  l � � � �i   t �� � � � � �  t �n   � �  t � � � � � � � � � � � �  l �� � � � � � �  s u � � � � � � � � � �� �  l � � � �� �  l � � � �  l � �n   � � �p     �  �  �  �  l ��  �  � 
</file>

<file path=customXml/item22.xml>��   
</file>

<file path=customXml/item23.xml>��   
</file>

<file path=customXml/item24.xml>�� 
</file>

<file path=customXml/item25.xml>�� 
</file>

<file path=customXml/item26.xml>��   
</file>

<file path=customXml/item27.xml>�� 
</file>

<file path=customXml/item28.xml>��   
</file>

<file path=customXml/item29.xml>�� 
</file>

<file path=customXml/item30.xml>�� � � � � � � � � � � 
</file>

<file path=customXml/item31.xml>��   
</file>

<file path=customXml/item32.xml>�� 
</file>

<file path=customXml/item33.xml>�� 
</file>

<file path=customXml/item34.xml>�� � � � � � �    � � � � � � 
</file>

<file path=customXml/item35.xml>��   
</file>

<file path=customXml/item36.xml>��   
</file>

<file path=customXml/item37.xml>�� � � �  t �n   � �  t � � � � � � �i   t �� � � � � � � �  l �� � � � � � �  s u � � � � � � � � � �� �  l � � � �� �  l � � � �  l � �n   � � �p     �  �  �  �  l ��  �  � � � � � �  t �n   � �  t � � � � � � �i   t �� � � � � � � �  l �� � � � � � �  s u � � � � � � � � � �� �  l � � � �� �  l � � � �  l � �n   � � �p     �  �  �  �  l ��  �  � � � 
</file>

<file path=customXml/itemProps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1C3D8E49-708C-47DB-80E1-F53F4A0673AC}">
  <ds:schemaRefs/>
</ds:datastoreItem>
</file>

<file path=customXml/itemProps3.xml><?xml version="1.0" encoding="utf-8"?>
<ds:datastoreItem xmlns:ds="http://schemas.openxmlformats.org/officeDocument/2006/customXml" ds:itemID="{584F28E9-849A-497A-B7B7-AE2BAA06EB0A}">
  <ds:schemaRefs/>
</ds:datastoreItem>
</file>

<file path=customXml/itemProps4.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4A386E9B-34CA-4A07-A92C-A4B96BAD6F19}">
  <ds:schemaRefs/>
</ds:datastoreItem>
</file>

<file path=customXml/itemProps7.xml><?xml version="1.0" encoding="utf-8"?>
<ds:datastoreItem xmlns:ds="http://schemas.openxmlformats.org/officeDocument/2006/customXml" ds:itemID="{9E94C942-6F7D-4A68-9432-23867B043DC6}">
  <ds:schemaRefs/>
</ds:datastoreItem>
</file>

<file path=customXml/itemProps8.xml><?xml version="1.0" encoding="utf-8"?>
<ds:datastoreItem xmlns:ds="http://schemas.openxmlformats.org/officeDocument/2006/customXml" ds:itemID="{C07E275B-476F-4C8C-82D7-F2E5F7E682DF}">
  <ds:schemaRefs/>
</ds:datastoreItem>
</file>

<file path=customXml/itemProps9.xml><?xml version="1.0" encoding="utf-8"?>
<ds:datastoreItem xmlns:ds="http://schemas.openxmlformats.org/officeDocument/2006/customXml" ds:itemID="{4BA9E5F1-90AC-490B-B178-7C8B339E1A47}">
  <ds:schemaRefs/>
</ds:datastoreItem>
</file>

<file path=customXml/itemProps10.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1.xml><?xml version="1.0" encoding="utf-8"?>
<ds:datastoreItem xmlns:ds="http://schemas.openxmlformats.org/officeDocument/2006/customXml" ds:itemID="{E74E3CE3-A8E6-4CD2-832B-7027C80CBB62}">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1567CD95-8E3F-4FEC-A530-84B69C2E9371}">
  <ds:schemaRefs/>
</ds:datastoreItem>
</file>

<file path=customXml/itemProps16.xml><?xml version="1.0" encoding="utf-8"?>
<ds:datastoreItem xmlns:ds="http://schemas.openxmlformats.org/officeDocument/2006/customXml" ds:itemID="{9B4A4A44-C59B-4F5C-909F-85355EDEA872}">
  <ds:schemaRefs/>
</ds:datastoreItem>
</file>

<file path=customXml/itemProps1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1DB546EC-0D51-4752-AEDC-C3609675D25A}">
  <ds:schemaRefs/>
</ds:datastoreItem>
</file>

<file path=customXml/itemProps2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1.xml><?xml version="1.0" encoding="utf-8"?>
<ds:datastoreItem xmlns:ds="http://schemas.openxmlformats.org/officeDocument/2006/customXml" ds:itemID="{EBE38DC9-93F1-4A40-AB85-9004638D48E2}">
  <ds:schemaRefs/>
</ds:datastoreItem>
</file>

<file path=customXml/itemProps2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3.xml><?xml version="1.0" encoding="utf-8"?>
<ds:datastoreItem xmlns:ds="http://schemas.openxmlformats.org/officeDocument/2006/customXml" ds:itemID="{0B9C3544-1C46-45A4-BEB6-1CE4D6559900}">
  <ds:schemaRefs/>
</ds:datastoreItem>
</file>

<file path=customXml/itemProps24.xml><?xml version="1.0" encoding="utf-8"?>
<ds:datastoreItem xmlns:ds="http://schemas.openxmlformats.org/officeDocument/2006/customXml" ds:itemID="{D7E9DCE9-0DA0-4A5D-AF00-69BF42ADE111}">
  <ds:schemaRefs/>
</ds:datastoreItem>
</file>

<file path=customXml/itemProps25.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7.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8.xml><?xml version="1.0" encoding="utf-8"?>
<ds:datastoreItem xmlns:ds="http://schemas.openxmlformats.org/officeDocument/2006/customXml" ds:itemID="{A849B9D7-188B-48DA-AB5B-54583621621D}">
  <ds:schemaRefs/>
</ds:datastoreItem>
</file>

<file path=customXml/itemProps29.xml><?xml version="1.0" encoding="utf-8"?>
<ds:datastoreItem xmlns:ds="http://schemas.openxmlformats.org/officeDocument/2006/customXml" ds:itemID="{921600D5-C528-4F77-BA88-1963C63E993C}">
  <ds:schemaRefs/>
</ds:datastoreItem>
</file>

<file path=customXml/itemProps30.xml><?xml version="1.0" encoding="utf-8"?>
<ds:datastoreItem xmlns:ds="http://schemas.openxmlformats.org/officeDocument/2006/customXml" ds:itemID="{F2145A25-FC67-4E71-99E4-ED21FC90E8A2}">
  <ds:schemaRefs/>
</ds:datastoreItem>
</file>

<file path=customXml/itemProps31.xml><?xml version="1.0" encoding="utf-8"?>
<ds:datastoreItem xmlns:ds="http://schemas.openxmlformats.org/officeDocument/2006/customXml" ds:itemID="{339EBD31-34FE-48FA-B11C-5697D02F64AC}">
  <ds:schemaRefs/>
</ds:datastoreItem>
</file>

<file path=customXml/itemProps32.xml><?xml version="1.0" encoding="utf-8"?>
<ds:datastoreItem xmlns:ds="http://schemas.openxmlformats.org/officeDocument/2006/customXml" ds:itemID="{2C9CC992-EC0C-4200-865B-A4059F2340A6}">
  <ds:schemaRefs/>
</ds:datastoreItem>
</file>

<file path=customXml/itemProps33.xml><?xml version="1.0" encoding="utf-8"?>
<ds:datastoreItem xmlns:ds="http://schemas.openxmlformats.org/officeDocument/2006/customXml" ds:itemID="{E745100C-1AC8-468E-84F7-3659A806CA45}">
  <ds:schemaRefs/>
</ds:datastoreItem>
</file>

<file path=customXml/itemProps34.xml><?xml version="1.0" encoding="utf-8"?>
<ds:datastoreItem xmlns:ds="http://schemas.openxmlformats.org/officeDocument/2006/customXml" ds:itemID="{33BFCAE0-8CBE-4C1C-BB72-272DFFB7588D}">
  <ds:schemaRefs/>
</ds:datastoreItem>
</file>

<file path=customXml/itemProps35.xml><?xml version="1.0" encoding="utf-8"?>
<ds:datastoreItem xmlns:ds="http://schemas.openxmlformats.org/officeDocument/2006/customXml" ds:itemID="{9DC923F4-1EC5-4B94-BAB9-67A144899A21}">
  <ds:schemaRefs/>
</ds:datastoreItem>
</file>

<file path=customXml/itemProps3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7.xml><?xml version="1.0" encoding="utf-8"?>
<ds:datastoreItem xmlns:ds="http://schemas.openxmlformats.org/officeDocument/2006/customXml" ds:itemID="{21C78F33-EDA8-4986-95A6-4E56FC7C8E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98</vt:i4>
      </vt:variant>
    </vt:vector>
  </HeadingPairs>
  <TitlesOfParts>
    <vt:vector size="112" baseType="lpstr">
      <vt:lpstr>EULA</vt:lpstr>
      <vt:lpstr>Contents</vt:lpstr>
      <vt:lpstr>Sheet_DiemDatHang</vt:lpstr>
      <vt:lpstr>Sheet_KHTieuThu</vt:lpstr>
      <vt:lpstr>Sheet_NguonHang</vt:lpstr>
      <vt:lpstr>Sheet_DuPhongTonKho</vt:lpstr>
      <vt:lpstr>Sheet_TonKho</vt:lpstr>
      <vt:lpstr>Sheet_Main</vt:lpstr>
      <vt:lpstr>Sheet_DonMua</vt:lpstr>
      <vt:lpstr>Code</vt:lpstr>
      <vt:lpstr>Sheet_DoiTac</vt:lpstr>
      <vt:lpstr>Sheet_NguyenLieu</vt:lpstr>
      <vt:lpstr>Sheet_SKU</vt:lpstr>
      <vt:lpstr>Sheet_Kho</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2025-07-14T06:18:13Z</dcterms:modified>
  <cp:category/>
  <cp:contentStatus/>
</cp:coreProperties>
</file>